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1" i="1" l="1"/>
  <c r="D120" i="1"/>
  <c r="B120" i="1"/>
  <c r="B119" i="1"/>
  <c r="D118" i="1"/>
  <c r="B118" i="1"/>
  <c r="B117" i="1"/>
  <c r="D116" i="1"/>
  <c r="B116" i="1"/>
  <c r="B115" i="1"/>
  <c r="B95" i="1"/>
  <c r="D94" i="1"/>
  <c r="B94" i="1"/>
  <c r="B93" i="1"/>
  <c r="D92" i="1"/>
  <c r="B92" i="1"/>
  <c r="B91" i="1"/>
  <c r="D90" i="1"/>
  <c r="B90" i="1"/>
  <c r="B89" i="1"/>
  <c r="B69" i="1"/>
  <c r="D68" i="1"/>
  <c r="B68" i="1"/>
  <c r="B67" i="1"/>
  <c r="D66" i="1"/>
  <c r="B66" i="1"/>
  <c r="B65" i="1"/>
  <c r="D64" i="1"/>
  <c r="B64" i="1"/>
  <c r="B63" i="1"/>
  <c r="B43" i="1"/>
  <c r="D42" i="1"/>
  <c r="B42" i="1"/>
  <c r="B41" i="1"/>
  <c r="D40" i="1"/>
  <c r="B40" i="1"/>
  <c r="B39" i="1"/>
  <c r="D38" i="1"/>
  <c r="B38" i="1"/>
  <c r="B37" i="1"/>
  <c r="D185" i="1" l="1"/>
  <c r="B185" i="1"/>
  <c r="B184" i="1"/>
  <c r="B183" i="1"/>
  <c r="B182" i="1"/>
  <c r="B181" i="1"/>
  <c r="B180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D167" i="1"/>
  <c r="B167" i="1"/>
  <c r="B1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D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AX152" i="2"/>
  <c r="ED155" i="2" l="1"/>
  <c r="E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D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A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B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A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A193" i="2" l="1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A195" i="2"/>
  <c r="EB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 l="1"/>
  <c r="ED200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CD32" i="2" l="1"/>
  <c r="CD152" i="2"/>
  <c r="CD60" i="2"/>
  <c r="CD27" i="2"/>
  <c r="CD197" i="2"/>
  <c r="CD21" i="2"/>
  <c r="CD3" i="2"/>
  <c r="C9" i="4" s="1"/>
  <c r="E9" i="4" s="1"/>
  <c r="F9" i="4" s="1"/>
  <c r="G9" i="4" s="1"/>
  <c r="L9" i="4" s="1"/>
  <c r="CD61" i="2"/>
  <c r="CD154" i="2"/>
  <c r="CD25" i="2"/>
  <c r="CD189" i="2"/>
  <c r="CD42" i="2"/>
  <c r="CD183" i="2"/>
  <c r="CD186" i="2"/>
  <c r="CD105" i="2"/>
  <c r="CD188" i="2"/>
  <c r="CD112" i="2"/>
  <c r="CD13" i="2"/>
  <c r="CD173" i="2"/>
  <c r="CD47" i="2"/>
  <c r="CD26" i="2"/>
  <c r="CD172" i="2"/>
  <c r="CD83" i="2"/>
  <c r="CD187" i="2"/>
  <c r="CD5" i="2"/>
  <c r="CD107" i="2"/>
  <c r="CD194" i="2"/>
  <c r="CD122" i="2"/>
  <c r="CD124" i="2"/>
  <c r="CD79" i="2"/>
  <c r="CD177" i="2"/>
  <c r="CD74" i="2"/>
  <c r="CD156" i="2"/>
  <c r="CD4" i="2"/>
  <c r="CD123" i="2"/>
  <c r="CD20" i="2"/>
  <c r="CD148" i="2"/>
  <c r="CD51" i="2"/>
  <c r="CD76" i="2"/>
  <c r="CD97" i="2"/>
  <c r="CD175" i="2"/>
  <c r="CD82" i="2"/>
  <c r="CD143" i="2"/>
  <c r="CD195" i="2"/>
  <c r="CD92" i="2"/>
  <c r="CD68" i="2"/>
  <c r="CD158" i="2"/>
  <c r="CD63" i="2"/>
  <c r="CD147" i="2"/>
  <c r="CD70" i="2"/>
  <c r="CD127" i="2"/>
  <c r="CD36" i="2"/>
  <c r="CD192" i="2"/>
  <c r="CD150" i="2"/>
  <c r="CD84" i="2"/>
  <c r="CD146" i="2"/>
  <c r="CD137" i="2"/>
  <c r="CD193" i="2"/>
  <c r="CD34" i="2"/>
  <c r="CD78" i="2"/>
  <c r="CD95" i="2"/>
  <c r="CD185" i="2"/>
  <c r="CD200" i="2"/>
  <c r="CD109" i="2"/>
  <c r="CD31" i="2"/>
  <c r="CD23" i="2"/>
  <c r="CD77" i="2"/>
  <c r="CD162" i="2"/>
  <c r="CD166" i="2"/>
  <c r="CD163" i="2"/>
  <c r="CD41" i="2"/>
  <c r="CD57" i="2"/>
  <c r="CD29" i="2"/>
  <c r="CD22" i="2"/>
  <c r="CD67" i="2"/>
  <c r="CD45" i="2"/>
  <c r="CD106" i="2"/>
  <c r="CD37" i="2"/>
  <c r="CD153" i="2"/>
  <c r="CD135" i="2"/>
  <c r="CD139" i="2"/>
  <c r="CD38" i="2"/>
  <c r="CD110" i="2"/>
  <c r="CD114" i="2"/>
  <c r="CD103" i="2"/>
  <c r="CD134" i="2"/>
  <c r="CD136" i="2"/>
  <c r="CD159" i="2"/>
  <c r="CD73" i="2"/>
  <c r="CD28" i="2"/>
  <c r="CD102" i="2"/>
  <c r="CD179" i="2"/>
  <c r="CD91" i="2"/>
  <c r="CD80" i="2"/>
  <c r="CD199" i="2"/>
  <c r="CD49" i="2"/>
  <c r="CD115" i="2"/>
  <c r="CD191" i="2"/>
  <c r="CD155" i="2"/>
  <c r="CD19" i="2"/>
  <c r="CD196" i="2"/>
  <c r="CD65" i="2"/>
  <c r="CD30" i="2"/>
  <c r="CD161" i="2"/>
  <c r="CD138" i="2"/>
  <c r="CD69" i="2"/>
  <c r="CD108" i="2"/>
  <c r="CD157" i="2"/>
  <c r="CD16" i="2"/>
  <c r="CD149" i="2"/>
  <c r="CD119" i="2"/>
  <c r="CD96" i="2"/>
  <c r="CD131" i="2"/>
  <c r="CD133" i="2"/>
  <c r="CD18" i="2"/>
  <c r="CD145" i="2"/>
  <c r="CD142" i="2"/>
  <c r="CD130" i="2"/>
  <c r="CD170" i="2"/>
  <c r="CD140" i="2"/>
  <c r="CD10" i="2"/>
  <c r="CD128" i="2"/>
  <c r="CD43" i="2"/>
  <c r="CD11" i="2"/>
  <c r="CD15" i="2"/>
  <c r="CD101" i="2"/>
  <c r="CD54" i="2"/>
  <c r="CD72" i="2"/>
  <c r="CD165" i="2"/>
  <c r="CD94" i="2"/>
  <c r="CD52" i="2"/>
  <c r="CD7" i="2"/>
  <c r="CD132" i="2"/>
  <c r="CD48" i="2"/>
  <c r="CD171" i="2"/>
  <c r="CD178" i="2"/>
  <c r="CD184" i="2"/>
  <c r="CD118" i="2"/>
  <c r="CD90" i="2"/>
  <c r="CD113" i="2"/>
  <c r="CD35" i="2"/>
  <c r="CD198" i="2"/>
  <c r="CD201" i="2"/>
  <c r="CD182" i="2"/>
  <c r="CD181" i="2"/>
  <c r="CD89" i="2"/>
  <c r="CD117" i="2"/>
  <c r="CD180" i="2"/>
  <c r="CD44" i="2"/>
  <c r="CD85" i="2"/>
  <c r="CD53" i="2"/>
  <c r="CD120" i="2"/>
  <c r="CD12" i="2"/>
  <c r="CD116" i="2"/>
  <c r="CD100" i="2"/>
  <c r="CD71" i="2"/>
  <c r="CD9" i="2"/>
  <c r="CD75" i="2"/>
  <c r="CD93" i="2"/>
  <c r="CD87" i="2"/>
  <c r="CD88" i="2"/>
  <c r="CD66" i="2"/>
  <c r="CD167" i="2"/>
  <c r="CD6" i="2"/>
  <c r="CD99" i="2"/>
  <c r="CD203" i="2"/>
  <c r="CD50" i="2"/>
  <c r="CD17" i="2"/>
  <c r="CD125" i="2"/>
  <c r="CD202" i="2"/>
  <c r="CD86" i="2"/>
  <c r="CD160" i="2"/>
  <c r="CD104" i="2"/>
  <c r="CD56" i="2"/>
  <c r="CD55" i="2"/>
  <c r="CD144" i="2"/>
  <c r="CD33" i="2"/>
  <c r="CD151" i="2"/>
  <c r="CD24" i="2"/>
  <c r="CD164" i="2"/>
  <c r="CD168" i="2"/>
  <c r="CD81" i="2"/>
  <c r="CD174" i="2"/>
  <c r="CD59" i="2"/>
  <c r="CD176" i="2"/>
  <c r="CD126" i="2"/>
  <c r="CD40" i="2"/>
  <c r="CD64" i="2"/>
  <c r="CD141" i="2"/>
  <c r="CD14" i="2"/>
  <c r="CD62" i="2"/>
  <c r="CD111" i="2"/>
  <c r="CD8" i="2"/>
  <c r="CD169" i="2"/>
  <c r="CD129" i="2"/>
  <c r="CD190" i="2"/>
  <c r="CD46" i="2"/>
  <c r="CD121" i="2"/>
  <c r="CD58" i="2"/>
  <c r="CD98" i="2"/>
  <c r="CD3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9" i="2"/>
  <c r="BI40" i="2"/>
  <c r="BI82" i="2"/>
  <c r="BI45" i="2"/>
  <c r="BI159" i="2"/>
  <c r="BI166" i="2"/>
  <c r="BI23" i="2"/>
  <c r="BI60" i="2"/>
  <c r="BI128" i="2"/>
  <c r="BI127" i="2"/>
  <c r="BI149" i="2"/>
  <c r="BI92" i="2"/>
  <c r="BI115" i="2"/>
  <c r="BI7" i="2"/>
  <c r="BI42" i="2"/>
  <c r="BI83" i="2"/>
  <c r="BI172" i="2"/>
  <c r="BI116" i="2"/>
  <c r="BI123" i="2"/>
  <c r="BI27" i="2"/>
  <c r="BI155" i="2"/>
  <c r="BI16" i="2"/>
  <c r="BI78" i="2"/>
  <c r="BI20" i="2"/>
  <c r="BI36" i="2"/>
  <c r="BI124" i="2"/>
  <c r="BI168" i="2"/>
  <c r="BI91" i="2"/>
  <c r="BI88" i="2"/>
  <c r="BI160" i="2"/>
  <c r="BI188" i="2"/>
  <c r="BI94" i="2"/>
  <c r="BI85" i="2"/>
  <c r="BI164" i="2"/>
  <c r="BI157" i="2"/>
  <c r="BI193" i="2"/>
  <c r="BI139" i="2"/>
  <c r="BI54" i="2"/>
  <c r="BI182" i="2"/>
  <c r="BI64" i="2"/>
  <c r="BI97" i="2"/>
  <c r="BI180" i="2"/>
  <c r="BI152" i="2"/>
  <c r="BI109" i="2"/>
  <c r="BI133" i="2"/>
  <c r="BI48" i="2"/>
  <c r="BI106" i="2"/>
  <c r="BI112" i="2"/>
  <c r="BI201" i="2"/>
  <c r="BI136" i="2"/>
  <c r="BI46" i="2"/>
  <c r="BI72" i="2"/>
  <c r="BI197" i="2"/>
  <c r="BI192" i="2"/>
  <c r="BI99" i="2"/>
  <c r="BI181" i="2"/>
  <c r="BI135" i="2"/>
  <c r="BI137" i="2"/>
  <c r="BI175" i="2"/>
  <c r="BI129" i="2"/>
  <c r="BI114" i="2"/>
  <c r="BI55" i="2"/>
  <c r="BI38" i="2"/>
  <c r="BI142" i="2"/>
  <c r="BI196" i="2"/>
  <c r="BI103" i="2"/>
  <c r="BI74" i="2"/>
  <c r="BI194" i="2"/>
  <c r="BI174" i="2"/>
  <c r="BI165" i="2"/>
  <c r="BI10" i="2"/>
  <c r="BI119" i="2"/>
  <c r="BI66" i="2"/>
  <c r="BI162" i="2"/>
  <c r="BI14" i="2"/>
  <c r="BI173" i="2"/>
  <c r="BI179" i="2"/>
  <c r="BI122" i="2"/>
  <c r="BI108" i="2"/>
  <c r="BI79" i="2"/>
  <c r="BI143" i="2"/>
  <c r="BI154" i="2"/>
  <c r="BI75" i="2"/>
  <c r="BI31" i="2"/>
  <c r="BI95" i="2"/>
  <c r="BI32" i="2"/>
  <c r="BI107" i="2"/>
  <c r="BI21" i="2"/>
  <c r="BI130" i="2"/>
  <c r="BI100" i="2"/>
  <c r="BI113" i="2"/>
  <c r="BI156" i="2"/>
  <c r="BI58" i="2"/>
  <c r="BI101" i="2"/>
  <c r="BI37" i="2"/>
  <c r="BI105" i="2"/>
  <c r="BI80" i="2"/>
  <c r="BI144" i="2"/>
  <c r="BI71" i="2"/>
  <c r="BI43" i="2"/>
  <c r="BI77" i="2"/>
  <c r="BI125" i="2"/>
  <c r="BI52" i="2"/>
  <c r="BI29" i="2"/>
  <c r="BI147" i="2"/>
  <c r="BI198" i="2"/>
  <c r="BI44" i="2"/>
  <c r="BI132" i="2"/>
  <c r="BI51" i="2"/>
  <c r="BI9" i="2"/>
  <c r="BI86" i="2"/>
  <c r="BI163" i="2"/>
  <c r="BI145" i="2"/>
  <c r="BI24" i="2"/>
  <c r="BI177" i="2"/>
  <c r="BI56" i="2"/>
  <c r="BI5" i="2"/>
  <c r="BI186" i="2"/>
  <c r="BI148" i="2"/>
  <c r="BI120" i="2"/>
  <c r="BI65" i="2"/>
  <c r="BI111" i="2"/>
  <c r="BI187" i="2"/>
  <c r="BI104" i="2"/>
  <c r="BI176" i="2"/>
  <c r="BI184" i="2"/>
  <c r="BI170" i="2"/>
  <c r="BI15" i="2"/>
  <c r="BI146" i="2"/>
  <c r="BI26" i="2"/>
  <c r="BI158" i="2"/>
  <c r="BI131" i="2"/>
  <c r="BI84" i="2"/>
  <c r="BI3" i="2"/>
  <c r="C8" i="4" s="1"/>
  <c r="E8" i="4" s="1"/>
  <c r="F8" i="4" s="1"/>
  <c r="G8" i="4" s="1"/>
  <c r="L8" i="4" s="1"/>
  <c r="BI126" i="2"/>
  <c r="BI68" i="2"/>
  <c r="BI138" i="2"/>
  <c r="BI81" i="2"/>
  <c r="BI17" i="2"/>
  <c r="BI33" i="2"/>
  <c r="BI34" i="2"/>
  <c r="BI22" i="2"/>
  <c r="BI98" i="2"/>
  <c r="BI69" i="2"/>
  <c r="BI102" i="2"/>
  <c r="BI140" i="2"/>
  <c r="BI59" i="2"/>
  <c r="BI185" i="2"/>
  <c r="BI200" i="2"/>
  <c r="BI63" i="2"/>
  <c r="BI67" i="2"/>
  <c r="BI178" i="2"/>
  <c r="BI153" i="2"/>
  <c r="BI191" i="2"/>
  <c r="BI30" i="2"/>
  <c r="BI169" i="2"/>
  <c r="BI11" i="2"/>
  <c r="BI35" i="2"/>
  <c r="BI76" i="2"/>
  <c r="BI189" i="2"/>
  <c r="BI151" i="2"/>
  <c r="BI70" i="2"/>
  <c r="BI93" i="2"/>
  <c r="BI13" i="2"/>
  <c r="BI18" i="2"/>
  <c r="BI49" i="2"/>
  <c r="BI28" i="2"/>
  <c r="BI87" i="2"/>
  <c r="BI190" i="2"/>
  <c r="BI199" i="2"/>
  <c r="BI8" i="2"/>
  <c r="BI167" i="2"/>
  <c r="BI141" i="2"/>
  <c r="BI195" i="2"/>
  <c r="BI171" i="2"/>
  <c r="BI117" i="2"/>
  <c r="BI39" i="2"/>
  <c r="BI73" i="2"/>
  <c r="BI12" i="2"/>
  <c r="BI134" i="2"/>
  <c r="BI4" i="2"/>
  <c r="BI50" i="2"/>
  <c r="BI25" i="2"/>
  <c r="BI118" i="2"/>
  <c r="BI61" i="2"/>
  <c r="BI203" i="2"/>
  <c r="BI53" i="2"/>
  <c r="BI19" i="2"/>
  <c r="BI110" i="2"/>
  <c r="BI161" i="2"/>
  <c r="BI6" i="2"/>
  <c r="BI183" i="2"/>
  <c r="BI202" i="2"/>
  <c r="BI150" i="2"/>
  <c r="BI121" i="2"/>
  <c r="BI62" i="2"/>
  <c r="BI90" i="2"/>
  <c r="BI96" i="2"/>
  <c r="BI41" i="2"/>
  <c r="BI57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<sst xmlns="http://schemas.openxmlformats.org/spreadsheetml/2006/main" count="1175" uniqueCount="324">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</sst>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21392"/>
        <c:axId val="-623919760"/>
      </c:scatterChart>
      <c:valAx>
        <c:axId val="-623921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9760"/>
        <c:crosses val="autoZero"/>
        <c:crossBetween val="midCat"/>
      </c:valAx>
      <c:valAx>
        <c:axId val="-62391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2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485971056"/>
        <c:axId val="-485960176"/>
      </c:scatterChart>
      <c:valAx>
        <c:axId val="-485971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85960176"/>
        <c:crosses val="autoZero"/>
        <c:crossBetween val="midCat"/>
      </c:valAx>
      <c:valAx>
        <c:axId val="-485960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485971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18672"/>
        <c:axId val="-623925200"/>
      </c:scatterChart>
      <c:valAx>
        <c:axId val="-62391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25200"/>
        <c:crosses val="autoZero"/>
        <c:crossBetween val="midCat"/>
      </c:valAx>
      <c:valAx>
        <c:axId val="-62392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16496"/>
        <c:axId val="-623925744"/>
      </c:scatterChart>
      <c:valAx>
        <c:axId val="-623916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25744"/>
        <c:crosses val="autoZero"/>
        <c:crossBetween val="midCat"/>
      </c:valAx>
      <c:valAx>
        <c:axId val="-623925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6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18128"/>
        <c:axId val="-623917040"/>
      </c:scatterChart>
      <c:valAx>
        <c:axId val="-623918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7040"/>
        <c:crosses val="autoZero"/>
        <c:crossBetween val="midCat"/>
      </c:valAx>
      <c:valAx>
        <c:axId val="-62391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8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15952"/>
        <c:axId val="-623912688"/>
      </c:scatterChart>
      <c:valAx>
        <c:axId val="-62391595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2688"/>
        <c:crosses val="autoZero"/>
        <c:crossBetween val="midCat"/>
      </c:valAx>
      <c:valAx>
        <c:axId val="-62391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5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2.3838405188329927</c:v>
                </c:pt>
                <c:pt idx="2">
                  <c:v>3.2814354120312434</c:v>
                </c:pt>
                <c:pt idx="3">
                  <c:v>4.5184416668343035</c:v>
                </c:pt>
                <c:pt idx="4">
                  <c:v>6.2237134506951959</c:v>
                </c:pt>
                <c:pt idx="5">
                  <c:v>8.5752041428476442</c:v>
                </c:pt>
                <c:pt idx="6">
                  <c:v>11.818739178387807</c:v>
                </c:pt>
                <c:pt idx="7">
                  <c:v>16.293989034362514</c:v>
                </c:pt>
                <c:pt idx="8">
                  <c:v>22.470411760451736</c:v>
                </c:pt>
                <c:pt idx="9">
                  <c:v>30.997002400327091</c:v>
                </c:pt>
                <c:pt idx="10">
                  <c:v>42.771167371304301</c:v>
                </c:pt>
                <c:pt idx="11">
                  <c:v>55.093353157740296</c:v>
                </c:pt>
                <c:pt idx="12">
                  <c:v>67.342775086397822</c:v>
                </c:pt>
                <c:pt idx="13">
                  <c:v>79.534624123149641</c:v>
                </c:pt>
                <c:pt idx="14">
                  <c:v>91.679006439536593</c:v>
                </c:pt>
                <c:pt idx="15">
                  <c:v>103.78311366213529</c:v>
                </c:pt>
                <c:pt idx="16">
                  <c:v>88.267739561134462</c:v>
                </c:pt>
                <c:pt idx="17">
                  <c:v>102.0831910615842</c:v>
                </c:pt>
                <c:pt idx="18">
                  <c:v>115.85231457718385</c:v>
                </c:pt>
                <c:pt idx="19">
                  <c:v>129.58140203362072</c:v>
                </c:pt>
                <c:pt idx="20">
                  <c:v>143.27529843266893</c:v>
                </c:pt>
                <c:pt idx="21">
                  <c:v>156.75088346387858</c:v>
                </c:pt>
                <c:pt idx="22">
                  <c:v>170.1989658332011</c:v>
                </c:pt>
                <c:pt idx="23">
                  <c:v>183.62202621508791</c:v>
                </c:pt>
                <c:pt idx="24">
                  <c:v>197.02215247522824</c:v>
                </c:pt>
                <c:pt idx="25">
                  <c:v>210.40112494961298</c:v>
                </c:pt>
                <c:pt idx="26">
                  <c:v>173.93000803099332</c:v>
                </c:pt>
                <c:pt idx="27">
                  <c:v>186.78794247300308</c:v>
                </c:pt>
                <c:pt idx="28">
                  <c:v>199.62522507053666</c:v>
                </c:pt>
                <c:pt idx="29">
                  <c:v>212.44337170835345</c:v>
                </c:pt>
                <c:pt idx="30">
                  <c:v>225.24370022974736</c:v>
                </c:pt>
                <c:pt idx="31">
                  <c:v>237.28672059909331</c:v>
                </c:pt>
                <c:pt idx="32">
                  <c:v>249.31581208109557</c:v>
                </c:pt>
                <c:pt idx="33">
                  <c:v>261.33174174990091</c:v>
                </c:pt>
                <c:pt idx="34">
                  <c:v>273.33520033559711</c:v>
                </c:pt>
                <c:pt idx="35">
                  <c:v>285.32681291349411</c:v>
                </c:pt>
                <c:pt idx="36">
                  <c:v>242.6552193545505</c:v>
                </c:pt>
                <c:pt idx="37">
                  <c:v>253.56907009189914</c:v>
                </c:pt>
                <c:pt idx="38">
                  <c:v>264.47228568418126</c:v>
                </c:pt>
                <c:pt idx="39">
                  <c:v>275.36536664429354</c:v>
                </c:pt>
                <c:pt idx="40">
                  <c:v>286.24877062592168</c:v>
                </c:pt>
                <c:pt idx="41">
                  <c:v>296.57021208011378</c:v>
                </c:pt>
                <c:pt idx="42">
                  <c:v>306.88364556713356</c:v>
                </c:pt>
                <c:pt idx="43">
                  <c:v>317.18937830536407</c:v>
                </c:pt>
                <c:pt idx="44">
                  <c:v>327.48769590830915</c:v>
                </c:pt>
                <c:pt idx="45">
                  <c:v>337.77886455023253</c:v>
                </c:pt>
                <c:pt idx="46">
                  <c:v>294.9119574096888</c:v>
                </c:pt>
                <c:pt idx="47">
                  <c:v>304.49015286905723</c:v>
                </c:pt>
                <c:pt idx="48">
                  <c:v>314.06164885604761</c:v>
                </c:pt>
                <c:pt idx="49">
                  <c:v>323.62667847115432</c:v>
                </c:pt>
                <c:pt idx="50">
                  <c:v>333.18545990213522</c:v>
                </c:pt>
                <c:pt idx="51">
                  <c:v>342.18723913127047</c:v>
                </c:pt>
                <c:pt idx="52">
                  <c:v>351.1838133017921</c:v>
                </c:pt>
                <c:pt idx="53">
                  <c:v>360.17533464453732</c:v>
                </c:pt>
                <c:pt idx="54">
                  <c:v>369.1619471646768</c:v>
                </c:pt>
                <c:pt idx="55">
                  <c:v>378.14378727996046</c:v>
                </c:pt>
                <c:pt idx="56">
                  <c:v>339.79952573014128</c:v>
                </c:pt>
                <c:pt idx="57">
                  <c:v>348.24671923697093</c:v>
                </c:pt>
                <c:pt idx="58">
                  <c:v>356.68941678151765</c:v>
                </c:pt>
                <c:pt idx="59">
                  <c:v>365.12773986416681</c:v>
                </c:pt>
                <c:pt idx="60">
                  <c:v>373.56180390729855</c:v>
                </c:pt>
                <c:pt idx="61">
                  <c:v>381.25884465884684</c:v>
                </c:pt>
                <c:pt idx="62">
                  <c:v>388.95250618065228</c:v>
                </c:pt>
                <c:pt idx="63">
                  <c:v>396.6428647905862</c:v>
                </c:pt>
                <c:pt idx="64">
                  <c:v>404.32999360363391</c:v>
                </c:pt>
                <c:pt idx="65">
                  <c:v>412.01396272598663</c:v>
                </c:pt>
                <c:pt idx="66">
                  <c:v>374.47829807012619</c:v>
                </c:pt>
                <c:pt idx="67">
                  <c:v>381.80850305381085</c:v>
                </c:pt>
                <c:pt idx="68">
                  <c:v>389.13564804516926</c:v>
                </c:pt>
                <c:pt idx="69">
                  <c:v>396.45979883257809</c:v>
                </c:pt>
                <c:pt idx="70">
                  <c:v>403.78101857356381</c:v>
                </c:pt>
                <c:pt idx="71">
                  <c:v>410.73351773963401</c:v>
                </c:pt>
                <c:pt idx="72">
                  <c:v>417.68347648311186</c:v>
                </c:pt>
                <c:pt idx="73">
                  <c:v>424.63094306781801</c:v>
                </c:pt>
                <c:pt idx="74">
                  <c:v>431.57596404832128</c:v>
                </c:pt>
                <c:pt idx="75">
                  <c:v>438.51858435761028</c:v>
                </c:pt>
                <c:pt idx="76">
                  <c:v>403.7810185735637</c:v>
                </c:pt>
                <c:pt idx="77">
                  <c:v>410.18472923262584</c:v>
                </c:pt>
                <c:pt idx="78">
                  <c:v>416.58628147770673</c:v>
                </c:pt>
                <c:pt idx="79">
                  <c:v>422.98571318193154</c:v>
                </c:pt>
                <c:pt idx="80">
                  <c:v>429.38306097806168</c:v>
                </c:pt>
                <c:pt idx="81">
                  <c:v>435.77836031740293</c:v>
                </c:pt>
                <c:pt idx="82">
                  <c:v>442.17164552507137</c:v>
                </c:pt>
                <c:pt idx="83">
                  <c:v>448.56294985189771</c:v>
                </c:pt>
                <c:pt idx="84">
                  <c:v>454.95230552321544</c:v>
                </c:pt>
                <c:pt idx="85">
                  <c:v>461.33974378476478</c:v>
                </c:pt>
                <c:pt idx="86">
                  <c:v>427.92099191345005</c:v>
                </c:pt>
                <c:pt idx="87">
                  <c:v>433.76862772797989</c:v>
                </c:pt>
                <c:pt idx="88">
                  <c:v>439.61457098626988</c:v>
                </c:pt>
                <c:pt idx="89">
                  <c:v>445.4588473889209</c:v>
                </c:pt>
                <c:pt idx="90">
                  <c:v>451.30148190662845</c:v>
                </c:pt>
                <c:pt idx="91">
                  <c:v>456.95999128132956</c:v>
                </c:pt>
                <c:pt idx="92">
                  <c:v>462.61700403114037</c:v>
                </c:pt>
                <c:pt idx="93">
                  <c:v>468.2725410526304</c:v>
                </c:pt>
                <c:pt idx="94">
                  <c:v>473.92662269607291</c:v>
                </c:pt>
                <c:pt idx="95">
                  <c:v>479.57926878622084</c:v>
                </c:pt>
                <c:pt idx="96">
                  <c:v>449.29325995855169</c:v>
                </c:pt>
                <c:pt idx="97">
                  <c:v>454.58725142973572</c:v>
                </c:pt>
                <c:pt idx="98">
                  <c:v>459.87992534905925</c:v>
                </c:pt>
                <c:pt idx="99">
                  <c:v>465.171299031422</c:v>
                </c:pt>
                <c:pt idx="100">
                  <c:v>470.46138936536425</c:v>
                </c:pt>
                <c:pt idx="101">
                  <c:v>475.4766838055312</c:v>
                </c:pt>
                <c:pt idx="102">
                  <c:v>480.49085276489518</c:v>
                </c:pt>
                <c:pt idx="103">
                  <c:v>485.50390965442176</c:v>
                </c:pt>
                <c:pt idx="104">
                  <c:v>490.51586758532886</c:v>
                </c:pt>
                <c:pt idx="105">
                  <c:v>495.52673937884811</c:v>
                </c:pt>
                <c:pt idx="106">
                  <c:v>500.53653757557214</c:v>
                </c:pt>
                <c:pt idx="107">
                  <c:v>505.54527444440697</c:v>
                </c:pt>
                <c:pt idx="108">
                  <c:v>510.55296199115151</c:v>
                </c:pt>
                <c:pt idx="109">
                  <c:v>515.55961196672297</c:v>
                </c:pt>
                <c:pt idx="110">
                  <c:v>520.56523587504546</c:v>
                </c:pt>
                <c:pt idx="111">
                  <c:v>6.6944552106818241E-12</c:v>
                </c:pt>
                <c:pt idx="112">
                  <c:v>6.6944552106818241E-12</c:v>
                </c:pt>
                <c:pt idx="113">
                  <c:v>6.6944552106818241E-12</c:v>
                </c:pt>
                <c:pt idx="114">
                  <c:v>6.6944552106818241E-12</c:v>
                </c:pt>
                <c:pt idx="115">
                  <c:v>6.6944552106818241E-12</c:v>
                </c:pt>
                <c:pt idx="116">
                  <c:v>6.6944552106818241E-12</c:v>
                </c:pt>
                <c:pt idx="117">
                  <c:v>6.6944552106818241E-12</c:v>
                </c:pt>
                <c:pt idx="118">
                  <c:v>6.6944552106818241E-12</c:v>
                </c:pt>
                <c:pt idx="119">
                  <c:v>6.6944552106818241E-12</c:v>
                </c:pt>
                <c:pt idx="120">
                  <c:v>6.6944552106818241E-12</c:v>
                </c:pt>
                <c:pt idx="121">
                  <c:v>6.6944552106818241E-12</c:v>
                </c:pt>
                <c:pt idx="122">
                  <c:v>6.6944552106818241E-12</c:v>
                </c:pt>
                <c:pt idx="123">
                  <c:v>6.6944552106818241E-12</c:v>
                </c:pt>
                <c:pt idx="124">
                  <c:v>6.6944552106818241E-12</c:v>
                </c:pt>
                <c:pt idx="125">
                  <c:v>6.6944552106818241E-12</c:v>
                </c:pt>
                <c:pt idx="126">
                  <c:v>6.6944552106818241E-12</c:v>
                </c:pt>
                <c:pt idx="127">
                  <c:v>6.6944552106818241E-12</c:v>
                </c:pt>
                <c:pt idx="128">
                  <c:v>6.6944552106818241E-12</c:v>
                </c:pt>
                <c:pt idx="129">
                  <c:v>6.6944552106818241E-12</c:v>
                </c:pt>
                <c:pt idx="130">
                  <c:v>6.6944552106818241E-12</c:v>
                </c:pt>
                <c:pt idx="131">
                  <c:v>6.6944552106818241E-12</c:v>
                </c:pt>
                <c:pt idx="132">
                  <c:v>6.6944552106818241E-12</c:v>
                </c:pt>
                <c:pt idx="133">
                  <c:v>6.6944552106818241E-12</c:v>
                </c:pt>
                <c:pt idx="134">
                  <c:v>6.6944552106818241E-12</c:v>
                </c:pt>
                <c:pt idx="135">
                  <c:v>6.6944552106818241E-12</c:v>
                </c:pt>
                <c:pt idx="136">
                  <c:v>6.6944552106818241E-12</c:v>
                </c:pt>
                <c:pt idx="137">
                  <c:v>6.6944552106818241E-12</c:v>
                </c:pt>
                <c:pt idx="138">
                  <c:v>6.6944552106818241E-12</c:v>
                </c:pt>
                <c:pt idx="139">
                  <c:v>6.6944552106818241E-12</c:v>
                </c:pt>
                <c:pt idx="140">
                  <c:v>6.6944552106818241E-12</c:v>
                </c:pt>
                <c:pt idx="141">
                  <c:v>6.6944552106818241E-12</c:v>
                </c:pt>
                <c:pt idx="142">
                  <c:v>6.6944552106818241E-12</c:v>
                </c:pt>
                <c:pt idx="143">
                  <c:v>6.6944552106818241E-12</c:v>
                </c:pt>
                <c:pt idx="144">
                  <c:v>6.6944552106818241E-12</c:v>
                </c:pt>
                <c:pt idx="145">
                  <c:v>6.6944552106818241E-12</c:v>
                </c:pt>
                <c:pt idx="146">
                  <c:v>6.6944552106818241E-12</c:v>
                </c:pt>
                <c:pt idx="147">
                  <c:v>6.6944552106818241E-12</c:v>
                </c:pt>
                <c:pt idx="148">
                  <c:v>6.6944552106818241E-12</c:v>
                </c:pt>
                <c:pt idx="149">
                  <c:v>6.6944552106818241E-12</c:v>
                </c:pt>
                <c:pt idx="150">
                  <c:v>6.6944552106818241E-12</c:v>
                </c:pt>
                <c:pt idx="151">
                  <c:v>6.6944552106818241E-12</c:v>
                </c:pt>
                <c:pt idx="152">
                  <c:v>6.6944552106818241E-12</c:v>
                </c:pt>
                <c:pt idx="153">
                  <c:v>6.6944552106818241E-12</c:v>
                </c:pt>
                <c:pt idx="154">
                  <c:v>6.6944552106818241E-12</c:v>
                </c:pt>
                <c:pt idx="155">
                  <c:v>6.6944552106818241E-12</c:v>
                </c:pt>
                <c:pt idx="156">
                  <c:v>6.6944552106818241E-12</c:v>
                </c:pt>
                <c:pt idx="157">
                  <c:v>6.6944552106818241E-12</c:v>
                </c:pt>
                <c:pt idx="158">
                  <c:v>6.6944552106818241E-12</c:v>
                </c:pt>
                <c:pt idx="159">
                  <c:v>6.6944552106818241E-12</c:v>
                </c:pt>
                <c:pt idx="160">
                  <c:v>6.6944552106818241E-12</c:v>
                </c:pt>
                <c:pt idx="161">
                  <c:v>6.6944552106818241E-12</c:v>
                </c:pt>
                <c:pt idx="162">
                  <c:v>6.6944552106818241E-12</c:v>
                </c:pt>
                <c:pt idx="163">
                  <c:v>6.6944552106818241E-12</c:v>
                </c:pt>
                <c:pt idx="164">
                  <c:v>6.6944552106818241E-12</c:v>
                </c:pt>
                <c:pt idx="165">
                  <c:v>6.6944552106818241E-12</c:v>
                </c:pt>
                <c:pt idx="166">
                  <c:v>6.6944552106818241E-12</c:v>
                </c:pt>
                <c:pt idx="167">
                  <c:v>6.6944552106818241E-12</c:v>
                </c:pt>
                <c:pt idx="168">
                  <c:v>6.6944552106818241E-12</c:v>
                </c:pt>
                <c:pt idx="169">
                  <c:v>6.6944552106818241E-12</c:v>
                </c:pt>
                <c:pt idx="170">
                  <c:v>6.6944552106818241E-12</c:v>
                </c:pt>
                <c:pt idx="171">
                  <c:v>6.6944552106818241E-12</c:v>
                </c:pt>
                <c:pt idx="172">
                  <c:v>6.6944552106818241E-12</c:v>
                </c:pt>
                <c:pt idx="173">
                  <c:v>6.6944552106818241E-12</c:v>
                </c:pt>
                <c:pt idx="174">
                  <c:v>6.6944552106818241E-12</c:v>
                </c:pt>
                <c:pt idx="175">
                  <c:v>6.6944552106818241E-12</c:v>
                </c:pt>
                <c:pt idx="176">
                  <c:v>6.6944552106818241E-12</c:v>
                </c:pt>
                <c:pt idx="177">
                  <c:v>6.6944552106818241E-12</c:v>
                </c:pt>
                <c:pt idx="178">
                  <c:v>6.6944552106818241E-12</c:v>
                </c:pt>
                <c:pt idx="179">
                  <c:v>6.6944552106818241E-12</c:v>
                </c:pt>
                <c:pt idx="180">
                  <c:v>6.6944552106818241E-12</c:v>
                </c:pt>
                <c:pt idx="181">
                  <c:v>6.6944552106818241E-12</c:v>
                </c:pt>
                <c:pt idx="182">
                  <c:v>6.6944552106818241E-12</c:v>
                </c:pt>
                <c:pt idx="183">
                  <c:v>6.6944552106818241E-12</c:v>
                </c:pt>
                <c:pt idx="184">
                  <c:v>6.6944552106818241E-12</c:v>
                </c:pt>
                <c:pt idx="185">
                  <c:v>6.6944552106818241E-12</c:v>
                </c:pt>
                <c:pt idx="186">
                  <c:v>6.6944552106818241E-12</c:v>
                </c:pt>
                <c:pt idx="187">
                  <c:v>6.6944552106818241E-12</c:v>
                </c:pt>
                <c:pt idx="188">
                  <c:v>6.6944552106818241E-12</c:v>
                </c:pt>
                <c:pt idx="189">
                  <c:v>6.6944552106818241E-12</c:v>
                </c:pt>
                <c:pt idx="190">
                  <c:v>6.6944552106818241E-12</c:v>
                </c:pt>
                <c:pt idx="191">
                  <c:v>6.6944552106818241E-12</c:v>
                </c:pt>
                <c:pt idx="192">
                  <c:v>6.6944552106818241E-12</c:v>
                </c:pt>
                <c:pt idx="193">
                  <c:v>6.6944552106818241E-12</c:v>
                </c:pt>
                <c:pt idx="194">
                  <c:v>6.6944552106818241E-12</c:v>
                </c:pt>
                <c:pt idx="195">
                  <c:v>6.6944552106818241E-12</c:v>
                </c:pt>
                <c:pt idx="196">
                  <c:v>6.6944552106818241E-12</c:v>
                </c:pt>
                <c:pt idx="197">
                  <c:v>6.6944552106818241E-12</c:v>
                </c:pt>
                <c:pt idx="198">
                  <c:v>6.6944552106818241E-12</c:v>
                </c:pt>
                <c:pt idx="199">
                  <c:v>6.6944552106818241E-12</c:v>
                </c:pt>
                <c:pt idx="200">
                  <c:v>6.6944552106818241E-12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15408"/>
        <c:axId val="-623914864"/>
      </c:scatterChart>
      <c:valAx>
        <c:axId val="-623915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4864"/>
        <c:crosses val="autoZero"/>
        <c:crossBetween val="midCat"/>
      </c:valAx>
      <c:valAx>
        <c:axId val="-62391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24656"/>
        <c:axId val="-623912144"/>
      </c:scatterChart>
      <c:valAx>
        <c:axId val="-6239246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12144"/>
        <c:crosses val="autoZero"/>
        <c:crossBetween val="midCat"/>
      </c:valAx>
      <c:valAx>
        <c:axId val="-623912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24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27376"/>
        <c:axId val="-623926832"/>
      </c:scatterChart>
      <c:valAx>
        <c:axId val="-62392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26832"/>
        <c:crosses val="autoZero"/>
        <c:crossBetween val="midCat"/>
      </c:valAx>
      <c:valAx>
        <c:axId val="-62392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2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23926288"/>
        <c:axId val="-780705520"/>
      </c:scatterChart>
      <c:valAx>
        <c:axId val="-623926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80705520"/>
        <c:crosses val="autoZero"/>
        <c:crossBetween val="midCat"/>
      </c:valAx>
      <c:valAx>
        <c:axId val="-7807055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23926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7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B56" sqref="B5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4"/>
      <c r="I3" s="227" t="s">
        <v>304</v>
      </c>
      <c r="J3" s="9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6"/>
      <c r="B4" s="96"/>
      <c r="C4" s="96"/>
      <c r="D4" s="96"/>
      <c r="E4" s="96"/>
      <c r="F4" s="96"/>
      <c r="G4" s="237"/>
      <c r="I4" s="227" t="s">
        <v>305</v>
      </c>
      <c r="J4" s="9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3.331</v>
      </c>
      <c r="D5" s="303" t="s">
        <v>229</v>
      </c>
      <c r="E5" s="304"/>
      <c r="F5" s="96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7"/>
      <c r="B6" s="97"/>
      <c r="C6" s="98"/>
      <c r="D6" s="92"/>
      <c r="E6" s="92"/>
      <c r="F6" s="29"/>
      <c r="G6" s="239"/>
      <c r="H6" s="240"/>
      <c r="I6" s="240"/>
      <c r="J6" s="247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</row>
    <row r="7" spans="1:38" ht="25.8" x14ac:dyDescent="0.3">
      <c r="A7" s="300" t="s">
        <v>226</v>
      </c>
      <c r="B7" s="300"/>
      <c r="C7" s="96"/>
      <c r="D7" s="96"/>
      <c r="E7" s="5"/>
      <c r="F7" s="96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0.4</v>
      </c>
      <c r="D9" s="36">
        <f t="shared" ref="D9:D18" si="0">C9*$C$5</f>
        <v>1.3324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0.35</v>
      </c>
      <c r="D10" s="36">
        <f t="shared" si="0"/>
        <v>1.1658499999999998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</v>
      </c>
      <c r="C11" s="35">
        <v>0.1</v>
      </c>
      <c r="D11" s="36">
        <f t="shared" si="0"/>
        <v>0.33310000000000001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52</v>
      </c>
      <c r="C12" s="35">
        <v>0.05</v>
      </c>
      <c r="D12" s="36">
        <f t="shared" si="0"/>
        <v>0.16655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29</v>
      </c>
      <c r="C13" s="35">
        <v>0.05</v>
      </c>
      <c r="D13" s="36">
        <f t="shared" si="0"/>
        <v>0.16655</v>
      </c>
      <c r="E13" s="37">
        <v>69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50</v>
      </c>
      <c r="C14" s="35">
        <v>0.05</v>
      </c>
      <c r="D14" s="36">
        <f t="shared" si="0"/>
        <v>0.16655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9"/>
      <c r="B19" s="39" t="s">
        <v>175</v>
      </c>
      <c r="C19" s="40">
        <f>SUM(C9:C18)</f>
        <v>1</v>
      </c>
      <c r="D19" s="41">
        <f>SUM(D9:D18)</f>
        <v>3.3309999999999995</v>
      </c>
      <c r="E19" s="5"/>
      <c r="F19" s="100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9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8"/>
      <c r="H22" s="229"/>
      <c r="I22" s="247"/>
      <c r="J22" s="247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</row>
    <row r="23" spans="1:45" x14ac:dyDescent="0.3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1"/>
      <c r="F24" s="101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2"/>
      <c r="E25" s="5"/>
      <c r="F25" s="102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1"/>
      <c r="F26" s="101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1"/>
      <c r="F27" s="101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9"/>
      <c r="H30" s="247"/>
      <c r="I30" s="247"/>
      <c r="J30" s="247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</row>
    <row r="31" spans="1:45" x14ac:dyDescent="0.3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3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42</v>
      </c>
      <c r="C36" s="63"/>
      <c r="D36" s="63"/>
      <c r="E36" s="53"/>
      <c r="F36" s="63"/>
      <c r="G36" s="63"/>
      <c r="H36" s="63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f>62+8</f>
        <v>70</v>
      </c>
      <c r="C37" s="63"/>
      <c r="D37" s="63"/>
      <c r="E37" s="53"/>
      <c r="F37" s="63"/>
      <c r="G37" s="63"/>
      <c r="H37" s="63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3"/>
      <c r="F38" s="63"/>
      <c r="G38" s="63"/>
      <c r="H38" s="68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f>95+21</f>
        <v>116</v>
      </c>
      <c r="C39" s="63"/>
      <c r="D39" s="63"/>
      <c r="E39" s="53"/>
      <c r="F39" s="63"/>
      <c r="G39" s="63"/>
      <c r="H39" s="63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3"/>
      <c r="F40" s="63"/>
      <c r="G40" s="63"/>
      <c r="H40" s="63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f>137+21</f>
        <v>158</v>
      </c>
      <c r="C41" s="63"/>
      <c r="D41" s="63"/>
      <c r="E41" s="53"/>
      <c r="F41" s="63"/>
      <c r="G41" s="63"/>
      <c r="H41" s="63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3"/>
      <c r="F42" s="63"/>
      <c r="G42" s="63"/>
      <c r="H42" s="63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55</v>
      </c>
      <c r="B43" s="63">
        <f>176+21</f>
        <v>197</v>
      </c>
      <c r="C43" s="63"/>
      <c r="D43" s="63"/>
      <c r="E43" s="53"/>
      <c r="F43" s="53"/>
      <c r="G43" s="53"/>
      <c r="H43" s="53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53">
        <v>235</v>
      </c>
      <c r="C44" s="53">
        <v>4</v>
      </c>
      <c r="D44" s="53">
        <v>42</v>
      </c>
      <c r="E44" s="53"/>
      <c r="F44" s="53"/>
      <c r="G44" s="53"/>
      <c r="H44" s="53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65</v>
      </c>
      <c r="B45" s="53">
        <v>229</v>
      </c>
      <c r="C45" s="53"/>
      <c r="D45" s="53"/>
      <c r="E45" s="53"/>
      <c r="F45" s="53"/>
      <c r="G45" s="53"/>
      <c r="H45" s="53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70</v>
      </c>
      <c r="B46" s="53">
        <v>263</v>
      </c>
      <c r="C46" s="53">
        <v>5</v>
      </c>
      <c r="D46" s="53">
        <v>42</v>
      </c>
      <c r="E46" s="53"/>
      <c r="F46" s="53"/>
      <c r="G46" s="53"/>
      <c r="H46" s="53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75</v>
      </c>
      <c r="B47" s="53">
        <v>252</v>
      </c>
      <c r="C47" s="53"/>
      <c r="D47" s="53"/>
      <c r="E47" s="53"/>
      <c r="F47" s="53"/>
      <c r="G47" s="53"/>
      <c r="H47" s="53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80</v>
      </c>
      <c r="B48" s="53">
        <v>282</v>
      </c>
      <c r="C48" s="53">
        <v>6</v>
      </c>
      <c r="D48" s="53">
        <v>42</v>
      </c>
      <c r="E48" s="53"/>
      <c r="F48" s="53"/>
      <c r="G48" s="53"/>
      <c r="H48" s="53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90</v>
      </c>
      <c r="B49" s="53">
        <v>296</v>
      </c>
      <c r="C49" s="53">
        <v>7</v>
      </c>
      <c r="D49" s="53">
        <v>42</v>
      </c>
      <c r="E49" s="53"/>
      <c r="F49" s="53"/>
      <c r="G49" s="53"/>
      <c r="H49" s="53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>
        <v>100</v>
      </c>
      <c r="B50" s="53">
        <v>303</v>
      </c>
      <c r="C50" s="53">
        <v>8</v>
      </c>
      <c r="D50" s="53">
        <v>42</v>
      </c>
      <c r="E50" s="53"/>
      <c r="F50" s="53"/>
      <c r="G50" s="53"/>
      <c r="H50" s="53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>
        <v>110</v>
      </c>
      <c r="B51" s="53">
        <v>305</v>
      </c>
      <c r="C51" s="53">
        <v>9</v>
      </c>
      <c r="D51" s="53">
        <v>39</v>
      </c>
      <c r="E51" s="53"/>
      <c r="F51" s="53"/>
      <c r="G51" s="53"/>
      <c r="H51" s="53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>
        <v>120</v>
      </c>
      <c r="B52" s="53">
        <v>303</v>
      </c>
      <c r="C52" s="53">
        <v>10</v>
      </c>
      <c r="D52" s="53">
        <v>35</v>
      </c>
      <c r="E52" s="53"/>
      <c r="F52" s="53"/>
      <c r="G52" s="53"/>
      <c r="H52" s="53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>
        <v>130</v>
      </c>
      <c r="B53" s="53">
        <v>300</v>
      </c>
      <c r="C53" s="53">
        <v>11</v>
      </c>
      <c r="D53" s="53">
        <v>31</v>
      </c>
      <c r="E53" s="53"/>
      <c r="F53" s="53"/>
      <c r="G53" s="53"/>
      <c r="H53" s="53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>
        <v>140</v>
      </c>
      <c r="B54" s="53">
        <v>296</v>
      </c>
      <c r="C54" s="53">
        <v>12</v>
      </c>
      <c r="D54" s="53">
        <v>27</v>
      </c>
      <c r="E54" s="53"/>
      <c r="F54" s="53"/>
      <c r="G54" s="53"/>
      <c r="H54" s="53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>
        <v>150</v>
      </c>
      <c r="B55" s="53">
        <v>293</v>
      </c>
      <c r="C55" s="53">
        <v>13</v>
      </c>
      <c r="D55" s="53">
        <v>293</v>
      </c>
      <c r="E55" s="53"/>
      <c r="F55" s="53"/>
      <c r="G55" s="53"/>
      <c r="H55" s="53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4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3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42</v>
      </c>
      <c r="C62" s="63"/>
      <c r="D62" s="63"/>
      <c r="E62" s="53"/>
      <c r="F62" s="63"/>
      <c r="G62" s="63"/>
      <c r="H62" s="63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f>62+8</f>
        <v>70</v>
      </c>
      <c r="C63" s="63"/>
      <c r="D63" s="63"/>
      <c r="E63" s="53"/>
      <c r="F63" s="63"/>
      <c r="G63" s="63"/>
      <c r="H63" s="63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f>76+8+21</f>
        <v>105</v>
      </c>
      <c r="C64" s="63">
        <v>1</v>
      </c>
      <c r="D64" s="63">
        <f>8+21</f>
        <v>29</v>
      </c>
      <c r="E64" s="53"/>
      <c r="F64" s="63"/>
      <c r="G64" s="63"/>
      <c r="H64" s="68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f>95+21</f>
        <v>116</v>
      </c>
      <c r="C65" s="63"/>
      <c r="D65" s="63"/>
      <c r="E65" s="53"/>
      <c r="F65" s="63"/>
      <c r="G65" s="63"/>
      <c r="H65" s="63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f>116+21+21</f>
        <v>158</v>
      </c>
      <c r="C66" s="63">
        <v>2</v>
      </c>
      <c r="D66" s="63">
        <f>21+21</f>
        <v>42</v>
      </c>
      <c r="E66" s="53"/>
      <c r="F66" s="63"/>
      <c r="G66" s="63"/>
      <c r="H66" s="63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f>137+21</f>
        <v>158</v>
      </c>
      <c r="C67" s="63"/>
      <c r="D67" s="63"/>
      <c r="E67" s="53"/>
      <c r="F67" s="63"/>
      <c r="G67" s="63"/>
      <c r="H67" s="63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f>157+21+21</f>
        <v>199</v>
      </c>
      <c r="C68" s="63">
        <v>3</v>
      </c>
      <c r="D68" s="63">
        <f>21+21</f>
        <v>42</v>
      </c>
      <c r="E68" s="53"/>
      <c r="F68" s="63"/>
      <c r="G68" s="63"/>
      <c r="H68" s="63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3">
        <f>176+21</f>
        <v>197</v>
      </c>
      <c r="C69" s="63"/>
      <c r="D69" s="63"/>
      <c r="E69" s="53"/>
      <c r="F69" s="53"/>
      <c r="G69" s="53"/>
      <c r="H69" s="53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235</v>
      </c>
      <c r="C70" s="53">
        <v>4</v>
      </c>
      <c r="D70" s="53">
        <v>42</v>
      </c>
      <c r="E70" s="53"/>
      <c r="F70" s="53"/>
      <c r="G70" s="53"/>
      <c r="H70" s="53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229</v>
      </c>
      <c r="C71" s="53"/>
      <c r="D71" s="53"/>
      <c r="E71" s="53"/>
      <c r="F71" s="53"/>
      <c r="G71" s="53"/>
      <c r="H71" s="53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263</v>
      </c>
      <c r="C72" s="53">
        <v>5</v>
      </c>
      <c r="D72" s="53">
        <v>42</v>
      </c>
      <c r="E72" s="53"/>
      <c r="F72" s="53"/>
      <c r="G72" s="53"/>
      <c r="H72" s="53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252</v>
      </c>
      <c r="C73" s="53"/>
      <c r="D73" s="53"/>
      <c r="E73" s="53"/>
      <c r="F73" s="53"/>
      <c r="G73" s="53"/>
      <c r="H73" s="53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282</v>
      </c>
      <c r="C74" s="53">
        <v>6</v>
      </c>
      <c r="D74" s="53">
        <v>42</v>
      </c>
      <c r="E74" s="53"/>
      <c r="F74" s="53"/>
      <c r="G74" s="53"/>
      <c r="H74" s="53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53">
        <v>296</v>
      </c>
      <c r="C75" s="53">
        <v>7</v>
      </c>
      <c r="D75" s="53">
        <v>42</v>
      </c>
      <c r="E75" s="53"/>
      <c r="F75" s="53"/>
      <c r="G75" s="53"/>
      <c r="H75" s="53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53">
        <v>303</v>
      </c>
      <c r="C76" s="53">
        <v>8</v>
      </c>
      <c r="D76" s="53">
        <v>42</v>
      </c>
      <c r="E76" s="53"/>
      <c r="F76" s="53"/>
      <c r="G76" s="53"/>
      <c r="H76" s="53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53">
        <v>305</v>
      </c>
      <c r="C77" s="53">
        <v>9</v>
      </c>
      <c r="D77" s="53">
        <v>39</v>
      </c>
      <c r="E77" s="53"/>
      <c r="F77" s="53"/>
      <c r="G77" s="53"/>
      <c r="H77" s="53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53">
        <v>303</v>
      </c>
      <c r="C78" s="53">
        <v>10</v>
      </c>
      <c r="D78" s="53">
        <v>35</v>
      </c>
      <c r="E78" s="53"/>
      <c r="F78" s="53"/>
      <c r="G78" s="53"/>
      <c r="H78" s="53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53">
        <v>300</v>
      </c>
      <c r="C79" s="53">
        <v>11</v>
      </c>
      <c r="D79" s="53">
        <v>31</v>
      </c>
      <c r="E79" s="53"/>
      <c r="F79" s="53"/>
      <c r="G79" s="53"/>
      <c r="H79" s="53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53">
        <v>296</v>
      </c>
      <c r="C80" s="53">
        <v>12</v>
      </c>
      <c r="D80" s="53">
        <v>27</v>
      </c>
      <c r="E80" s="53"/>
      <c r="F80" s="53"/>
      <c r="G80" s="53"/>
      <c r="H80" s="53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53">
        <v>293</v>
      </c>
      <c r="C81" s="53">
        <v>13</v>
      </c>
      <c r="D81" s="53">
        <v>293</v>
      </c>
      <c r="E81" s="53"/>
      <c r="F81" s="53"/>
      <c r="G81" s="53"/>
      <c r="H81" s="53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Alisier torminal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4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3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20</v>
      </c>
      <c r="B88" s="63">
        <v>42</v>
      </c>
      <c r="C88" s="63"/>
      <c r="D88" s="63"/>
      <c r="E88" s="53"/>
      <c r="F88" s="63"/>
      <c r="G88" s="63"/>
      <c r="H88" s="63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f>62+8</f>
        <v>70</v>
      </c>
      <c r="C89" s="63"/>
      <c r="D89" s="63"/>
      <c r="E89" s="53"/>
      <c r="F89" s="63"/>
      <c r="G89" s="63"/>
      <c r="H89" s="63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3"/>
      <c r="F90" s="63"/>
      <c r="G90" s="63"/>
      <c r="H90" s="68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35</v>
      </c>
      <c r="B91" s="63">
        <f>95+21</f>
        <v>116</v>
      </c>
      <c r="C91" s="63"/>
      <c r="D91" s="63"/>
      <c r="E91" s="53"/>
      <c r="F91" s="63"/>
      <c r="G91" s="63"/>
      <c r="H91" s="63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3"/>
      <c r="F92" s="63"/>
      <c r="G92" s="63"/>
      <c r="H92" s="6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45</v>
      </c>
      <c r="B93" s="63">
        <f>137+21</f>
        <v>158</v>
      </c>
      <c r="C93" s="63"/>
      <c r="D93" s="63"/>
      <c r="E93" s="53"/>
      <c r="F93" s="63"/>
      <c r="G93" s="63"/>
      <c r="H93" s="6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3"/>
      <c r="F94" s="63"/>
      <c r="G94" s="63"/>
      <c r="H94" s="6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55</v>
      </c>
      <c r="B95" s="63">
        <f>176+21</f>
        <v>197</v>
      </c>
      <c r="C95" s="63"/>
      <c r="D95" s="63"/>
      <c r="E95" s="53"/>
      <c r="F95" s="53"/>
      <c r="G95" s="53"/>
      <c r="H95" s="53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60</v>
      </c>
      <c r="B96" s="53">
        <v>235</v>
      </c>
      <c r="C96" s="53">
        <v>4</v>
      </c>
      <c r="D96" s="53">
        <v>42</v>
      </c>
      <c r="E96" s="53"/>
      <c r="F96" s="53"/>
      <c r="G96" s="53"/>
      <c r="H96" s="53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65</v>
      </c>
      <c r="B97" s="53">
        <v>229</v>
      </c>
      <c r="C97" s="53"/>
      <c r="D97" s="53"/>
      <c r="E97" s="53"/>
      <c r="F97" s="53"/>
      <c r="G97" s="53"/>
      <c r="H97" s="53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70</v>
      </c>
      <c r="B98" s="53">
        <v>263</v>
      </c>
      <c r="C98" s="53">
        <v>5</v>
      </c>
      <c r="D98" s="53">
        <v>42</v>
      </c>
      <c r="E98" s="53"/>
      <c r="F98" s="53"/>
      <c r="G98" s="53"/>
      <c r="H98" s="53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>
        <v>75</v>
      </c>
      <c r="B99" s="53">
        <v>252</v>
      </c>
      <c r="C99" s="53"/>
      <c r="D99" s="53"/>
      <c r="E99" s="53"/>
      <c r="F99" s="53"/>
      <c r="G99" s="53"/>
      <c r="H99" s="53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>
        <v>80</v>
      </c>
      <c r="B100" s="53">
        <v>282</v>
      </c>
      <c r="C100" s="53">
        <v>6</v>
      </c>
      <c r="D100" s="53">
        <v>42</v>
      </c>
      <c r="E100" s="53"/>
      <c r="F100" s="53"/>
      <c r="G100" s="53"/>
      <c r="H100" s="53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90</v>
      </c>
      <c r="B101" s="53">
        <v>296</v>
      </c>
      <c r="C101" s="53">
        <v>7</v>
      </c>
      <c r="D101" s="53">
        <v>42</v>
      </c>
      <c r="E101" s="53"/>
      <c r="F101" s="53"/>
      <c r="G101" s="53"/>
      <c r="H101" s="53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>
        <v>100</v>
      </c>
      <c r="B102" s="53">
        <v>303</v>
      </c>
      <c r="C102" s="53">
        <v>8</v>
      </c>
      <c r="D102" s="53">
        <v>42</v>
      </c>
      <c r="E102" s="53"/>
      <c r="F102" s="53"/>
      <c r="G102" s="53"/>
      <c r="H102" s="53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>
        <v>110</v>
      </c>
      <c r="B103" s="53">
        <v>305</v>
      </c>
      <c r="C103" s="53">
        <v>9</v>
      </c>
      <c r="D103" s="53">
        <v>39</v>
      </c>
      <c r="E103" s="53"/>
      <c r="F103" s="53"/>
      <c r="G103" s="53"/>
      <c r="H103" s="53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>
        <v>120</v>
      </c>
      <c r="B104" s="53">
        <v>303</v>
      </c>
      <c r="C104" s="53">
        <v>10</v>
      </c>
      <c r="D104" s="53">
        <v>35</v>
      </c>
      <c r="E104" s="53"/>
      <c r="F104" s="53"/>
      <c r="G104" s="53"/>
      <c r="H104" s="53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>
        <v>130</v>
      </c>
      <c r="B105" s="53">
        <v>300</v>
      </c>
      <c r="C105" s="53">
        <v>11</v>
      </c>
      <c r="D105" s="53">
        <v>31</v>
      </c>
      <c r="E105" s="53"/>
      <c r="F105" s="53"/>
      <c r="G105" s="53"/>
      <c r="H105" s="53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>
        <v>140</v>
      </c>
      <c r="B106" s="53">
        <v>296</v>
      </c>
      <c r="C106" s="53">
        <v>12</v>
      </c>
      <c r="D106" s="53">
        <v>27</v>
      </c>
      <c r="E106" s="53"/>
      <c r="F106" s="53"/>
      <c r="G106" s="53"/>
      <c r="H106" s="53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>
        <v>150</v>
      </c>
      <c r="B107" s="53">
        <v>293</v>
      </c>
      <c r="C107" s="53">
        <v>13</v>
      </c>
      <c r="D107" s="53">
        <v>293</v>
      </c>
      <c r="E107" s="53"/>
      <c r="F107" s="53"/>
      <c r="G107" s="53"/>
      <c r="H107" s="53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Cormier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4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3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42</v>
      </c>
      <c r="C114" s="63"/>
      <c r="D114" s="63"/>
      <c r="E114" s="53"/>
      <c r="F114" s="63"/>
      <c r="G114" s="63"/>
      <c r="H114" s="63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f>62+8</f>
        <v>70</v>
      </c>
      <c r="C115" s="63"/>
      <c r="D115" s="63"/>
      <c r="E115" s="53"/>
      <c r="F115" s="63"/>
      <c r="G115" s="63"/>
      <c r="H115" s="63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f>76+8+21</f>
        <v>105</v>
      </c>
      <c r="C116" s="63">
        <v>1</v>
      </c>
      <c r="D116" s="63">
        <f>8+21</f>
        <v>29</v>
      </c>
      <c r="E116" s="53"/>
      <c r="F116" s="63"/>
      <c r="G116" s="63"/>
      <c r="H116" s="68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f>95+21</f>
        <v>116</v>
      </c>
      <c r="C117" s="63"/>
      <c r="D117" s="63"/>
      <c r="E117" s="53"/>
      <c r="F117" s="63"/>
      <c r="G117" s="63"/>
      <c r="H117" s="63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f>116+21+21</f>
        <v>158</v>
      </c>
      <c r="C118" s="63">
        <v>2</v>
      </c>
      <c r="D118" s="63">
        <f>21+21</f>
        <v>42</v>
      </c>
      <c r="E118" s="53"/>
      <c r="F118" s="63"/>
      <c r="G118" s="63"/>
      <c r="H118" s="63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f>137+21</f>
        <v>158</v>
      </c>
      <c r="C119" s="63"/>
      <c r="D119" s="63"/>
      <c r="E119" s="53"/>
      <c r="F119" s="63"/>
      <c r="G119" s="63"/>
      <c r="H119" s="63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50</v>
      </c>
      <c r="B120" s="63">
        <f>157+21+21</f>
        <v>199</v>
      </c>
      <c r="C120" s="63">
        <v>3</v>
      </c>
      <c r="D120" s="63">
        <f>21+21</f>
        <v>42</v>
      </c>
      <c r="E120" s="53"/>
      <c r="F120" s="63"/>
      <c r="G120" s="63"/>
      <c r="H120" s="63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55</v>
      </c>
      <c r="B121" s="63">
        <f>176+21</f>
        <v>197</v>
      </c>
      <c r="C121" s="63"/>
      <c r="D121" s="63"/>
      <c r="E121" s="53"/>
      <c r="F121" s="53"/>
      <c r="G121" s="53"/>
      <c r="H121" s="53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60</v>
      </c>
      <c r="B122" s="53">
        <v>235</v>
      </c>
      <c r="C122" s="53">
        <v>4</v>
      </c>
      <c r="D122" s="53">
        <v>42</v>
      </c>
      <c r="E122" s="53"/>
      <c r="F122" s="53"/>
      <c r="G122" s="53"/>
      <c r="H122" s="53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65</v>
      </c>
      <c r="B123" s="53">
        <v>229</v>
      </c>
      <c r="C123" s="53"/>
      <c r="D123" s="53"/>
      <c r="E123" s="53"/>
      <c r="F123" s="53"/>
      <c r="G123" s="53"/>
      <c r="H123" s="53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70</v>
      </c>
      <c r="B124" s="53">
        <v>263</v>
      </c>
      <c r="C124" s="53">
        <v>5</v>
      </c>
      <c r="D124" s="53">
        <v>42</v>
      </c>
      <c r="E124" s="53"/>
      <c r="F124" s="53"/>
      <c r="G124" s="53"/>
      <c r="H124" s="53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75</v>
      </c>
      <c r="B125" s="53">
        <v>252</v>
      </c>
      <c r="C125" s="53"/>
      <c r="D125" s="53"/>
      <c r="E125" s="53"/>
      <c r="F125" s="53"/>
      <c r="G125" s="53"/>
      <c r="H125" s="53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80</v>
      </c>
      <c r="B126" s="53">
        <v>282</v>
      </c>
      <c r="C126" s="53">
        <v>6</v>
      </c>
      <c r="D126" s="53">
        <v>42</v>
      </c>
      <c r="E126" s="53"/>
      <c r="F126" s="53"/>
      <c r="G126" s="53"/>
      <c r="H126" s="53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90</v>
      </c>
      <c r="B127" s="53">
        <v>296</v>
      </c>
      <c r="C127" s="53">
        <v>7</v>
      </c>
      <c r="D127" s="53">
        <v>42</v>
      </c>
      <c r="E127" s="53"/>
      <c r="F127" s="53"/>
      <c r="G127" s="53"/>
      <c r="H127" s="53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100</v>
      </c>
      <c r="B128" s="53">
        <v>303</v>
      </c>
      <c r="C128" s="53">
        <v>8</v>
      </c>
      <c r="D128" s="53">
        <v>42</v>
      </c>
      <c r="E128" s="53"/>
      <c r="F128" s="53"/>
      <c r="G128" s="53"/>
      <c r="H128" s="53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>
        <v>110</v>
      </c>
      <c r="B129" s="53">
        <v>305</v>
      </c>
      <c r="C129" s="53">
        <v>9</v>
      </c>
      <c r="D129" s="53">
        <v>39</v>
      </c>
      <c r="E129" s="53"/>
      <c r="F129" s="53"/>
      <c r="G129" s="53"/>
      <c r="H129" s="53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>
        <v>120</v>
      </c>
      <c r="B130" s="53">
        <v>303</v>
      </c>
      <c r="C130" s="53">
        <v>10</v>
      </c>
      <c r="D130" s="53">
        <v>35</v>
      </c>
      <c r="E130" s="53"/>
      <c r="F130" s="53"/>
      <c r="G130" s="53"/>
      <c r="H130" s="53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>
        <v>130</v>
      </c>
      <c r="B131" s="53">
        <v>300</v>
      </c>
      <c r="C131" s="53">
        <v>11</v>
      </c>
      <c r="D131" s="53">
        <v>31</v>
      </c>
      <c r="E131" s="53"/>
      <c r="F131" s="53"/>
      <c r="G131" s="53"/>
      <c r="H131" s="53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>
        <v>140</v>
      </c>
      <c r="B132" s="53">
        <v>296</v>
      </c>
      <c r="C132" s="53">
        <v>12</v>
      </c>
      <c r="D132" s="53">
        <v>27</v>
      </c>
      <c r="E132" s="53"/>
      <c r="F132" s="53"/>
      <c r="G132" s="53"/>
      <c r="H132" s="53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>
        <v>150</v>
      </c>
      <c r="B133" s="53">
        <v>293</v>
      </c>
      <c r="C133" s="53">
        <v>13</v>
      </c>
      <c r="D133" s="53">
        <v>293</v>
      </c>
      <c r="E133" s="53"/>
      <c r="F133" s="53"/>
      <c r="G133" s="53"/>
      <c r="H133" s="53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Merisier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4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3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v>40</v>
      </c>
      <c r="C140" s="53"/>
      <c r="D140" s="63"/>
      <c r="E140" s="54"/>
      <c r="F140" s="54"/>
      <c r="G140" s="54"/>
      <c r="H140" s="54"/>
      <c r="I140" s="60">
        <f>IFERROR(B140/A140,"")</f>
        <v>2.6666666666666665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v>88</v>
      </c>
      <c r="C141" s="53">
        <v>1</v>
      </c>
      <c r="D141" s="63">
        <v>28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9.6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v>113</v>
      </c>
      <c r="C142" s="53">
        <v>2</v>
      </c>
      <c r="D142" s="63">
        <v>27</v>
      </c>
      <c r="E142" s="54"/>
      <c r="F142" s="54"/>
      <c r="G142" s="54"/>
      <c r="H142" s="54">
        <v>1</v>
      </c>
      <c r="I142" s="60">
        <f t="shared" si="5"/>
        <v>10.6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31</v>
      </c>
      <c r="B143" s="63">
        <v>155</v>
      </c>
      <c r="C143" s="53">
        <v>3</v>
      </c>
      <c r="D143" s="63">
        <v>36</v>
      </c>
      <c r="E143" s="54"/>
      <c r="F143" s="54"/>
      <c r="G143" s="54"/>
      <c r="H143" s="54"/>
      <c r="I143" s="60">
        <f t="shared" si="5"/>
        <v>11.5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37</v>
      </c>
      <c r="B144" s="63">
        <v>188</v>
      </c>
      <c r="C144" s="53">
        <v>4</v>
      </c>
      <c r="D144" s="63">
        <v>36</v>
      </c>
      <c r="E144" s="54"/>
      <c r="F144" s="54"/>
      <c r="G144" s="54"/>
      <c r="H144" s="54"/>
      <c r="I144" s="60">
        <f t="shared" si="5"/>
        <v>11.5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44</v>
      </c>
      <c r="B145" s="63">
        <v>230</v>
      </c>
      <c r="C145" s="53">
        <v>5</v>
      </c>
      <c r="D145" s="63">
        <v>43</v>
      </c>
      <c r="E145" s="66"/>
      <c r="F145" s="66"/>
      <c r="G145" s="66"/>
      <c r="H145" s="66"/>
      <c r="I145" s="60">
        <f t="shared" si="5"/>
        <v>11.142857142857142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52</v>
      </c>
      <c r="B146" s="63">
        <v>270</v>
      </c>
      <c r="C146" s="53">
        <v>6</v>
      </c>
      <c r="D146" s="63">
        <v>48</v>
      </c>
      <c r="E146" s="66"/>
      <c r="F146" s="66"/>
      <c r="G146" s="66"/>
      <c r="H146" s="66"/>
      <c r="I146" s="60">
        <f t="shared" si="5"/>
        <v>10.375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8">
        <v>60</v>
      </c>
      <c r="B147" s="58">
        <v>297</v>
      </c>
      <c r="C147" s="58">
        <v>7</v>
      </c>
      <c r="D147" s="58">
        <v>47</v>
      </c>
      <c r="E147" s="66"/>
      <c r="F147" s="66"/>
      <c r="G147" s="66"/>
      <c r="H147" s="66"/>
      <c r="I147" s="60">
        <f>IF(A147&lt;&gt;0,(B147-(B146-D146))/(A147-A146),"")</f>
        <v>9.375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8">
        <v>69</v>
      </c>
      <c r="B148" s="58">
        <v>328</v>
      </c>
      <c r="C148" s="58">
        <v>8</v>
      </c>
      <c r="D148" s="58">
        <v>328</v>
      </c>
      <c r="E148" s="66"/>
      <c r="F148" s="66"/>
      <c r="G148" s="66"/>
      <c r="H148" s="66"/>
      <c r="I148" s="60">
        <f t="shared" si="5"/>
        <v>8.6666666666666661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Tilleul</v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4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3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10</v>
      </c>
      <c r="B166" s="63">
        <f>43/1.56</f>
        <v>27.564102564102562</v>
      </c>
      <c r="C166" s="63"/>
      <c r="D166" s="63"/>
      <c r="E166" s="54"/>
      <c r="F166" s="54"/>
      <c r="G166" s="54"/>
      <c r="H166" s="54"/>
      <c r="I166" s="52">
        <f>IFERROR(B166/A166,"")</f>
        <v>2.7564102564102564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15</v>
      </c>
      <c r="B167" s="63">
        <f>(96+11)/1.56</f>
        <v>68.589743589743591</v>
      </c>
      <c r="C167" s="63">
        <v>1</v>
      </c>
      <c r="D167" s="63">
        <f>(11+20)/1.56</f>
        <v>19.871794871794872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8.2051282051282062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20</v>
      </c>
      <c r="B168" s="63">
        <f>149/1.56</f>
        <v>95.512820512820511</v>
      </c>
      <c r="C168" s="53"/>
      <c r="D168" s="63"/>
      <c r="E168" s="54"/>
      <c r="F168" s="54"/>
      <c r="G168" s="54"/>
      <c r="H168" s="54"/>
      <c r="I168" s="52">
        <f t="shared" si="6"/>
        <v>9.3589743589743595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25</v>
      </c>
      <c r="B169" s="63">
        <f>(196+25)/1.56</f>
        <v>141.66666666666666</v>
      </c>
      <c r="C169" s="63">
        <v>2</v>
      </c>
      <c r="D169" s="63">
        <f>(25+28)/1.56</f>
        <v>33.974358974358971</v>
      </c>
      <c r="E169" s="54"/>
      <c r="F169" s="54"/>
      <c r="G169" s="54"/>
      <c r="H169" s="54">
        <v>1</v>
      </c>
      <c r="I169" s="52">
        <f t="shared" si="6"/>
        <v>9.2307692307692299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30</v>
      </c>
      <c r="B170" s="63">
        <f>237/1.56</f>
        <v>151.92307692307691</v>
      </c>
      <c r="C170" s="63"/>
      <c r="D170" s="63"/>
      <c r="E170" s="54"/>
      <c r="F170" s="54"/>
      <c r="G170" s="54"/>
      <c r="H170" s="54"/>
      <c r="I170" s="52">
        <f t="shared" si="6"/>
        <v>8.8461538461538449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35</v>
      </c>
      <c r="B171" s="63">
        <f>(273+29)/1.56</f>
        <v>193.58974358974359</v>
      </c>
      <c r="C171" s="63">
        <v>3</v>
      </c>
      <c r="D171" s="63">
        <f>(29+29)/1.56</f>
        <v>37.179487179487175</v>
      </c>
      <c r="E171" s="54"/>
      <c r="F171" s="54"/>
      <c r="G171" s="54"/>
      <c r="H171" s="54"/>
      <c r="I171" s="52">
        <f t="shared" si="6"/>
        <v>8.3333333333333375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40</v>
      </c>
      <c r="B172" s="63">
        <f>303/1.56</f>
        <v>194.23076923076923</v>
      </c>
      <c r="C172" s="63"/>
      <c r="D172" s="63"/>
      <c r="E172" s="54"/>
      <c r="F172" s="54"/>
      <c r="G172" s="54"/>
      <c r="H172" s="54"/>
      <c r="I172" s="52">
        <f t="shared" si="6"/>
        <v>7.5641025641025639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45</v>
      </c>
      <c r="B173" s="63">
        <f>(330+29)/1.56</f>
        <v>230.12820512820511</v>
      </c>
      <c r="C173" s="58">
        <v>4</v>
      </c>
      <c r="D173" s="63">
        <f>(29+28)/1.56</f>
        <v>36.53846153846154</v>
      </c>
      <c r="E173" s="54"/>
      <c r="F173" s="54"/>
      <c r="G173" s="54"/>
      <c r="H173" s="54"/>
      <c r="I173" s="52">
        <f t="shared" si="6"/>
        <v>7.1794871794871771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50</v>
      </c>
      <c r="B174" s="63">
        <f>354/1.56</f>
        <v>226.92307692307691</v>
      </c>
      <c r="C174" s="58"/>
      <c r="D174" s="63"/>
      <c r="E174" s="54"/>
      <c r="F174" s="54"/>
      <c r="G174" s="54"/>
      <c r="H174" s="54"/>
      <c r="I174" s="52">
        <f t="shared" si="6"/>
        <v>6.6666666666666687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55</v>
      </c>
      <c r="B175" s="63">
        <f>(376+27)/1.56</f>
        <v>258.33333333333331</v>
      </c>
      <c r="C175" s="58">
        <v>5</v>
      </c>
      <c r="D175" s="63">
        <f>(27+24)/1.56</f>
        <v>32.692307692307693</v>
      </c>
      <c r="E175" s="54"/>
      <c r="F175" s="54"/>
      <c r="G175" s="54"/>
      <c r="H175" s="54"/>
      <c r="I175" s="52">
        <f t="shared" si="6"/>
        <v>6.2820512820512819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60</v>
      </c>
      <c r="B176" s="63">
        <f>398/1.56</f>
        <v>255.12820512820511</v>
      </c>
      <c r="C176" s="58"/>
      <c r="D176" s="63"/>
      <c r="E176" s="54"/>
      <c r="F176" s="54"/>
      <c r="G176" s="54"/>
      <c r="H176" s="54"/>
      <c r="I176" s="52">
        <f t="shared" si="6"/>
        <v>5.8974358974358951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65</v>
      </c>
      <c r="B177" s="63">
        <f>(415+25)/1.56</f>
        <v>282.05128205128204</v>
      </c>
      <c r="C177" s="58">
        <v>6</v>
      </c>
      <c r="D177" s="63">
        <f>(25+24)/1.56</f>
        <v>31.410256410256409</v>
      </c>
      <c r="E177" s="54"/>
      <c r="F177" s="54"/>
      <c r="G177" s="54"/>
      <c r="H177" s="54"/>
      <c r="I177" s="52">
        <f t="shared" si="6"/>
        <v>5.3846153846153868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70</v>
      </c>
      <c r="B178" s="63">
        <f>431/1.56</f>
        <v>276.28205128205127</v>
      </c>
      <c r="C178" s="58"/>
      <c r="D178" s="63"/>
      <c r="E178" s="54"/>
      <c r="F178" s="54"/>
      <c r="G178" s="54"/>
      <c r="H178" s="54"/>
      <c r="I178" s="52">
        <f t="shared" si="6"/>
        <v>5.1282051282051269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75</v>
      </c>
      <c r="B179" s="63">
        <f>(446+23)/1.56</f>
        <v>300.64102564102564</v>
      </c>
      <c r="C179" s="93">
        <v>7</v>
      </c>
      <c r="D179" s="63">
        <f>(23+22)/1.56</f>
        <v>28.846153846153847</v>
      </c>
      <c r="E179" s="54"/>
      <c r="F179" s="54"/>
      <c r="G179" s="54"/>
      <c r="H179" s="54"/>
      <c r="I179" s="52">
        <f t="shared" si="6"/>
        <v>4.8717948717948731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80</v>
      </c>
      <c r="B180" s="63">
        <f>459/1.56</f>
        <v>294.23076923076923</v>
      </c>
      <c r="C180" s="53"/>
      <c r="D180" s="53"/>
      <c r="E180" s="54"/>
      <c r="F180" s="54"/>
      <c r="G180" s="54"/>
      <c r="H180" s="54"/>
      <c r="I180" s="52">
        <f t="shared" si="6"/>
        <v>4.4871794871794917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85</v>
      </c>
      <c r="B181" s="63">
        <f>(472+22)/1.56</f>
        <v>316.66666666666663</v>
      </c>
      <c r="C181" s="53">
        <v>8</v>
      </c>
      <c r="D181" s="53">
        <v>27.564102564102562</v>
      </c>
      <c r="E181" s="54"/>
      <c r="F181" s="54"/>
      <c r="G181" s="54"/>
      <c r="H181" s="54"/>
      <c r="I181" s="52">
        <f t="shared" si="6"/>
        <v>4.4871794871794801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90</v>
      </c>
      <c r="B182" s="63">
        <f>483/1.56</f>
        <v>309.61538461538458</v>
      </c>
      <c r="C182" s="53"/>
      <c r="D182" s="53"/>
      <c r="E182" s="54"/>
      <c r="F182" s="54"/>
      <c r="G182" s="54"/>
      <c r="H182" s="54"/>
      <c r="I182" s="52">
        <f t="shared" si="6"/>
        <v>4.1025641025640995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95</v>
      </c>
      <c r="B183" s="63">
        <f>(494+20)/1.56</f>
        <v>329.4871794871795</v>
      </c>
      <c r="C183" s="53">
        <v>9</v>
      </c>
      <c r="D183" s="53">
        <v>25</v>
      </c>
      <c r="E183" s="54"/>
      <c r="F183" s="54"/>
      <c r="G183" s="54"/>
      <c r="H183" s="54"/>
      <c r="I183" s="52">
        <f t="shared" si="6"/>
        <v>3.9743589743589838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100</v>
      </c>
      <c r="B184" s="63">
        <f>504/1.56</f>
        <v>323.07692307692304</v>
      </c>
      <c r="C184" s="53"/>
      <c r="D184" s="53"/>
      <c r="E184" s="54"/>
      <c r="F184" s="54"/>
      <c r="G184" s="54"/>
      <c r="H184" s="54"/>
      <c r="I184" s="52">
        <f t="shared" si="6"/>
        <v>3.717948717948707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110</v>
      </c>
      <c r="B185" s="63">
        <f>(523+18+18)/1.56</f>
        <v>358.33333333333331</v>
      </c>
      <c r="C185" s="53">
        <v>10</v>
      </c>
      <c r="D185" s="63">
        <f>(523+18+18)/1.56</f>
        <v>358.33333333333331</v>
      </c>
      <c r="E185" s="54"/>
      <c r="F185" s="54"/>
      <c r="G185" s="54"/>
      <c r="H185" s="54"/>
      <c r="I185" s="52">
        <f t="shared" si="6"/>
        <v>3.5256410256410278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4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3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4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3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3"/>
      <c r="B231" s="63"/>
      <c r="C231" s="93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4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3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3"/>
      <c r="B257" s="63"/>
      <c r="C257" s="93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4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3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3"/>
      <c r="B283" s="63"/>
      <c r="C283" s="93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5"/>
      <c r="K1" s="10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6" t="s">
        <v>296</v>
      </c>
      <c r="C5" s="106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7"/>
      <c r="B7" s="29" t="s">
        <v>295</v>
      </c>
      <c r="C7" s="108" t="s">
        <v>214</v>
      </c>
      <c r="D7" s="234"/>
      <c r="E7" s="109"/>
      <c r="F7" s="29" t="s">
        <v>295</v>
      </c>
      <c r="G7" s="108" t="s">
        <v>215</v>
      </c>
      <c r="H7" s="235"/>
      <c r="I7" s="235"/>
      <c r="J7" s="235"/>
      <c r="K7" s="235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</row>
    <row r="8" spans="1:38" ht="17.25" customHeight="1" x14ac:dyDescent="0.3">
      <c r="A8" s="113">
        <v>1</v>
      </c>
      <c r="B8" s="64">
        <v>1</v>
      </c>
      <c r="C8" s="52" t="s">
        <v>177</v>
      </c>
      <c r="D8" s="25"/>
      <c r="E8" s="113">
        <v>4</v>
      </c>
      <c r="F8" s="64">
        <v>0</v>
      </c>
      <c r="G8" s="110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3">
        <v>2</v>
      </c>
      <c r="B9" s="64">
        <v>0</v>
      </c>
      <c r="C9" s="116" t="s">
        <v>216</v>
      </c>
      <c r="D9" s="25"/>
      <c r="E9" s="113">
        <v>5</v>
      </c>
      <c r="F9" s="64">
        <v>0</v>
      </c>
      <c r="G9" s="111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3">
        <v>3</v>
      </c>
      <c r="B10" s="64">
        <v>0</v>
      </c>
      <c r="C10" s="117" t="s">
        <v>217</v>
      </c>
      <c r="D10" s="25"/>
      <c r="E10" s="5"/>
      <c r="F10" s="114">
        <f>SUM(F7:F9)</f>
        <v>0</v>
      </c>
      <c r="G10" s="112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4">
        <v>0</v>
      </c>
      <c r="C11" s="112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5"/>
      <c r="B13" s="115"/>
      <c r="C13" s="106" t="s">
        <v>273</v>
      </c>
      <c r="D13" s="235"/>
      <c r="E13" s="107"/>
      <c r="F13" s="115"/>
      <c r="G13" s="106" t="s">
        <v>301</v>
      </c>
      <c r="H13" s="235"/>
      <c r="I13" s="235"/>
      <c r="J13" s="235"/>
      <c r="K13" s="235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</row>
    <row r="14" spans="1:38" s="4" customFormat="1" ht="21" customHeight="1" x14ac:dyDescent="0.3">
      <c r="A14" s="235"/>
      <c r="B14" s="115"/>
      <c r="C14" s="106" t="s">
        <v>309</v>
      </c>
      <c r="D14" s="235"/>
      <c r="E14" s="107"/>
      <c r="F14" s="115"/>
      <c r="G14" s="106" t="s">
        <v>294</v>
      </c>
      <c r="H14" s="235"/>
      <c r="I14" s="235"/>
      <c r="J14" s="235"/>
      <c r="K14" s="235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8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8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8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4">
        <f>SUM(B16:B18)</f>
        <v>1</v>
      </c>
      <c r="C19" s="112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8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8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pubescent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Alisier torminal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Cormier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Merisier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Tilleul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428.8489304403459</v>
      </c>
      <c r="T3" s="62">
        <f>IF('Données projet'!E9&gt;30,$R$33-$H$33,LOOKUP('Données projet'!$E$9,$A$3:$A$203,R3:R203)-LOOKUP('Données projet'!$E$9,$A$3:$A$203,$H$3:$H$203))</f>
        <v>247.01165577562966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475.47920969424894</v>
      </c>
      <c r="AO3" s="62">
        <f>IF('Données projet'!E10&gt;30,$AM$33-$H$33,LOOKUP('Données projet'!$E$10,$A$3:$A$203,AM3:AM203)-LOOKUP('Données projet'!$E$10,$A$3:$A$203,$H$3:$H$203))</f>
        <v>271.73544012419364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455.50822833641354</v>
      </c>
      <c r="BJ3" s="62">
        <f>IF('Données projet'!E11&gt;30,$BH$33-$H$33,LOOKUP('Données projet'!$E$11,$A$3:$A$203,BH3:BH203)-LOOKUP('Données projet'!$E$11,$A$3:$A$203,$H$3:$H$203))</f>
        <v>261.14722581688039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502.07782026233912</v>
      </c>
      <c r="CE3" s="62">
        <f>IF('Données projet'!E12&gt;30,$CC$33-$H$33,LOOKUP('Données projet'!$E$12,$A$3:$A$203,CC3:CC203)-LOOKUP('Données projet'!$E$12,$A$3:$A$203,$H$3:$H$203))</f>
        <v>285.83623046025156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289.19475369871481</v>
      </c>
      <c r="CZ3" s="62">
        <f>IF('Données projet'!E13&gt;30,$CX$33-$H$33,LOOKUP('Données projet'!$E$13,$A$3:$A$203,CX3:CX203)-LOOKUP('Données projet'!$E$13,$A$3:$A$203,$H$3:$H$203))</f>
        <v>283.48738729114024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343.33067866534634</v>
      </c>
      <c r="DU3" s="62">
        <f>IF('Données projet'!E14&gt;30,$DS$33-$H$33,LOOKUP('Données projet'!$E$14,$A$3:$A$203,DS3:DS203)-LOOKUP('Données projet'!$E$14,$A$3:$A$203,$H$3:$H$203))</f>
        <v>261.91036689641402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2">
        <f t="shared" si="0"/>
        <v>260.65521412271448</v>
      </c>
      <c r="S4" s="62">
        <f ca="1">AVERAGE(OFFSET($R$3,0,0,'Données projet'!$E$9+1,1))-AVERAGE(OFFSET($H$3,0,0,'Données projet'!$E$9+1,1))</f>
        <v>428.8489304403459</v>
      </c>
      <c r="T4" s="62">
        <f>$T$3</f>
        <v>247.01165577562966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2">
        <f t="shared" ref="AM4:AM67" si="5">AL4+(AD4+AE4)*44/12</f>
        <v>260.97628431819578</v>
      </c>
      <c r="AN4" s="62">
        <f ca="1">AVERAGE(OFFSET($AM$3,0,0,'Données projet'!$E$10+1,1))-AVERAGE(OFFSET($H$3,0,0,'Données projet'!$E$10+1,1))</f>
        <v>475.47920969424894</v>
      </c>
      <c r="AO4" s="62">
        <f>$AO$3</f>
        <v>271.73544012419364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1.165946847124371</v>
      </c>
      <c r="BF4" s="14">
        <f>EXP(-1.0587+0.8836*LN(BE4)+0.284)</f>
        <v>0.52780002987456354</v>
      </c>
      <c r="BG4" s="22">
        <f t="shared" ref="BG4:BG67" si="7">(BE4+BF4)*0.475*44/12</f>
        <v>2.9499424774398109</v>
      </c>
      <c r="BH4" s="62">
        <f t="shared" ref="BH4:BH67" si="8">BG4+(AY4+AZ4)*44/12</f>
        <v>260.83883136632869</v>
      </c>
      <c r="BI4" s="62">
        <f ca="1">AVERAGE(OFFSET($BH$3,0,0,'Données projet'!$E$11+1,1))-AVERAGE(OFFSET($H$3,0,0,'Données projet'!$E$11+1,1))</f>
        <v>455.50822833641354</v>
      </c>
      <c r="BJ4" s="62">
        <f>$BJ$3</f>
        <v>261.14722581688039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1.2975860072835741</v>
      </c>
      <c r="CA4" s="14">
        <f>EXP(-1.0587+0.8836*LN(BZ4)+0.284)</f>
        <v>0.58012177912374829</v>
      </c>
      <c r="CB4" s="22">
        <f t="shared" ref="CB4:CB67" si="10">(BZ4+CA4)*0.475*44/12</f>
        <v>3.2703410613260862</v>
      </c>
      <c r="CC4" s="62">
        <f t="shared" ref="CC4:CC67" si="11">CB4+(BT4+BU4)*44/12</f>
        <v>261.15922995021492</v>
      </c>
      <c r="CD4" s="62">
        <f ca="1">AVERAGE(OFFSET($CC$3,0,0,'Données projet'!$E$12+1,1))-AVERAGE(OFFSET($H$3,0,0,'Données projet'!$E$12+1,1))</f>
        <v>502.07782026233912</v>
      </c>
      <c r="CE4" s="62">
        <f>$CE$3</f>
        <v>285.83623046025156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2.6666666666666665</v>
      </c>
      <c r="CT4" s="13">
        <f>IF('Données projet'!$A$140&gt;35,CT3+CS4-DB3,IF(A4&lt;'Données projet'!$A$140,$CQ$205^A4,IF(A4='Données projet'!$A$140,'Données projet'!$B$140,CT3+CS4-DB3)))</f>
        <v>1.2788040393997409</v>
      </c>
      <c r="CU4" s="18">
        <f>CT4*VLOOKUP('Données projet'!$B$13,Paramètres!$A$1:$I$89,3,0)*VLOOKUP('Données projet'!$B$13,Paramètres!$A$1:$I$89,5,0)</f>
        <v>0.99746715073179792</v>
      </c>
      <c r="CV4" s="14">
        <f>EXP(-1.0587+0.8836*LN(CU4)+0.284)</f>
        <v>0.45981048445793882</v>
      </c>
      <c r="CW4" s="22">
        <f t="shared" ref="CW4:CW67" si="13">(CU4+CV4)*0.475*44/12</f>
        <v>2.5380918812887914</v>
      </c>
      <c r="CX4" s="62">
        <f t="shared" ref="CX4:CX67" si="14">CW4+(CO4+CP4)*44/12</f>
        <v>260.42698077017764</v>
      </c>
      <c r="CY4" s="62">
        <f ca="1">AVERAGE(OFFSET($CX$3,0,0,'Données projet'!$E$13+1,1))-AVERAGE(OFFSET($H$3,0,0,'Données projet'!$E$13+1,1))</f>
        <v>289.19475369871481</v>
      </c>
      <c r="CZ4" s="62">
        <f>$CZ$3</f>
        <v>283.48738729114024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2.7564102564102564</v>
      </c>
      <c r="DO4" s="13">
        <f>IF('Données projet'!$A$166&gt;35,DO3+DN4-DW3,IF(A4&lt;'Données projet'!$A$166,$DL$205^A4,IF(A4='Données projet'!$A$166,'Données projet'!$B$166,DO3+DN4-DW3)))</f>
        <v>1.3932671119677325</v>
      </c>
      <c r="DP4" s="18">
        <f>DO4*VLOOKUP('Données projet'!$B$14,Paramètres!$A$1:$I$89,3,0)*VLOOKUP('Données projet'!$B$14,Paramètres!$A$1:$I$89,5,0)</f>
        <v>0.93460357870795485</v>
      </c>
      <c r="DQ4" s="14">
        <f>EXP(-1.0587+0.8836*LN(DP4)+0.284)</f>
        <v>0.43410868090907445</v>
      </c>
      <c r="DR4" s="22">
        <f t="shared" ref="DR4:DR67" si="16">(DP4+DQ4)*0.475*44/12</f>
        <v>2.3838405188329927</v>
      </c>
      <c r="DS4" s="62">
        <f t="shared" ref="DS4:DS67" si="17">DR4+(DJ4+DK4)*44/12</f>
        <v>260.27272940772184</v>
      </c>
      <c r="DT4" s="62">
        <f ca="1">AVERAGE(OFFSET($DS$3,0,0,'Données projet'!$E$14+1,1))-AVERAGE(OFFSET($H$3,0,0,'Données projet'!$E$14+1,1))</f>
        <v>343.33067866534634</v>
      </c>
      <c r="DU4" s="62">
        <f>$DU$3</f>
        <v>261.91036689641402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2">
        <f t="shared" si="0"/>
        <v>262.42339882093205</v>
      </c>
      <c r="S5" s="62">
        <f ca="1">AVERAGE(OFFSET($R$3,0,0,'Données projet'!$E$9+1,1))-AVERAGE(OFFSET($H$3,0,0,'Données projet'!$E$9+1,1))</f>
        <v>428.8489304403459</v>
      </c>
      <c r="T5" s="62">
        <f t="shared" ref="T5:T68" si="34">$T$3</f>
        <v>247.01165577562966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2">
        <f t="shared" si="5"/>
        <v>262.80806344386446</v>
      </c>
      <c r="AN5" s="62">
        <f ca="1">AVERAGE(OFFSET($AM$3,0,0,'Données projet'!$E$10+1,1))-AVERAGE(OFFSET($H$3,0,0,'Données projet'!$E$10+1,1))</f>
        <v>475.47920969424894</v>
      </c>
      <c r="AO5" s="62">
        <f t="shared" ref="AO5:AO68" si="36">$AO$3</f>
        <v>271.73544012419364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1.4055335507850097</v>
      </c>
      <c r="BF5" s="14">
        <f t="shared" ref="BF5:BF68" si="37">EXP(-1.0587+0.8836*LN(BE5)+0.284)</f>
        <v>0.62256480317525631</v>
      </c>
      <c r="BG5" s="22">
        <f t="shared" si="7"/>
        <v>3.5322712998141292</v>
      </c>
      <c r="BH5" s="62">
        <f t="shared" si="8"/>
        <v>262.64338241092526</v>
      </c>
      <c r="BI5" s="62">
        <f ca="1">AVERAGE(OFFSET($BH$3,0,0,'Données projet'!$E$11+1,1))-AVERAGE(OFFSET($H$3,0,0,'Données projet'!$E$11+1,1))</f>
        <v>455.50822833641354</v>
      </c>
      <c r="BJ5" s="62">
        <f t="shared" ref="BJ5:BJ68" si="38">$BJ$3</f>
        <v>261.14722581688039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1.5642228226478332</v>
      </c>
      <c r="CA5" s="14">
        <f t="shared" ref="CA5:CA68" si="39">EXP(-1.0587+0.8836*LN(BZ5)+0.284)</f>
        <v>0.68428075179095682</v>
      </c>
      <c r="CB5" s="22">
        <f t="shared" si="10"/>
        <v>3.9161437254808931</v>
      </c>
      <c r="CC5" s="62">
        <f t="shared" si="11"/>
        <v>263.02725483659202</v>
      </c>
      <c r="CD5" s="62">
        <f ca="1">AVERAGE(OFFSET($CC$3,0,0,'Données projet'!$E$12+1,1))-AVERAGE(OFFSET($H$3,0,0,'Données projet'!$E$12+1,1))</f>
        <v>502.07782026233912</v>
      </c>
      <c r="CE5" s="62">
        <f t="shared" ref="CE5:CE68" si="40">$CE$3</f>
        <v>285.83623046025156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2.6666666666666665</v>
      </c>
      <c r="CT5" s="13">
        <f>IF('Données projet'!$A$140&gt;35,CT4+CS5-DB4,IF(A5&lt;'Données projet'!$A$140,$CQ$205^A5,IF(A5='Données projet'!$A$140,'Données projet'!$B$140,CT4+CS5-DB4)))</f>
        <v>1.6353397711850939</v>
      </c>
      <c r="CU5" s="18">
        <f>CT5*VLOOKUP('Données projet'!$B$13,Paramètres!$A$1:$I$89,3,0)*VLOOKUP('Données projet'!$B$13,Paramètres!$A$1:$I$89,5,0)</f>
        <v>1.2755650215243732</v>
      </c>
      <c r="CV5" s="14">
        <f t="shared" ref="CV5:CV68" si="41">EXP(-1.0587+0.8836*LN(CU5)+0.284)</f>
        <v>0.57141400910743001</v>
      </c>
      <c r="CW5" s="22">
        <f t="shared" si="13"/>
        <v>3.2168218116837237</v>
      </c>
      <c r="CX5" s="62">
        <f t="shared" si="14"/>
        <v>262.32793292279484</v>
      </c>
      <c r="CY5" s="62">
        <f ca="1">AVERAGE(OFFSET($CX$3,0,0,'Données projet'!$E$13+1,1))-AVERAGE(OFFSET($H$3,0,0,'Données projet'!$E$13+1,1))</f>
        <v>289.19475369871481</v>
      </c>
      <c r="CZ5" s="62">
        <f t="shared" ref="CZ5:CZ68" si="42">$CZ$3</f>
        <v>283.48738729114024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2.7564102564102564</v>
      </c>
      <c r="DO5" s="13">
        <f>IF('Données projet'!$A$166&gt;35,DO4+DN5-DW4,IF(A5&lt;'Données projet'!$A$166,$DL$205^A5,IF(A5='Données projet'!$A$166,'Données projet'!$B$166,DO4+DN5-DW4)))</f>
        <v>1.941193245290906</v>
      </c>
      <c r="DP5" s="18">
        <f>DO5*VLOOKUP('Données projet'!$B$14,Paramètres!$A$1:$I$89,3,0)*VLOOKUP('Données projet'!$B$14,Paramètres!$A$1:$I$89,5,0)</f>
        <v>1.3021524289411397</v>
      </c>
      <c r="DQ5" s="14">
        <f t="shared" ref="DQ5:DQ68" si="43">EXP(-1.0587+0.8836*LN(DP5)+0.284)</f>
        <v>0.58192531959354554</v>
      </c>
      <c r="DR5" s="22">
        <f t="shared" si="16"/>
        <v>3.2814354120312434</v>
      </c>
      <c r="DS5" s="62">
        <f t="shared" si="17"/>
        <v>262.39254652314241</v>
      </c>
      <c r="DT5" s="62">
        <f ca="1">AVERAGE(OFFSET($DS$3,0,0,'Données projet'!$E$14+1,1))-AVERAGE(OFFSET($H$3,0,0,'Données projet'!$E$14+1,1))</f>
        <v>343.33067866534634</v>
      </c>
      <c r="DU5" s="62">
        <f t="shared" ref="DU5:DU68" si="44">$DU$3</f>
        <v>261.91036689641402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2">
        <f t="shared" si="0"/>
        <v>264.29973523978072</v>
      </c>
      <c r="S6" s="62">
        <f ca="1">AVERAGE(OFFSET($R$3,0,0,'Données projet'!$E$9+1,1))-AVERAGE(OFFSET($H$3,0,0,'Données projet'!$E$9+1,1))</f>
        <v>428.8489304403459</v>
      </c>
      <c r="T6" s="62">
        <f t="shared" si="34"/>
        <v>247.01165577562966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2">
        <f t="shared" si="5"/>
        <v>264.76063455825545</v>
      </c>
      <c r="AN6" s="62">
        <f ca="1">AVERAGE(OFFSET($AM$3,0,0,'Données projet'!$E$10+1,1))-AVERAGE(OFFSET($H$3,0,0,'Données projet'!$E$10+1,1))</f>
        <v>475.47920969424894</v>
      </c>
      <c r="AO6" s="62">
        <f t="shared" si="36"/>
        <v>271.73544012419364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1.694352163012101</v>
      </c>
      <c r="BF6" s="14">
        <f t="shared" si="37"/>
        <v>0.73434428233124405</v>
      </c>
      <c r="BG6" s="22">
        <f t="shared" si="7"/>
        <v>4.2299796423063247</v>
      </c>
      <c r="BH6" s="62">
        <f t="shared" si="8"/>
        <v>264.56331297563963</v>
      </c>
      <c r="BI6" s="62">
        <f ca="1">AVERAGE(OFFSET($BH$3,0,0,'Données projet'!$E$11+1,1))-AVERAGE(OFFSET($H$3,0,0,'Données projet'!$E$11+1,1))</f>
        <v>455.50822833641354</v>
      </c>
      <c r="BJ6" s="62">
        <f t="shared" si="38"/>
        <v>261.14722581688039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1.885649987868306</v>
      </c>
      <c r="CA6" s="14">
        <f t="shared" si="39"/>
        <v>0.8071411281590839</v>
      </c>
      <c r="CB6" s="22">
        <f t="shared" si="10"/>
        <v>4.6899445270810372</v>
      </c>
      <c r="CC6" s="62">
        <f t="shared" si="11"/>
        <v>265.02327786041434</v>
      </c>
      <c r="CD6" s="62">
        <f ca="1">AVERAGE(OFFSET($CC$3,0,0,'Données projet'!$E$12+1,1))-AVERAGE(OFFSET($H$3,0,0,'Données projet'!$E$12+1,1))</f>
        <v>502.07782026233912</v>
      </c>
      <c r="CE6" s="62">
        <f t="shared" si="40"/>
        <v>285.83623046025156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2.6666666666666665</v>
      </c>
      <c r="CT6" s="13">
        <f>IF('Données projet'!$A$140&gt;35,CT5+CS6-DB5,IF(A6&lt;'Données projet'!$A$140,$CQ$205^A6,IF(A6='Données projet'!$A$140,'Données projet'!$B$140,CT5+CS6-DB5)))</f>
        <v>2.0912791051825459</v>
      </c>
      <c r="CU6" s="18">
        <f>CT6*VLOOKUP('Données projet'!$B$13,Paramètres!$A$1:$I$89,3,0)*VLOOKUP('Données projet'!$B$13,Paramètres!$A$1:$I$89,5,0)</f>
        <v>1.6311977020423858</v>
      </c>
      <c r="CV6" s="14">
        <f t="shared" si="41"/>
        <v>0.71010553443370616</v>
      </c>
      <c r="CW6" s="22">
        <f t="shared" si="13"/>
        <v>4.0777698035291934</v>
      </c>
      <c r="CX6" s="62">
        <f t="shared" si="14"/>
        <v>264.41110313686249</v>
      </c>
      <c r="CY6" s="62">
        <f ca="1">AVERAGE(OFFSET($CX$3,0,0,'Données projet'!$E$13+1,1))-AVERAGE(OFFSET($H$3,0,0,'Données projet'!$E$13+1,1))</f>
        <v>289.19475369871481</v>
      </c>
      <c r="CZ6" s="62">
        <f t="shared" si="42"/>
        <v>283.48738729114024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2.7564102564102564</v>
      </c>
      <c r="DO6" s="13">
        <f>IF('Données projet'!$A$166&gt;35,DO5+DN6-DW5,IF(A6&lt;'Données projet'!$A$166,$DL$205^A6,IF(A6='Données projet'!$A$166,'Données projet'!$B$166,DO5+DN6-DW5)))</f>
        <v>2.7046007066377307</v>
      </c>
      <c r="DP6" s="18">
        <f>DO6*VLOOKUP('Données projet'!$B$14,Paramètres!$A$1:$I$89,3,0)*VLOOKUP('Données projet'!$B$14,Paramètres!$A$1:$I$89,5,0)</f>
        <v>1.8142461540125896</v>
      </c>
      <c r="DQ6" s="14">
        <f t="shared" si="43"/>
        <v>0.7800744202463411</v>
      </c>
      <c r="DR6" s="22">
        <f t="shared" si="16"/>
        <v>4.5184416668343035</v>
      </c>
      <c r="DS6" s="62">
        <f t="shared" si="17"/>
        <v>264.85177500016761</v>
      </c>
      <c r="DT6" s="62">
        <f ca="1">AVERAGE(OFFSET($DS$3,0,0,'Données projet'!$E$14+1,1))-AVERAGE(OFFSET($H$3,0,0,'Données projet'!$E$14+1,1))</f>
        <v>343.33067866534634</v>
      </c>
      <c r="DU6" s="62">
        <f t="shared" si="44"/>
        <v>261.91036689641402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2">
        <f t="shared" si="0"/>
        <v>266.30572241486152</v>
      </c>
      <c r="S7" s="62">
        <f ca="1">AVERAGE(OFFSET($R$3,0,0,'Données projet'!$E$9+1,1))-AVERAGE(OFFSET($H$3,0,0,'Données projet'!$E$9+1,1))</f>
        <v>428.8489304403459</v>
      </c>
      <c r="T7" s="62">
        <f t="shared" si="34"/>
        <v>247.01165577562966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2">
        <f t="shared" si="5"/>
        <v>266.8580173405054</v>
      </c>
      <c r="AN7" s="62">
        <f ca="1">AVERAGE(OFFSET($AM$3,0,0,'Données projet'!$E$10+1,1))-AVERAGE(OFFSET($H$3,0,0,'Données projet'!$E$10+1,1))</f>
        <v>475.47920969424894</v>
      </c>
      <c r="AO7" s="62">
        <f t="shared" si="36"/>
        <v>271.73544012419364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2.042519191875845</v>
      </c>
      <c r="BF7" s="14">
        <f t="shared" si="37"/>
        <v>0.86619340226463792</v>
      </c>
      <c r="BG7" s="22">
        <f t="shared" si="7"/>
        <v>5.0660077681280073</v>
      </c>
      <c r="BH7" s="62">
        <f t="shared" si="8"/>
        <v>266.62156332368357</v>
      </c>
      <c r="BI7" s="62">
        <f ca="1">AVERAGE(OFFSET($BH$3,0,0,'Données projet'!$E$11+1,1))-AVERAGE(OFFSET($H$3,0,0,'Données projet'!$E$11+1,1))</f>
        <v>455.50822833641354</v>
      </c>
      <c r="BJ7" s="62">
        <f t="shared" si="38"/>
        <v>261.14722581688039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2.2731261974102144</v>
      </c>
      <c r="CA7" s="14">
        <f t="shared" si="39"/>
        <v>0.95206068424520052</v>
      </c>
      <c r="CB7" s="22">
        <f t="shared" si="10"/>
        <v>5.617200485549847</v>
      </c>
      <c r="CC7" s="62">
        <f t="shared" si="11"/>
        <v>267.1727560411054</v>
      </c>
      <c r="CD7" s="62">
        <f ca="1">AVERAGE(OFFSET($CC$3,0,0,'Données projet'!$E$12+1,1))-AVERAGE(OFFSET($H$3,0,0,'Données projet'!$E$12+1,1))</f>
        <v>502.07782026233912</v>
      </c>
      <c r="CE7" s="62">
        <f t="shared" si="40"/>
        <v>285.83623046025156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2.6666666666666665</v>
      </c>
      <c r="CT7" s="13">
        <f>IF('Données projet'!$A$140&gt;35,CT6+CS7-DB6,IF(A7&lt;'Données projet'!$A$140,$CQ$205^A7,IF(A7='Données projet'!$A$140,'Données projet'!$B$140,CT6+CS7-DB6)))</f>
        <v>2.6743361672197152</v>
      </c>
      <c r="CU7" s="18">
        <f>CT7*VLOOKUP('Données projet'!$B$13,Paramètres!$A$1:$I$89,3,0)*VLOOKUP('Données projet'!$B$13,Paramètres!$A$1:$I$89,5,0)</f>
        <v>2.0859822104313781</v>
      </c>
      <c r="CV7" s="14">
        <f t="shared" si="41"/>
        <v>0.88245976121767966</v>
      </c>
      <c r="CW7" s="22">
        <f t="shared" si="13"/>
        <v>5.1700364339554419</v>
      </c>
      <c r="CX7" s="62">
        <f t="shared" si="14"/>
        <v>266.72559198951097</v>
      </c>
      <c r="CY7" s="62">
        <f ca="1">AVERAGE(OFFSET($CX$3,0,0,'Données projet'!$E$13+1,1))-AVERAGE(OFFSET($H$3,0,0,'Données projet'!$E$13+1,1))</f>
        <v>289.19475369871481</v>
      </c>
      <c r="CZ7" s="62">
        <f t="shared" si="42"/>
        <v>283.48738729114024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2.7564102564102564</v>
      </c>
      <c r="DO7" s="13">
        <f>IF('Données projet'!$A$166&gt;35,DO6+DN7-DW6,IF(A7&lt;'Données projet'!$A$166,$DL$205^A7,IF(A7='Données projet'!$A$166,'Données projet'!$B$166,DO6+DN7-DW6)))</f>
        <v>3.7682312155630395</v>
      </c>
      <c r="DP7" s="18">
        <f>DO7*VLOOKUP('Données projet'!$B$14,Paramètres!$A$1:$I$89,3,0)*VLOOKUP('Données projet'!$B$14,Paramètres!$A$1:$I$89,5,0)</f>
        <v>2.5277294993996873</v>
      </c>
      <c r="DQ7" s="14">
        <f t="shared" si="43"/>
        <v>1.0456944914300901</v>
      </c>
      <c r="DR7" s="22">
        <f t="shared" si="16"/>
        <v>6.2237134506951959</v>
      </c>
      <c r="DS7" s="62">
        <f t="shared" si="17"/>
        <v>267.77926900625073</v>
      </c>
      <c r="DT7" s="62">
        <f ca="1">AVERAGE(OFFSET($DS$3,0,0,'Données projet'!$E$14+1,1))-AVERAGE(OFFSET($H$3,0,0,'Données projet'!$E$14+1,1))</f>
        <v>343.33067866534634</v>
      </c>
      <c r="DU7" s="62">
        <f t="shared" si="44"/>
        <v>261.91036689641402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2">
        <f t="shared" si="0"/>
        <v>268.46714702955143</v>
      </c>
      <c r="S8" s="62">
        <f ca="1">AVERAGE(OFFSET($R$3,0,0,'Données projet'!$E$9+1,1))-AVERAGE(OFFSET($H$3,0,0,'Données projet'!$E$9+1,1))</f>
        <v>428.8489304403459</v>
      </c>
      <c r="T8" s="62">
        <f t="shared" si="34"/>
        <v>247.01165577562966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2">
        <f t="shared" si="5"/>
        <v>269.12902329365244</v>
      </c>
      <c r="AN8" s="62">
        <f ca="1">AVERAGE(OFFSET($AM$3,0,0,'Données projet'!$E$10+1,1))-AVERAGE(OFFSET($H$3,0,0,'Données projet'!$E$10+1,1))</f>
        <v>475.47920969424894</v>
      </c>
      <c r="AO8" s="62">
        <f t="shared" si="36"/>
        <v>271.73544012419364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2.4622299544651152</v>
      </c>
      <c r="BF8" s="14">
        <f t="shared" si="37"/>
        <v>1.021715601495419</v>
      </c>
      <c r="BG8" s="22">
        <f t="shared" si="7"/>
        <v>6.0678718432979295</v>
      </c>
      <c r="BH8" s="62">
        <f t="shared" si="8"/>
        <v>268.84564962107572</v>
      </c>
      <c r="BI8" s="62">
        <f ca="1">AVERAGE(OFFSET($BH$3,0,0,'Données projet'!$E$11+1,1))-AVERAGE(OFFSET($H$3,0,0,'Données projet'!$E$11+1,1))</f>
        <v>455.50822833641354</v>
      </c>
      <c r="BJ8" s="62">
        <f t="shared" si="38"/>
        <v>261.14722581688039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2.740223659001499</v>
      </c>
      <c r="CA8" s="14">
        <f t="shared" si="39"/>
        <v>1.1230000737947632</v>
      </c>
      <c r="CB8" s="22">
        <f t="shared" si="10"/>
        <v>6.7284480012868242</v>
      </c>
      <c r="CC8" s="62">
        <f t="shared" si="11"/>
        <v>269.50622577906461</v>
      </c>
      <c r="CD8" s="62">
        <f ca="1">AVERAGE(OFFSET($CC$3,0,0,'Données projet'!$E$12+1,1))-AVERAGE(OFFSET($H$3,0,0,'Données projet'!$E$12+1,1))</f>
        <v>502.07782026233912</v>
      </c>
      <c r="CE8" s="62">
        <f t="shared" si="40"/>
        <v>285.83623046025156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2.6666666666666665</v>
      </c>
      <c r="CT8" s="13">
        <f>IF('Données projet'!$A$140&gt;35,CT7+CS8-DB7,IF(A8&lt;'Données projet'!$A$140,$CQ$205^A8,IF(A8='Données projet'!$A$140,'Données projet'!$B$140,CT7+CS8-DB7)))</f>
        <v>3.4199518933533928</v>
      </c>
      <c r="CU8" s="18">
        <f>CT8*VLOOKUP('Données projet'!$B$13,Paramètres!$A$1:$I$89,3,0)*VLOOKUP('Données projet'!$B$13,Paramètres!$A$1:$I$89,5,0)</f>
        <v>2.6675624768156463</v>
      </c>
      <c r="CV8" s="14">
        <f t="shared" si="41"/>
        <v>1.0966471776471767</v>
      </c>
      <c r="CW8" s="22">
        <f t="shared" si="13"/>
        <v>6.5559984815227494</v>
      </c>
      <c r="CX8" s="62">
        <f t="shared" si="14"/>
        <v>269.33377625930052</v>
      </c>
      <c r="CY8" s="62">
        <f ca="1">AVERAGE(OFFSET($CX$3,0,0,'Données projet'!$E$13+1,1))-AVERAGE(OFFSET($H$3,0,0,'Données projet'!$E$13+1,1))</f>
        <v>289.19475369871481</v>
      </c>
      <c r="CZ8" s="62">
        <f t="shared" si="42"/>
        <v>283.48738729114024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2.7564102564102564</v>
      </c>
      <c r="DO8" s="13">
        <f>IF('Données projet'!$A$166&gt;35,DO7+DN8-DW7,IF(A8&lt;'Données projet'!$A$166,$DL$205^A8,IF(A8='Données projet'!$A$166,'Données projet'!$B$166,DO7+DN8-DW7)))</f>
        <v>5.2501526229341744</v>
      </c>
      <c r="DP8" s="18">
        <f>DO8*VLOOKUP('Données projet'!$B$14,Paramètres!$A$1:$I$89,3,0)*VLOOKUP('Données projet'!$B$14,Paramètres!$A$1:$I$89,5,0)</f>
        <v>3.5218023794642446</v>
      </c>
      <c r="DQ8" s="14">
        <f t="shared" si="43"/>
        <v>1.4017598078166997</v>
      </c>
      <c r="DR8" s="22">
        <f t="shared" si="16"/>
        <v>8.5752041428476442</v>
      </c>
      <c r="DS8" s="62">
        <f t="shared" si="17"/>
        <v>271.35298192062544</v>
      </c>
      <c r="DT8" s="62">
        <f ca="1">AVERAGE(OFFSET($DS$3,0,0,'Données projet'!$E$14+1,1))-AVERAGE(OFFSET($H$3,0,0,'Données projet'!$E$14+1,1))</f>
        <v>343.33067866534634</v>
      </c>
      <c r="DU8" s="62">
        <f t="shared" si="44"/>
        <v>261.91036689641402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2">
        <f t="shared" si="0"/>
        <v>270.81494110736412</v>
      </c>
      <c r="S9" s="62">
        <f ca="1">AVERAGE(OFFSET($R$3,0,0,'Données projet'!$E$9+1,1))-AVERAGE(OFFSET($H$3,0,0,'Données projet'!$E$9+1,1))</f>
        <v>428.8489304403459</v>
      </c>
      <c r="T9" s="62">
        <f t="shared" si="34"/>
        <v>247.01165577562966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2">
        <f t="shared" si="5"/>
        <v>271.60821456387049</v>
      </c>
      <c r="AN9" s="62">
        <f ca="1">AVERAGE(OFFSET($AM$3,0,0,'Données projet'!$E$10+1,1))-AVERAGE(OFFSET($H$3,0,0,'Données projet'!$E$10+1,1))</f>
        <v>475.47920969424894</v>
      </c>
      <c r="AO9" s="62">
        <f t="shared" si="36"/>
        <v>271.73544012419364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2.9681857447309605</v>
      </c>
      <c r="BF9" s="14">
        <f t="shared" si="37"/>
        <v>1.2051613041728233</v>
      </c>
      <c r="BG9" s="22">
        <f t="shared" si="7"/>
        <v>7.2685794435074236</v>
      </c>
      <c r="BH9" s="62">
        <f t="shared" si="8"/>
        <v>271.26857944350741</v>
      </c>
      <c r="BI9" s="62">
        <f ca="1">AVERAGE(OFFSET($BH$3,0,0,'Données projet'!$E$11+1,1))-AVERAGE(OFFSET($H$3,0,0,'Données projet'!$E$11+1,1))</f>
        <v>455.50822833641354</v>
      </c>
      <c r="BJ9" s="62">
        <f t="shared" si="38"/>
        <v>261.14722581688039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3.3033034901038101</v>
      </c>
      <c r="CA9" s="14">
        <f t="shared" si="39"/>
        <v>1.3246310730107231</v>
      </c>
      <c r="CB9" s="22">
        <f t="shared" si="10"/>
        <v>8.0603193640911446</v>
      </c>
      <c r="CC9" s="62">
        <f t="shared" si="11"/>
        <v>272.06031936409113</v>
      </c>
      <c r="CD9" s="62">
        <f ca="1">AVERAGE(OFFSET($CC$3,0,0,'Données projet'!$E$12+1,1))-AVERAGE(OFFSET($H$3,0,0,'Données projet'!$E$12+1,1))</f>
        <v>502.07782026233912</v>
      </c>
      <c r="CE9" s="62">
        <f t="shared" si="40"/>
        <v>285.83623046025156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2.6666666666666665</v>
      </c>
      <c r="CT9" s="13">
        <f>IF('Données projet'!$A$140&gt;35,CT8+CS9-DB8,IF(A9&lt;'Données projet'!$A$140,$CQ$205^A9,IF(A9='Données projet'!$A$140,'Données projet'!$B$140,CT8+CS9-DB8)))</f>
        <v>4.3734482957731098</v>
      </c>
      <c r="CU9" s="18">
        <f>CT9*VLOOKUP('Données projet'!$B$13,Paramètres!$A$1:$I$89,3,0)*VLOOKUP('Données projet'!$B$13,Paramètres!$A$1:$I$89,5,0)</f>
        <v>3.4112896707030256</v>
      </c>
      <c r="CV9" s="14">
        <f t="shared" si="41"/>
        <v>1.3628213830192535</v>
      </c>
      <c r="CW9" s="22">
        <f t="shared" si="13"/>
        <v>8.3149100852329703</v>
      </c>
      <c r="CX9" s="62">
        <f t="shared" si="14"/>
        <v>272.31491008523295</v>
      </c>
      <c r="CY9" s="62">
        <f ca="1">AVERAGE(OFFSET($CX$3,0,0,'Données projet'!$E$13+1,1))-AVERAGE(OFFSET($H$3,0,0,'Données projet'!$E$13+1,1))</f>
        <v>289.19475369871481</v>
      </c>
      <c r="CZ9" s="62">
        <f t="shared" si="42"/>
        <v>283.48738729114024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2.7564102564102564</v>
      </c>
      <c r="DO9" s="13">
        <f>IF('Données projet'!$A$166&gt;35,DO8+DN9-DW8,IF(A9&lt;'Données projet'!$A$166,$DL$205^A9,IF(A9='Données projet'!$A$166,'Données projet'!$B$166,DO8+DN9-DW8)))</f>
        <v>7.3148649823453118</v>
      </c>
      <c r="DP9" s="18">
        <f>DO9*VLOOKUP('Données projet'!$B$14,Paramètres!$A$1:$I$89,3,0)*VLOOKUP('Données projet'!$B$14,Paramètres!$A$1:$I$89,5,0)</f>
        <v>4.9068114301572354</v>
      </c>
      <c r="DQ9" s="14">
        <f t="shared" si="43"/>
        <v>1.8790675239410271</v>
      </c>
      <c r="DR9" s="22">
        <f t="shared" si="16"/>
        <v>11.818739178387807</v>
      </c>
      <c r="DS9" s="62">
        <f t="shared" si="17"/>
        <v>275.81873917838783</v>
      </c>
      <c r="DT9" s="62">
        <f ca="1">AVERAGE(OFFSET($DS$3,0,0,'Données projet'!$E$14+1,1))-AVERAGE(OFFSET($H$3,0,0,'Données projet'!$E$14+1,1))</f>
        <v>343.33067866534634</v>
      </c>
      <c r="DU9" s="62">
        <f t="shared" si="44"/>
        <v>261.91036689641402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2">
        <f t="shared" si="0"/>
        <v>273.38621175408076</v>
      </c>
      <c r="S10" s="62">
        <f ca="1">AVERAGE(OFFSET($R$3,0,0,'Données projet'!$E$9+1,1))-AVERAGE(OFFSET($H$3,0,0,'Données projet'!$E$9+1,1))</f>
        <v>428.8489304403459</v>
      </c>
      <c r="T10" s="62">
        <f t="shared" si="34"/>
        <v>247.01165577562966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2">
        <f t="shared" si="5"/>
        <v>274.33705514539406</v>
      </c>
      <c r="AN10" s="62">
        <f ca="1">AVERAGE(OFFSET($AM$3,0,0,'Données projet'!$E$10+1,1))-AVERAGE(OFFSET($H$3,0,0,'Données projet'!$E$10+1,1))</f>
        <v>475.47920969424894</v>
      </c>
      <c r="AO10" s="62">
        <f t="shared" si="36"/>
        <v>271.73544012419364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3.5781087786895851</v>
      </c>
      <c r="BF10" s="14">
        <f t="shared" si="37"/>
        <v>1.4215440842341414</v>
      </c>
      <c r="BG10" s="22">
        <f t="shared" si="7"/>
        <v>8.707728736258824</v>
      </c>
      <c r="BH10" s="62">
        <f t="shared" si="8"/>
        <v>273.92995095848107</v>
      </c>
      <c r="BI10" s="62">
        <f ca="1">AVERAGE(OFFSET($BH$3,0,0,'Données projet'!$E$11+1,1))-AVERAGE(OFFSET($H$3,0,0,'Données projet'!$E$11+1,1))</f>
        <v>455.50822833641354</v>
      </c>
      <c r="BJ10" s="62">
        <f t="shared" si="38"/>
        <v>261.14722581688039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3.982088802090022</v>
      </c>
      <c r="CA10" s="14">
        <f t="shared" si="39"/>
        <v>1.5624642602705792</v>
      </c>
      <c r="CB10" s="22">
        <f t="shared" si="10"/>
        <v>9.6567632502780452</v>
      </c>
      <c r="CC10" s="62">
        <f t="shared" si="11"/>
        <v>274.87898547250029</v>
      </c>
      <c r="CD10" s="62">
        <f ca="1">AVERAGE(OFFSET($CC$3,0,0,'Données projet'!$E$12+1,1))-AVERAGE(OFFSET($H$3,0,0,'Données projet'!$E$12+1,1))</f>
        <v>502.07782026233912</v>
      </c>
      <c r="CE10" s="62">
        <f t="shared" si="40"/>
        <v>285.83623046025156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2.6666666666666665</v>
      </c>
      <c r="CT10" s="13">
        <f>IF('Données projet'!$A$140&gt;35,CT9+CS10-DB9,IF(A10&lt;'Données projet'!$A$140,$CQ$205^A10,IF(A10='Données projet'!$A$140,'Données projet'!$B$140,CT9+CS10-DB9)))</f>
        <v>5.5927833467405659</v>
      </c>
      <c r="CU10" s="18">
        <f>CT10*VLOOKUP('Données projet'!$B$13,Paramètres!$A$1:$I$89,3,0)*VLOOKUP('Données projet'!$B$13,Paramètres!$A$1:$I$89,5,0)</f>
        <v>4.3623710104576414</v>
      </c>
      <c r="CV10" s="14">
        <f t="shared" si="41"/>
        <v>1.6936004212396314</v>
      </c>
      <c r="CW10" s="22">
        <f t="shared" si="13"/>
        <v>10.54748357687275</v>
      </c>
      <c r="CX10" s="62">
        <f t="shared" si="14"/>
        <v>275.76970579909499</v>
      </c>
      <c r="CY10" s="62">
        <f ca="1">AVERAGE(OFFSET($CX$3,0,0,'Données projet'!$E$13+1,1))-AVERAGE(OFFSET($H$3,0,0,'Données projet'!$E$13+1,1))</f>
        <v>289.19475369871481</v>
      </c>
      <c r="CZ10" s="62">
        <f t="shared" si="42"/>
        <v>283.48738729114024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2.7564102564102564</v>
      </c>
      <c r="DO10" s="13">
        <f>IF('Données projet'!$A$166&gt;35,DO9+DN10-DW9,IF(A10&lt;'Données projet'!$A$166,$DL$205^A10,IF(A10='Données projet'!$A$166,'Données projet'!$B$166,DO9+DN10-DW9)))</f>
        <v>10.191560808386152</v>
      </c>
      <c r="DP10" s="18">
        <f>DO10*VLOOKUP('Données projet'!$B$14,Paramètres!$A$1:$I$89,3,0)*VLOOKUP('Données projet'!$B$14,Paramètres!$A$1:$I$89,5,0)</f>
        <v>6.8364989902654312</v>
      </c>
      <c r="DQ10" s="14">
        <f t="shared" si="43"/>
        <v>2.5189014122393623</v>
      </c>
      <c r="DR10" s="22">
        <f t="shared" si="16"/>
        <v>16.293989034362514</v>
      </c>
      <c r="DS10" s="62">
        <f t="shared" si="17"/>
        <v>281.51621125658477</v>
      </c>
      <c r="DT10" s="62">
        <f ca="1">AVERAGE(OFFSET($DS$3,0,0,'Données projet'!$E$14+1,1))-AVERAGE(OFFSET($H$3,0,0,'Données projet'!$E$14+1,1))</f>
        <v>343.33067866534634</v>
      </c>
      <c r="DU10" s="62">
        <f t="shared" si="44"/>
        <v>261.91036689641402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2">
        <f t="shared" si="0"/>
        <v>276.22547755046565</v>
      </c>
      <c r="S11" s="62">
        <f ca="1">AVERAGE(OFFSET($R$3,0,0,'Données projet'!$E$9+1,1))-AVERAGE(OFFSET($H$3,0,0,'Données projet'!$E$9+1,1))</f>
        <v>428.8489304403459</v>
      </c>
      <c r="T11" s="62">
        <f t="shared" si="34"/>
        <v>247.01165577562966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2">
        <f t="shared" si="5"/>
        <v>277.36529317093459</v>
      </c>
      <c r="AN11" s="62">
        <f ca="1">AVERAGE(OFFSET($AM$3,0,0,'Données projet'!$E$10+1,1))-AVERAGE(OFFSET($H$3,0,0,'Données projet'!$E$10+1,1))</f>
        <v>475.47920969424894</v>
      </c>
      <c r="AO11" s="62">
        <f t="shared" si="36"/>
        <v>271.73544012419364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4.3133629540748091</v>
      </c>
      <c r="BF11" s="14">
        <f t="shared" si="37"/>
        <v>1.6767776864592203</v>
      </c>
      <c r="BG11" s="22">
        <f t="shared" si="7"/>
        <v>10.432828282263435</v>
      </c>
      <c r="BH11" s="62">
        <f t="shared" si="8"/>
        <v>276.87727272670787</v>
      </c>
      <c r="BI11" s="62">
        <f ca="1">AVERAGE(OFFSET($BH$3,0,0,'Données projet'!$E$11+1,1))-AVERAGE(OFFSET($H$3,0,0,'Données projet'!$E$11+1,1))</f>
        <v>455.50822833641354</v>
      </c>
      <c r="BJ11" s="62">
        <f t="shared" si="38"/>
        <v>261.14722581688039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4.8003555456638995</v>
      </c>
      <c r="CA11" s="14">
        <f t="shared" si="39"/>
        <v>1.8429996203200378</v>
      </c>
      <c r="CB11" s="22">
        <f t="shared" si="10"/>
        <v>11.570510247422023</v>
      </c>
      <c r="CC11" s="62">
        <f t="shared" si="11"/>
        <v>278.01495469186648</v>
      </c>
      <c r="CD11" s="62">
        <f ca="1">AVERAGE(OFFSET($CC$3,0,0,'Données projet'!$E$12+1,1))-AVERAGE(OFFSET($H$3,0,0,'Données projet'!$E$12+1,1))</f>
        <v>502.07782026233912</v>
      </c>
      <c r="CE11" s="62">
        <f t="shared" si="40"/>
        <v>285.83623046025156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2.6666666666666665</v>
      </c>
      <c r="CT11" s="13">
        <f>IF('Données projet'!$A$140&gt;35,CT10+CS11-DB10,IF(A11&lt;'Données projet'!$A$140,$CQ$205^A11,IF(A11='Données projet'!$A$140,'Données projet'!$B$140,CT10+CS11-DB10)))</f>
        <v>7.1520739352994367</v>
      </c>
      <c r="CU11" s="18">
        <f>CT11*VLOOKUP('Données projet'!$B$13,Paramètres!$A$1:$I$89,3,0)*VLOOKUP('Données projet'!$B$13,Paramètres!$A$1:$I$89,5,0)</f>
        <v>5.5786176695335605</v>
      </c>
      <c r="CV11" s="14">
        <f t="shared" si="41"/>
        <v>2.1046649418345189</v>
      </c>
      <c r="CW11" s="22">
        <f t="shared" si="13"/>
        <v>13.381717214799407</v>
      </c>
      <c r="CX11" s="62">
        <f t="shared" si="14"/>
        <v>279.82616165924384</v>
      </c>
      <c r="CY11" s="62">
        <f ca="1">AVERAGE(OFFSET($CX$3,0,0,'Données projet'!$E$13+1,1))-AVERAGE(OFFSET($H$3,0,0,'Données projet'!$E$13+1,1))</f>
        <v>289.19475369871481</v>
      </c>
      <c r="CZ11" s="62">
        <f t="shared" si="42"/>
        <v>283.48738729114024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2.7564102564102564</v>
      </c>
      <c r="DO11" s="13">
        <f>IF('Données projet'!$A$166&gt;35,DO10+DN11-DW10,IF(A11&lt;'Données projet'!$A$166,$DL$205^A11,IF(A11='Données projet'!$A$166,'Données projet'!$B$166,DO10+DN11-DW10)))</f>
        <v>14.199566493943703</v>
      </c>
      <c r="DP11" s="18">
        <f>DO11*VLOOKUP('Données projet'!$B$14,Paramètres!$A$1:$I$89,3,0)*VLOOKUP('Données projet'!$B$14,Paramètres!$A$1:$I$89,5,0)</f>
        <v>9.5250692041374361</v>
      </c>
      <c r="DQ11" s="14">
        <f t="shared" si="43"/>
        <v>3.3766026200453787</v>
      </c>
      <c r="DR11" s="22">
        <f t="shared" si="16"/>
        <v>22.470411760451736</v>
      </c>
      <c r="DS11" s="62">
        <f t="shared" si="17"/>
        <v>288.91485620489618</v>
      </c>
      <c r="DT11" s="62">
        <f ca="1">AVERAGE(OFFSET($DS$3,0,0,'Données projet'!$E$14+1,1))-AVERAGE(OFFSET($H$3,0,0,'Données projet'!$E$14+1,1))</f>
        <v>343.33067866534634</v>
      </c>
      <c r="DU11" s="62">
        <f t="shared" si="44"/>
        <v>261.91036689641402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2">
        <f t="shared" si="0"/>
        <v>279.38615317116773</v>
      </c>
      <c r="S12" s="62">
        <f ca="1">AVERAGE(OFFSET($R$3,0,0,'Données projet'!$E$9+1,1))-AVERAGE(OFFSET($H$3,0,0,'Données projet'!$E$9+1,1))</f>
        <v>428.8489304403459</v>
      </c>
      <c r="T12" s="62">
        <f t="shared" si="34"/>
        <v>247.01165577562966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2">
        <f t="shared" si="5"/>
        <v>280.75262079014198</v>
      </c>
      <c r="AN12" s="62">
        <f ca="1">AVERAGE(OFFSET($AM$3,0,0,'Données projet'!$E$10+1,1))-AVERAGE(OFFSET($H$3,0,0,'Données projet'!$E$10+1,1))</f>
        <v>475.47920969424894</v>
      </c>
      <c r="AO12" s="62">
        <f t="shared" si="36"/>
        <v>271.73544012419364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5.1997021679141717</v>
      </c>
      <c r="BF12" s="14">
        <f t="shared" si="37"/>
        <v>1.977837649208241</v>
      </c>
      <c r="BG12" s="22">
        <f t="shared" si="7"/>
        <v>12.500881848154869</v>
      </c>
      <c r="BH12" s="62">
        <f t="shared" si="8"/>
        <v>280.16754851482153</v>
      </c>
      <c r="BI12" s="62">
        <f ca="1">AVERAGE(OFFSET($BH$3,0,0,'Données projet'!$E$11+1,1))-AVERAGE(OFFSET($H$3,0,0,'Données projet'!$E$11+1,1))</f>
        <v>455.50822833641354</v>
      </c>
      <c r="BJ12" s="62">
        <f t="shared" si="38"/>
        <v>261.14722581688039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5.7867653159044812</v>
      </c>
      <c r="CA12" s="14">
        <f t="shared" si="39"/>
        <v>2.1739041889582755</v>
      </c>
      <c r="CB12" s="22">
        <f t="shared" si="10"/>
        <v>13.864832720969302</v>
      </c>
      <c r="CC12" s="62">
        <f t="shared" si="11"/>
        <v>281.53149938763596</v>
      </c>
      <c r="CD12" s="62">
        <f ca="1">AVERAGE(OFFSET($CC$3,0,0,'Données projet'!$E$12+1,1))-AVERAGE(OFFSET($H$3,0,0,'Données projet'!$E$12+1,1))</f>
        <v>502.07782026233912</v>
      </c>
      <c r="CE12" s="62">
        <f t="shared" si="40"/>
        <v>285.83623046025156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2.6666666666666665</v>
      </c>
      <c r="CT12" s="13">
        <f>IF('Données projet'!$A$140&gt;35,CT11+CS12-DB11,IF(A12&lt;'Données projet'!$A$140,$CQ$205^A12,IF(A12='Données projet'!$A$140,'Données projet'!$B$140,CT11+CS12-DB11)))</f>
        <v>9.1461010385465205</v>
      </c>
      <c r="CU12" s="18">
        <f>CT12*VLOOKUP('Données projet'!$B$13,Paramètres!$A$1:$I$89,3,0)*VLOOKUP('Données projet'!$B$13,Paramètres!$A$1:$I$89,5,0)</f>
        <v>7.1339588100662858</v>
      </c>
      <c r="CV12" s="14">
        <f t="shared" si="41"/>
        <v>2.6155015444227643</v>
      </c>
      <c r="CW12" s="22">
        <f t="shared" si="13"/>
        <v>16.980310117401761</v>
      </c>
      <c r="CX12" s="62">
        <f t="shared" si="14"/>
        <v>284.64697678406844</v>
      </c>
      <c r="CY12" s="62">
        <f ca="1">AVERAGE(OFFSET($CX$3,0,0,'Données projet'!$E$13+1,1))-AVERAGE(OFFSET($H$3,0,0,'Données projet'!$E$13+1,1))</f>
        <v>289.19475369871481</v>
      </c>
      <c r="CZ12" s="62">
        <f t="shared" si="42"/>
        <v>283.48738729114024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2.7564102564102564</v>
      </c>
      <c r="DO12" s="13">
        <f>IF('Données projet'!$A$166&gt;35,DO11+DN12-DW11,IF(A12&lt;'Données projet'!$A$166,$DL$205^A12,IF(A12='Données projet'!$A$166,'Données projet'!$B$166,DO11+DN12-DW11)))</f>
        <v>19.783789000210724</v>
      </c>
      <c r="DP12" s="18">
        <f>DO12*VLOOKUP('Données projet'!$B$14,Paramètres!$A$1:$I$89,3,0)*VLOOKUP('Données projet'!$B$14,Paramètres!$A$1:$I$89,5,0)</f>
        <v>13.270965661341354</v>
      </c>
      <c r="DQ12" s="14">
        <f t="shared" si="43"/>
        <v>4.526356290999562</v>
      </c>
      <c r="DR12" s="22">
        <f t="shared" si="16"/>
        <v>30.997002400327091</v>
      </c>
      <c r="DS12" s="62">
        <f t="shared" si="17"/>
        <v>298.66366906699375</v>
      </c>
      <c r="DT12" s="62">
        <f ca="1">AVERAGE(OFFSET($DS$3,0,0,'Données projet'!$E$14+1,1))-AVERAGE(OFFSET($H$3,0,0,'Données projet'!$E$14+1,1))</f>
        <v>343.33067866534634</v>
      </c>
      <c r="DU12" s="62">
        <f t="shared" si="44"/>
        <v>261.91036689641402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2">
        <f t="shared" si="0"/>
        <v>282.93233218914207</v>
      </c>
      <c r="S13" s="62">
        <f ca="1">AVERAGE(OFFSET($R$3,0,0,'Données projet'!$E$9+1,1))-AVERAGE(OFFSET($H$3,0,0,'Données projet'!$E$9+1,1))</f>
        <v>428.8489304403459</v>
      </c>
      <c r="T13" s="62">
        <f t="shared" si="34"/>
        <v>247.01165577562966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2">
        <f t="shared" si="5"/>
        <v>284.57066751792433</v>
      </c>
      <c r="AN13" s="62">
        <f ca="1">AVERAGE(OFFSET($AM$3,0,0,'Données projet'!$E$10+1,1))-AVERAGE(OFFSET($H$3,0,0,'Données projet'!$E$10+1,1))</f>
        <v>475.47920969424894</v>
      </c>
      <c r="AO13" s="62">
        <f t="shared" si="36"/>
        <v>271.73544012419364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6.2681724035000874</v>
      </c>
      <c r="BF13" s="14">
        <f t="shared" si="37"/>
        <v>2.3329519459947301</v>
      </c>
      <c r="BG13" s="22">
        <f t="shared" si="7"/>
        <v>14.98029157537014</v>
      </c>
      <c r="BH13" s="62">
        <f t="shared" si="8"/>
        <v>283.86918046425899</v>
      </c>
      <c r="BI13" s="62">
        <f ca="1">AVERAGE(OFFSET($BH$3,0,0,'Données projet'!$E$11+1,1))-AVERAGE(OFFSET($H$3,0,0,'Données projet'!$E$11+1,1))</f>
        <v>455.50822833641354</v>
      </c>
      <c r="BJ13" s="62">
        <f t="shared" si="38"/>
        <v>261.14722581688039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6.9758692877662263</v>
      </c>
      <c r="CA13" s="14">
        <f t="shared" si="39"/>
        <v>2.5642215932468222</v>
      </c>
      <c r="CB13" s="22">
        <f t="shared" si="10"/>
        <v>16.61565828443106</v>
      </c>
      <c r="CC13" s="62">
        <f t="shared" si="11"/>
        <v>285.50454717331991</v>
      </c>
      <c r="CD13" s="62">
        <f ca="1">AVERAGE(OFFSET($CC$3,0,0,'Données projet'!$E$12+1,1))-AVERAGE(OFFSET($H$3,0,0,'Données projet'!$E$12+1,1))</f>
        <v>502.07782026233912</v>
      </c>
      <c r="CE13" s="62">
        <f t="shared" si="40"/>
        <v>285.83623046025156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2.6666666666666665</v>
      </c>
      <c r="CT13" s="13">
        <f>IF('Données projet'!$A$140&gt;35,CT12+CS13-DB12,IF(A13&lt;'Données projet'!$A$140,$CQ$205^A13,IF(A13='Données projet'!$A$140,'Données projet'!$B$140,CT12+CS13-DB12)))</f>
        <v>11.696070952851455</v>
      </c>
      <c r="CU13" s="18">
        <f>CT13*VLOOKUP('Données projet'!$B$13,Paramètres!$A$1:$I$89,3,0)*VLOOKUP('Données projet'!$B$13,Paramètres!$A$1:$I$89,5,0)</f>
        <v>9.1229353432241354</v>
      </c>
      <c r="CV13" s="14">
        <f t="shared" si="41"/>
        <v>3.2503265450485803</v>
      </c>
      <c r="CW13" s="22">
        <f t="shared" si="13"/>
        <v>21.550097788741649</v>
      </c>
      <c r="CX13" s="62">
        <f t="shared" si="14"/>
        <v>290.43898667763051</v>
      </c>
      <c r="CY13" s="62">
        <f ca="1">AVERAGE(OFFSET($CX$3,0,0,'Données projet'!$E$13+1,1))-AVERAGE(OFFSET($H$3,0,0,'Données projet'!$E$13+1,1))</f>
        <v>289.19475369871481</v>
      </c>
      <c r="CZ13" s="62">
        <f t="shared" si="42"/>
        <v>283.48738729114024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27.564102564102562</v>
      </c>
      <c r="DM13" s="13">
        <f>VLOOKUP(A13,'Données projet'!$A$165:$I$185,9,0)</f>
        <v>2.7564102564102564</v>
      </c>
      <c r="DN13" s="13">
        <f t="array" ref="DN13">INDEX(DM:DM,MIN(IF(ISNUMBER(DM13:DM209),ROW(DM13:DM209),"")))</f>
        <v>2.7564102564102564</v>
      </c>
      <c r="DO13" s="13">
        <f>IF('Données projet'!$A$166&gt;35,DO12+DN13-DW12,IF(A13&lt;'Données projet'!$A$166,$DL$205^A13,IF(A13='Données projet'!$A$166,'Données projet'!$B$166,DO12+DN13-DW12)))</f>
        <v>27.564102564102562</v>
      </c>
      <c r="DP13" s="18">
        <f>DO13*VLOOKUP('Données projet'!$B$14,Paramètres!$A$1:$I$89,3,0)*VLOOKUP('Données projet'!$B$14,Paramètres!$A$1:$I$89,5,0)</f>
        <v>18.489999999999998</v>
      </c>
      <c r="DQ13" s="14">
        <f t="shared" si="43"/>
        <v>6.0676080600790234</v>
      </c>
      <c r="DR13" s="22">
        <f t="shared" si="16"/>
        <v>42.771167371304301</v>
      </c>
      <c r="DS13" s="62">
        <f t="shared" si="17"/>
        <v>311.66005626019319</v>
      </c>
      <c r="DT13" s="62">
        <f ca="1">AVERAGE(OFFSET($DS$3,0,0,'Données projet'!$E$14+1,1))-AVERAGE(OFFSET($H$3,0,0,'Données projet'!$E$14+1,1))</f>
        <v>343.33067866534634</v>
      </c>
      <c r="DU13" s="62">
        <f t="shared" si="44"/>
        <v>261.91036689641402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2">
        <f t="shared" si="0"/>
        <v>286.94092810276993</v>
      </c>
      <c r="S14" s="62">
        <f ca="1">AVERAGE(OFFSET($R$3,0,0,'Données projet'!$E$9+1,1))-AVERAGE(OFFSET($H$3,0,0,'Données projet'!$E$9+1,1))</f>
        <v>428.8489304403459</v>
      </c>
      <c r="T14" s="62">
        <f t="shared" si="34"/>
        <v>247.01165577562966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2">
        <f t="shared" si="5"/>
        <v>288.90539420934834</v>
      </c>
      <c r="AN14" s="62">
        <f ca="1">AVERAGE(OFFSET($AM$3,0,0,'Données projet'!$E$10+1,1))-AVERAGE(OFFSET($H$3,0,0,'Données projet'!$E$10+1,1))</f>
        <v>475.47920969424894</v>
      </c>
      <c r="AO14" s="62">
        <f t="shared" si="36"/>
        <v>271.73544012419364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7.5561991843392455</v>
      </c>
      <c r="BF14" s="14">
        <f t="shared" si="37"/>
        <v>2.7518258561310041</v>
      </c>
      <c r="BG14" s="22">
        <f t="shared" si="7"/>
        <v>17.953143612152349</v>
      </c>
      <c r="BH14" s="62">
        <f t="shared" si="8"/>
        <v>288.0642547232635</v>
      </c>
      <c r="BI14" s="62">
        <f ca="1">AVERAGE(OFFSET($BH$3,0,0,'Données projet'!$E$11+1,1))-AVERAGE(OFFSET($H$3,0,0,'Données projet'!$E$11+1,1))</f>
        <v>455.50822833641354</v>
      </c>
      <c r="BJ14" s="62">
        <f t="shared" si="38"/>
        <v>261.14722581688039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8.4093184470872249</v>
      </c>
      <c r="CA14" s="14">
        <f t="shared" si="39"/>
        <v>3.0246192139792929</v>
      </c>
      <c r="CB14" s="22">
        <f t="shared" si="10"/>
        <v>19.914108093024186</v>
      </c>
      <c r="CC14" s="62">
        <f t="shared" si="11"/>
        <v>290.02521920413534</v>
      </c>
      <c r="CD14" s="62">
        <f ca="1">AVERAGE(OFFSET($CC$3,0,0,'Données projet'!$E$12+1,1))-AVERAGE(OFFSET($H$3,0,0,'Données projet'!$E$12+1,1))</f>
        <v>502.07782026233912</v>
      </c>
      <c r="CE14" s="62">
        <f t="shared" si="40"/>
        <v>285.83623046025156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2.6666666666666665</v>
      </c>
      <c r="CT14" s="13">
        <f>IF('Données projet'!$A$140&gt;35,CT13+CS14-DB13,IF(A14&lt;'Données projet'!$A$140,$CQ$205^A14,IF(A14='Données projet'!$A$140,'Données projet'!$B$140,CT13+CS14-DB13)))</f>
        <v>14.956982779612416</v>
      </c>
      <c r="CU14" s="18">
        <f>CT14*VLOOKUP('Données projet'!$B$13,Paramètres!$A$1:$I$89,3,0)*VLOOKUP('Données projet'!$B$13,Paramètres!$A$1:$I$89,5,0)</f>
        <v>11.666446568097685</v>
      </c>
      <c r="CV14" s="14">
        <f t="shared" si="41"/>
        <v>4.0392339557111736</v>
      </c>
      <c r="CW14" s="22">
        <f t="shared" si="13"/>
        <v>27.354060245633761</v>
      </c>
      <c r="CX14" s="62">
        <f t="shared" si="14"/>
        <v>297.46517135674492</v>
      </c>
      <c r="CY14" s="62">
        <f ca="1">AVERAGE(OFFSET($CX$3,0,0,'Données projet'!$E$13+1,1))-AVERAGE(OFFSET($H$3,0,0,'Données projet'!$E$13+1,1))</f>
        <v>289.19475369871481</v>
      </c>
      <c r="CZ14" s="62">
        <f t="shared" si="42"/>
        <v>283.48738729114024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8.2051282051282062</v>
      </c>
      <c r="DO14" s="13">
        <f>IF('Données projet'!$A$166&gt;35,DO13+DN14-DW13,IF(A14&lt;'Données projet'!$A$166,$DL$205^A14,IF(A14='Données projet'!$A$166,'Données projet'!$B$166,DO13+DN14-DW13)))</f>
        <v>35.769230769230766</v>
      </c>
      <c r="DP14" s="18">
        <f>DO14*VLOOKUP('Données projet'!$B$14,Paramètres!$A$1:$I$89,3,0)*VLOOKUP('Données projet'!$B$14,Paramètres!$A$1:$I$89,5,0)</f>
        <v>23.993999999999996</v>
      </c>
      <c r="DQ14" s="14">
        <f t="shared" si="43"/>
        <v>7.6385472676020845</v>
      </c>
      <c r="DR14" s="22">
        <f t="shared" si="16"/>
        <v>55.093353157740296</v>
      </c>
      <c r="DS14" s="62">
        <f t="shared" si="17"/>
        <v>325.20446426885144</v>
      </c>
      <c r="DT14" s="62">
        <f ca="1">AVERAGE(OFFSET($DS$3,0,0,'Données projet'!$E$14+1,1))-AVERAGE(OFFSET($H$3,0,0,'Données projet'!$E$14+1,1))</f>
        <v>343.33067866534634</v>
      </c>
      <c r="DU14" s="62">
        <f t="shared" si="44"/>
        <v>261.91036689641402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2">
        <f t="shared" si="0"/>
        <v>291.50424573777804</v>
      </c>
      <c r="S15" s="62">
        <f ca="1">AVERAGE(OFFSET($R$3,0,0,'Données projet'!$E$9+1,1))-AVERAGE(OFFSET($H$3,0,0,'Données projet'!$E$9+1,1))</f>
        <v>428.8489304403459</v>
      </c>
      <c r="T15" s="62">
        <f t="shared" si="34"/>
        <v>247.01165577562966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2">
        <f t="shared" si="5"/>
        <v>293.85996837222763</v>
      </c>
      <c r="AN15" s="62">
        <f ca="1">AVERAGE(OFFSET($AM$3,0,0,'Données projet'!$E$10+1,1))-AVERAGE(OFFSET($H$3,0,0,'Données projet'!$E$10+1,1))</f>
        <v>475.47920969424894</v>
      </c>
      <c r="AO15" s="62">
        <f t="shared" si="36"/>
        <v>271.73544012419364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9.1088984855501316</v>
      </c>
      <c r="BF15" s="14">
        <f t="shared" si="37"/>
        <v>3.2459072101643005</v>
      </c>
      <c r="BG15" s="22">
        <f t="shared" si="7"/>
        <v>21.517953253369303</v>
      </c>
      <c r="BH15" s="62">
        <f t="shared" si="8"/>
        <v>292.8512865867026</v>
      </c>
      <c r="BI15" s="62">
        <f ca="1">AVERAGE(OFFSET($BH$3,0,0,'Données projet'!$E$11+1,1))-AVERAGE(OFFSET($H$3,0,0,'Données projet'!$E$11+1,1))</f>
        <v>455.50822833641354</v>
      </c>
      <c r="BJ15" s="62">
        <f t="shared" si="38"/>
        <v>261.14722581688039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10.137322508112241</v>
      </c>
      <c r="CA15" s="14">
        <f t="shared" si="39"/>
        <v>3.5676797253661268</v>
      </c>
      <c r="CB15" s="22">
        <f t="shared" si="10"/>
        <v>23.869545556641487</v>
      </c>
      <c r="CC15" s="62">
        <f t="shared" si="11"/>
        <v>295.20287888997478</v>
      </c>
      <c r="CD15" s="62">
        <f ca="1">AVERAGE(OFFSET($CC$3,0,0,'Données projet'!$E$12+1,1))-AVERAGE(OFFSET($H$3,0,0,'Données projet'!$E$12+1,1))</f>
        <v>502.07782026233912</v>
      </c>
      <c r="CE15" s="62">
        <f t="shared" si="40"/>
        <v>285.83623046025156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2.6666666666666665</v>
      </c>
      <c r="CT15" s="13">
        <f>IF('Données projet'!$A$140&gt;35,CT14+CS15-DB14,IF(A15&lt;'Données projet'!$A$140,$CQ$205^A15,IF(A15='Données projet'!$A$140,'Données projet'!$B$140,CT14+CS15-DB14)))</f>
        <v>19.127049995800721</v>
      </c>
      <c r="CU15" s="18">
        <f>CT15*VLOOKUP('Données projet'!$B$13,Paramètres!$A$1:$I$89,3,0)*VLOOKUP('Données projet'!$B$13,Paramètres!$A$1:$I$89,5,0)</f>
        <v>14.919098996724562</v>
      </c>
      <c r="CV15" s="14">
        <f t="shared" si="41"/>
        <v>5.019622097301081</v>
      </c>
      <c r="CW15" s="22">
        <f t="shared" si="13"/>
        <v>34.726605905427995</v>
      </c>
      <c r="CX15" s="62">
        <f t="shared" si="14"/>
        <v>306.05993923876133</v>
      </c>
      <c r="CY15" s="62">
        <f ca="1">AVERAGE(OFFSET($CX$3,0,0,'Données projet'!$E$13+1,1))-AVERAGE(OFFSET($H$3,0,0,'Données projet'!$E$13+1,1))</f>
        <v>289.19475369871481</v>
      </c>
      <c r="CZ15" s="62">
        <f t="shared" si="42"/>
        <v>283.48738729114024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8.2051282051282062</v>
      </c>
      <c r="DO15" s="13">
        <f>IF('Données projet'!$A$166&gt;35,DO14+DN15-DW14,IF(A15&lt;'Données projet'!$A$166,$DL$205^A15,IF(A15='Données projet'!$A$166,'Données projet'!$B$166,DO14+DN15-DW14)))</f>
        <v>43.974358974358971</v>
      </c>
      <c r="DP15" s="18">
        <f>DO15*VLOOKUP('Données projet'!$B$14,Paramètres!$A$1:$I$89,3,0)*VLOOKUP('Données projet'!$B$14,Paramètres!$A$1:$I$89,5,0)</f>
        <v>29.498000000000001</v>
      </c>
      <c r="DQ15" s="14">
        <f t="shared" si="43"/>
        <v>9.1677081835776981</v>
      </c>
      <c r="DR15" s="22">
        <f t="shared" si="16"/>
        <v>67.342775086397822</v>
      </c>
      <c r="DS15" s="62">
        <f t="shared" si="17"/>
        <v>338.67610841973112</v>
      </c>
      <c r="DT15" s="62">
        <f ca="1">AVERAGE(OFFSET($DS$3,0,0,'Données projet'!$E$14+1,1))-AVERAGE(OFFSET($H$3,0,0,'Données projet'!$E$14+1,1))</f>
        <v>343.33067866534634</v>
      </c>
      <c r="DU15" s="62">
        <f t="shared" si="44"/>
        <v>261.91036689641402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2">
        <f t="shared" si="0"/>
        <v>296.73306974060051</v>
      </c>
      <c r="S16" s="62">
        <f ca="1">AVERAGE(OFFSET($R$3,0,0,'Données projet'!$E$9+1,1))-AVERAGE(OFFSET($H$3,0,0,'Données projet'!$E$9+1,1))</f>
        <v>428.8489304403459</v>
      </c>
      <c r="T16" s="62">
        <f t="shared" si="34"/>
        <v>247.01165577562966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2">
        <f t="shared" si="5"/>
        <v>299.55821782408742</v>
      </c>
      <c r="AN16" s="62">
        <f ca="1">AVERAGE(OFFSET($AM$3,0,0,'Données projet'!$E$10+1,1))-AVERAGE(OFFSET($H$3,0,0,'Données projet'!$E$10+1,1))</f>
        <v>475.47920969424894</v>
      </c>
      <c r="AO16" s="62">
        <f t="shared" si="36"/>
        <v>271.73544012419364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10.98065702026792</v>
      </c>
      <c r="BF16" s="14">
        <f t="shared" si="37"/>
        <v>3.8286992592655618</v>
      </c>
      <c r="BG16" s="22">
        <f t="shared" si="7"/>
        <v>25.792962186854144</v>
      </c>
      <c r="BH16" s="62">
        <f t="shared" si="8"/>
        <v>298.34851774240968</v>
      </c>
      <c r="BI16" s="62">
        <f ca="1">AVERAGE(OFFSET($BH$3,0,0,'Données projet'!$E$11+1,1))-AVERAGE(OFFSET($H$3,0,0,'Données projet'!$E$11+1,1))</f>
        <v>455.50822833641354</v>
      </c>
      <c r="BJ16" s="62">
        <f t="shared" si="38"/>
        <v>261.14722581688039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12.220408619330426</v>
      </c>
      <c r="CA16" s="14">
        <f t="shared" si="39"/>
        <v>4.2082449797185175</v>
      </c>
      <c r="CB16" s="22">
        <f t="shared" si="10"/>
        <v>28.613238351676909</v>
      </c>
      <c r="CC16" s="62">
        <f t="shared" si="11"/>
        <v>301.16879390723244</v>
      </c>
      <c r="CD16" s="62">
        <f ca="1">AVERAGE(OFFSET($CC$3,0,0,'Données projet'!$E$12+1,1))-AVERAGE(OFFSET($H$3,0,0,'Données projet'!$E$12+1,1))</f>
        <v>502.07782026233912</v>
      </c>
      <c r="CE16" s="62">
        <f t="shared" si="40"/>
        <v>285.83623046025156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2.6666666666666665</v>
      </c>
      <c r="CT16" s="13">
        <f>IF('Données projet'!$A$140&gt;35,CT15+CS16-DB15,IF(A16&lt;'Données projet'!$A$140,$CQ$205^A16,IF(A16='Données projet'!$A$140,'Données projet'!$B$140,CT15+CS16-DB15)))</f>
        <v>24.459748796430759</v>
      </c>
      <c r="CU16" s="18">
        <f>CT16*VLOOKUP('Données projet'!$B$13,Paramètres!$A$1:$I$89,3,0)*VLOOKUP('Données projet'!$B$13,Paramètres!$A$1:$I$89,5,0)</f>
        <v>19.078604061215994</v>
      </c>
      <c r="CV16" s="14">
        <f t="shared" si="41"/>
        <v>6.2379664748280286</v>
      </c>
      <c r="CW16" s="22">
        <f t="shared" si="13"/>
        <v>44.093027016943331</v>
      </c>
      <c r="CX16" s="62">
        <f t="shared" si="14"/>
        <v>316.64858257249887</v>
      </c>
      <c r="CY16" s="62">
        <f ca="1">AVERAGE(OFFSET($CX$3,0,0,'Données projet'!$E$13+1,1))-AVERAGE(OFFSET($H$3,0,0,'Données projet'!$E$13+1,1))</f>
        <v>289.19475369871481</v>
      </c>
      <c r="CZ16" s="62">
        <f t="shared" si="42"/>
        <v>283.48738729114024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8.2051282051282062</v>
      </c>
      <c r="DO16" s="13">
        <f>IF('Données projet'!$A$166&gt;35,DO15+DN16-DW15,IF(A16&lt;'Données projet'!$A$166,$DL$205^A16,IF(A16='Données projet'!$A$166,'Données projet'!$B$166,DO15+DN16-DW15)))</f>
        <v>52.179487179487175</v>
      </c>
      <c r="DP16" s="18">
        <f>DO16*VLOOKUP('Données projet'!$B$14,Paramètres!$A$1:$I$89,3,0)*VLOOKUP('Données projet'!$B$14,Paramètres!$A$1:$I$89,5,0)</f>
        <v>35.001999999999995</v>
      </c>
      <c r="DQ16" s="14">
        <f t="shared" si="43"/>
        <v>10.663812893674448</v>
      </c>
      <c r="DR16" s="22">
        <f t="shared" si="16"/>
        <v>79.534624123149641</v>
      </c>
      <c r="DS16" s="62">
        <f t="shared" si="17"/>
        <v>352.09017967870517</v>
      </c>
      <c r="DT16" s="62">
        <f ca="1">AVERAGE(OFFSET($DS$3,0,0,'Données projet'!$E$14+1,1))-AVERAGE(OFFSET($H$3,0,0,'Données projet'!$E$14+1,1))</f>
        <v>343.33067866534634</v>
      </c>
      <c r="DU16" s="62">
        <f t="shared" si="44"/>
        <v>261.91036689641402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2">
        <f t="shared" si="0"/>
        <v>302.76037439017989</v>
      </c>
      <c r="S17" s="62">
        <f ca="1">AVERAGE(OFFSET($R$3,0,0,'Données projet'!$E$9+1,1))-AVERAGE(OFFSET($H$3,0,0,'Données projet'!$E$9+1,1))</f>
        <v>428.8489304403459</v>
      </c>
      <c r="T17" s="62">
        <f t="shared" si="34"/>
        <v>247.01165577562966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2">
        <f t="shared" si="5"/>
        <v>306.14877929230755</v>
      </c>
      <c r="AN17" s="62">
        <f ca="1">AVERAGE(OFFSET($AM$3,0,0,'Données projet'!$E$10+1,1))-AVERAGE(OFFSET($H$3,0,0,'Données projet'!$E$10+1,1))</f>
        <v>475.47920969424894</v>
      </c>
      <c r="AO17" s="62">
        <f t="shared" si="36"/>
        <v>271.73544012419364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13.237037254068934</v>
      </c>
      <c r="BF17" s="14">
        <f t="shared" si="37"/>
        <v>4.5161297192961545</v>
      </c>
      <c r="BG17" s="22">
        <f t="shared" si="7"/>
        <v>30.920099145277529</v>
      </c>
      <c r="BH17" s="62">
        <f t="shared" si="8"/>
        <v>304.69787692305528</v>
      </c>
      <c r="BI17" s="62">
        <f ca="1">AVERAGE(OFFSET($BH$3,0,0,'Données projet'!$E$11+1,1))-AVERAGE(OFFSET($H$3,0,0,'Données projet'!$E$11+1,1))</f>
        <v>455.50822833641354</v>
      </c>
      <c r="BJ17" s="62">
        <f t="shared" si="38"/>
        <v>261.14722581688039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14.731541460173487</v>
      </c>
      <c r="CA17" s="14">
        <f t="shared" si="39"/>
        <v>4.9638216355053304</v>
      </c>
      <c r="CB17" s="22">
        <f t="shared" si="10"/>
        <v>34.302757391640604</v>
      </c>
      <c r="CC17" s="62">
        <f t="shared" si="11"/>
        <v>308.0805351694184</v>
      </c>
      <c r="CD17" s="62">
        <f ca="1">AVERAGE(OFFSET($CC$3,0,0,'Données projet'!$E$12+1,1))-AVERAGE(OFFSET($H$3,0,0,'Données projet'!$E$12+1,1))</f>
        <v>502.07782026233912</v>
      </c>
      <c r="CE17" s="62">
        <f t="shared" si="40"/>
        <v>285.83623046025156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2.6666666666666665</v>
      </c>
      <c r="CT17" s="13">
        <f>IF('Données projet'!$A$140&gt;35,CT16+CS17-DB16,IF(A17&lt;'Données projet'!$A$140,$CQ$205^A17,IF(A17='Données projet'!$A$140,'Données projet'!$B$140,CT16+CS17-DB16)))</f>
        <v>31.279225563578599</v>
      </c>
      <c r="CU17" s="18">
        <f>CT17*VLOOKUP('Données projet'!$B$13,Paramètres!$A$1:$I$89,3,0)*VLOOKUP('Données projet'!$B$13,Paramètres!$A$1:$I$89,5,0)</f>
        <v>24.397795939591308</v>
      </c>
      <c r="CV17" s="14">
        <f t="shared" si="41"/>
        <v>7.75202295846145</v>
      </c>
      <c r="CW17" s="22">
        <f t="shared" si="13"/>
        <v>55.994267914108548</v>
      </c>
      <c r="CX17" s="62">
        <f t="shared" si="14"/>
        <v>329.77204569188632</v>
      </c>
      <c r="CY17" s="62">
        <f ca="1">AVERAGE(OFFSET($CX$3,0,0,'Données projet'!$E$13+1,1))-AVERAGE(OFFSET($H$3,0,0,'Données projet'!$E$13+1,1))</f>
        <v>289.19475369871481</v>
      </c>
      <c r="CZ17" s="62">
        <f t="shared" si="42"/>
        <v>283.48738729114024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8.2051282051282062</v>
      </c>
      <c r="DO17" s="13">
        <f>IF('Données projet'!$A$166&gt;35,DO16+DN17-DW16,IF(A17&lt;'Données projet'!$A$166,$DL$205^A17,IF(A17='Données projet'!$A$166,'Données projet'!$B$166,DO16+DN17-DW16)))</f>
        <v>60.38461538461538</v>
      </c>
      <c r="DP17" s="18">
        <f>DO17*VLOOKUP('Données projet'!$B$14,Paramètres!$A$1:$I$89,3,0)*VLOOKUP('Données projet'!$B$14,Paramètres!$A$1:$I$89,5,0)</f>
        <v>40.506</v>
      </c>
      <c r="DQ17" s="14">
        <f t="shared" si="43"/>
        <v>12.132663984422932</v>
      </c>
      <c r="DR17" s="22">
        <f t="shared" si="16"/>
        <v>91.679006439536593</v>
      </c>
      <c r="DS17" s="62">
        <f t="shared" si="17"/>
        <v>365.45678421731435</v>
      </c>
      <c r="DT17" s="62">
        <f ca="1">AVERAGE(OFFSET($DS$3,0,0,'Données projet'!$E$14+1,1))-AVERAGE(OFFSET($H$3,0,0,'Données projet'!$E$14+1,1))</f>
        <v>343.33067866534634</v>
      </c>
      <c r="DU17" s="62">
        <f t="shared" si="44"/>
        <v>261.91036689641402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2">
        <f t="shared" si="0"/>
        <v>309.74578000827665</v>
      </c>
      <c r="S18" s="62">
        <f ca="1">AVERAGE(OFFSET($R$3,0,0,'Données projet'!$E$9+1,1))-AVERAGE(OFFSET($H$3,0,0,'Données projet'!$E$9+1,1))</f>
        <v>428.8489304403459</v>
      </c>
      <c r="T18" s="62">
        <f t="shared" si="34"/>
        <v>247.01165577562966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2">
        <f t="shared" si="5"/>
        <v>313.81008211298388</v>
      </c>
      <c r="AN18" s="62">
        <f ca="1">AVERAGE(OFFSET($AM$3,0,0,'Données projet'!$E$10+1,1))-AVERAGE(OFFSET($H$3,0,0,'Données projet'!$E$10+1,1))</f>
        <v>475.47920969424894</v>
      </c>
      <c r="AO18" s="62">
        <f t="shared" si="36"/>
        <v>271.73544012419364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15.957073874741019</v>
      </c>
      <c r="BF18" s="14">
        <f t="shared" si="37"/>
        <v>5.3269860755326848</v>
      </c>
      <c r="BG18" s="22">
        <f t="shared" si="7"/>
        <v>37.069737746726702</v>
      </c>
      <c r="BH18" s="62">
        <f t="shared" si="8"/>
        <v>312.06973774672667</v>
      </c>
      <c r="BI18" s="62">
        <f ca="1">AVERAGE(OFFSET($BH$3,0,0,'Données projet'!$E$11+1,1))-AVERAGE(OFFSET($H$3,0,0,'Données projet'!$E$11+1,1))</f>
        <v>455.50822833641354</v>
      </c>
      <c r="BJ18" s="62">
        <f t="shared" si="38"/>
        <v>261.14722581688039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17.758678989631132</v>
      </c>
      <c r="CA18" s="14">
        <f t="shared" si="39"/>
        <v>5.8550596146042126</v>
      </c>
      <c r="CB18" s="22">
        <f t="shared" si="10"/>
        <v>41.127261402376554</v>
      </c>
      <c r="CC18" s="62">
        <f t="shared" si="11"/>
        <v>316.12726140237658</v>
      </c>
      <c r="CD18" s="62">
        <f ca="1">AVERAGE(OFFSET($CC$3,0,0,'Données projet'!$E$12+1,1))-AVERAGE(OFFSET($H$3,0,0,'Données projet'!$E$12+1,1))</f>
        <v>502.07782026233912</v>
      </c>
      <c r="CE18" s="62">
        <f t="shared" si="40"/>
        <v>285.83623046025156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40</v>
      </c>
      <c r="CR18" s="13">
        <f>VLOOKUP(A18,'Données projet'!$A$139:$I$159,9,0)</f>
        <v>2.6666666666666665</v>
      </c>
      <c r="CS18" s="13">
        <f t="array" ref="CS18">INDEX(CR:CR,MIN(IF(ISNUMBER(CR18:CR214),ROW(CR18:CR214),"")))</f>
        <v>2.6666666666666665</v>
      </c>
      <c r="CT18" s="13">
        <f>IF('Données projet'!$A$140&gt;35,CT17+CS18-DB17,IF(A18&lt;'Données projet'!$A$140,$CQ$205^A18,IF(A18='Données projet'!$A$140,'Données projet'!$B$140,CT17+CS18-DB17)))</f>
        <v>40</v>
      </c>
      <c r="CU18" s="18">
        <f>CT18*VLOOKUP('Données projet'!$B$13,Paramètres!$A$1:$I$89,3,0)*VLOOKUP('Données projet'!$B$13,Paramètres!$A$1:$I$89,5,0)</f>
        <v>31.200000000000003</v>
      </c>
      <c r="CV18" s="14">
        <f t="shared" si="41"/>
        <v>9.6335657126419925</v>
      </c>
      <c r="CW18" s="22">
        <f t="shared" si="13"/>
        <v>71.118460282851473</v>
      </c>
      <c r="CX18" s="62">
        <f t="shared" si="14"/>
        <v>346.11846028285146</v>
      </c>
      <c r="CY18" s="62">
        <f ca="1">AVERAGE(OFFSET($CX$3,0,0,'Données projet'!$E$13+1,1))-AVERAGE(OFFSET($H$3,0,0,'Données projet'!$E$13+1,1))</f>
        <v>289.19475369871481</v>
      </c>
      <c r="CZ18" s="62">
        <f t="shared" si="42"/>
        <v>283.48738729114024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68.589743589743591</v>
      </c>
      <c r="DM18" s="13">
        <f>VLOOKUP(A18,'Données projet'!$A$165:$I$185,9,0)</f>
        <v>8.2051282051282062</v>
      </c>
      <c r="DN18" s="13">
        <f t="array" ref="DN18">INDEX(DM:DM,MIN(IF(ISNUMBER(DM18:DM214),ROW(DM18:DM214),"")))</f>
        <v>8.2051282051282062</v>
      </c>
      <c r="DO18" s="13">
        <f>IF('Données projet'!$A$166&gt;35,DO17+DN18-DW17,IF(A18&lt;'Données projet'!$A$166,$DL$205^A18,IF(A18='Données projet'!$A$166,'Données projet'!$B$166,DO17+DN18-DW17)))</f>
        <v>68.589743589743591</v>
      </c>
      <c r="DP18" s="18">
        <f>DO18*VLOOKUP('Données projet'!$B$14,Paramètres!$A$1:$I$89,3,0)*VLOOKUP('Données projet'!$B$14,Paramètres!$A$1:$I$89,5,0)</f>
        <v>46.010000000000005</v>
      </c>
      <c r="DQ18" s="14">
        <f t="shared" si="43"/>
        <v>13.578390619407827</v>
      </c>
      <c r="DR18" s="22">
        <f t="shared" si="16"/>
        <v>103.78311366213529</v>
      </c>
      <c r="DS18" s="62">
        <f t="shared" si="17"/>
        <v>378.78311366213529</v>
      </c>
      <c r="DT18" s="62">
        <f ca="1">AVERAGE(OFFSET($DS$3,0,0,'Données projet'!$E$14+1,1))-AVERAGE(OFFSET($H$3,0,0,'Données projet'!$E$14+1,1))</f>
        <v>343.33067866534634</v>
      </c>
      <c r="DU18" s="62">
        <f t="shared" si="44"/>
        <v>261.91036689641402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19.871794871794872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2">
        <f t="shared" si="0"/>
        <v>317.88090656215792</v>
      </c>
      <c r="S19" s="62">
        <f ca="1">AVERAGE(OFFSET($R$3,0,0,'Données projet'!$E$9+1,1))-AVERAGE(OFFSET($H$3,0,0,'Données projet'!$E$9+1,1))</f>
        <v>428.8489304403459</v>
      </c>
      <c r="T19" s="62">
        <f t="shared" si="34"/>
        <v>247.01165577562966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2">
        <f t="shared" si="5"/>
        <v>322.75633550905911</v>
      </c>
      <c r="AN19" s="62">
        <f ca="1">AVERAGE(OFFSET($AM$3,0,0,'Données projet'!$E$10+1,1))-AVERAGE(OFFSET($H$3,0,0,'Données projet'!$E$10+1,1))</f>
        <v>475.47920969424894</v>
      </c>
      <c r="AO19" s="62">
        <f t="shared" si="36"/>
        <v>271.73544012419364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19.236042156311996</v>
      </c>
      <c r="BF19" s="14">
        <f t="shared" si="37"/>
        <v>6.2834290449348904</v>
      </c>
      <c r="BG19" s="22">
        <f t="shared" si="7"/>
        <v>44.446412342171662</v>
      </c>
      <c r="BH19" s="62">
        <f t="shared" si="8"/>
        <v>320.66863456439387</v>
      </c>
      <c r="BI19" s="62">
        <f ca="1">AVERAGE(OFFSET($BH$3,0,0,'Données projet'!$E$11+1,1))-AVERAGE(OFFSET($H$3,0,0,'Données projet'!$E$11+1,1))</f>
        <v>455.50822833641354</v>
      </c>
      <c r="BJ19" s="62">
        <f t="shared" si="38"/>
        <v>261.14722581688039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21.407853367508512</v>
      </c>
      <c r="CA19" s="14">
        <f t="shared" si="39"/>
        <v>6.906316464991046</v>
      </c>
      <c r="CB19" s="22">
        <f t="shared" si="10"/>
        <v>49.313845791603399</v>
      </c>
      <c r="CC19" s="62">
        <f t="shared" si="11"/>
        <v>325.53606801382563</v>
      </c>
      <c r="CD19" s="62">
        <f ca="1">AVERAGE(OFFSET($CC$3,0,0,'Données projet'!$E$12+1,1))-AVERAGE(OFFSET($H$3,0,0,'Données projet'!$E$12+1,1))</f>
        <v>502.07782026233912</v>
      </c>
      <c r="CE19" s="62">
        <f t="shared" si="40"/>
        <v>285.83623046025156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9.6</v>
      </c>
      <c r="CT19" s="13">
        <f>IF('Données projet'!$A$140&gt;35,CT18+CS19-DB18,IF(A19&lt;'Données projet'!$A$140,$CQ$205^A19,IF(A19='Données projet'!$A$140,'Données projet'!$B$140,CT18+CS19-DB18)))</f>
        <v>49.6</v>
      </c>
      <c r="CU19" s="18">
        <f>CT19*VLOOKUP('Données projet'!$B$13,Paramètres!$A$1:$I$89,3,0)*VLOOKUP('Données projet'!$B$13,Paramètres!$A$1:$I$89,5,0)</f>
        <v>38.688000000000002</v>
      </c>
      <c r="CV19" s="14">
        <f t="shared" si="41"/>
        <v>11.650229083154354</v>
      </c>
      <c r="CW19" s="22">
        <f t="shared" si="13"/>
        <v>87.672415653160499</v>
      </c>
      <c r="CX19" s="62">
        <f t="shared" si="14"/>
        <v>363.89463787538273</v>
      </c>
      <c r="CY19" s="62">
        <f ca="1">AVERAGE(OFFSET($CX$3,0,0,'Données projet'!$E$13+1,1))-AVERAGE(OFFSET($H$3,0,0,'Données projet'!$E$13+1,1))</f>
        <v>289.19475369871481</v>
      </c>
      <c r="CZ19" s="62">
        <f t="shared" si="42"/>
        <v>283.48738729114024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9.3589743589743595</v>
      </c>
      <c r="DO19" s="13">
        <f>IF('Données projet'!$A$166&gt;35,DO18+DN19-DW18,IF(A19&lt;'Données projet'!$A$166,$DL$205^A19,IF(A19='Données projet'!$A$166,'Données projet'!$B$166,DO18+DN19-DW18)))</f>
        <v>58.07692307692308</v>
      </c>
      <c r="DP19" s="18">
        <f>DO19*VLOOKUP('Données projet'!$B$14,Paramètres!$A$1:$I$89,3,0)*VLOOKUP('Données projet'!$B$14,Paramètres!$A$1:$I$89,5,0)</f>
        <v>38.958000000000006</v>
      </c>
      <c r="DQ19" s="14">
        <f t="shared" si="43"/>
        <v>11.722041853282947</v>
      </c>
      <c r="DR19" s="22">
        <f t="shared" si="16"/>
        <v>88.267739561134462</v>
      </c>
      <c r="DS19" s="62">
        <f t="shared" si="17"/>
        <v>364.4899617833567</v>
      </c>
      <c r="DT19" s="62">
        <f ca="1">AVERAGE(OFFSET($DS$3,0,0,'Données projet'!$E$14+1,1))-AVERAGE(OFFSET($H$3,0,0,'Données projet'!$E$14+1,1))</f>
        <v>343.33067866534634</v>
      </c>
      <c r="DU19" s="62">
        <f t="shared" si="44"/>
        <v>261.91036689641402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2">
        <f t="shared" si="0"/>
        <v>327.39580549186149</v>
      </c>
      <c r="S20" s="62">
        <f ca="1">AVERAGE(OFFSET($R$3,0,0,'Données projet'!$E$9+1,1))-AVERAGE(OFFSET($H$3,0,0,'Données projet'!$E$9+1,1))</f>
        <v>428.8489304403459</v>
      </c>
      <c r="T20" s="62">
        <f t="shared" si="34"/>
        <v>247.01165577562966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2">
        <f t="shared" si="5"/>
        <v>333.24472198839982</v>
      </c>
      <c r="AN20" s="62">
        <f ca="1">AVERAGE(OFFSET($AM$3,0,0,'Données projet'!$E$10+1,1))-AVERAGE(OFFSET($H$3,0,0,'Données projet'!$E$10+1,1))</f>
        <v>475.47920969424894</v>
      </c>
      <c r="AO20" s="62">
        <f t="shared" si="36"/>
        <v>271.73544012419364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23.188795185384055</v>
      </c>
      <c r="BF20" s="14">
        <f t="shared" si="37"/>
        <v>7.4115982288884323</v>
      </c>
      <c r="BG20" s="22">
        <f t="shared" si="7"/>
        <v>53.29568519652458</v>
      </c>
      <c r="BH20" s="62">
        <f t="shared" si="8"/>
        <v>330.74012964096903</v>
      </c>
      <c r="BI20" s="62">
        <f ca="1">AVERAGE(OFFSET($BH$3,0,0,'Données projet'!$E$11+1,1))-AVERAGE(OFFSET($H$3,0,0,'Données projet'!$E$11+1,1))</f>
        <v>455.50822833641354</v>
      </c>
      <c r="BJ20" s="62">
        <f t="shared" si="38"/>
        <v>261.14722581688039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25.80688496437903</v>
      </c>
      <c r="CA20" s="14">
        <f t="shared" si="39"/>
        <v>8.146323052908933</v>
      </c>
      <c r="CB20" s="22">
        <f t="shared" si="10"/>
        <v>59.135170630109862</v>
      </c>
      <c r="CC20" s="62">
        <f t="shared" si="11"/>
        <v>336.57961507455434</v>
      </c>
      <c r="CD20" s="62">
        <f ca="1">AVERAGE(OFFSET($CC$3,0,0,'Données projet'!$E$12+1,1))-AVERAGE(OFFSET($H$3,0,0,'Données projet'!$E$12+1,1))</f>
        <v>502.07782026233912</v>
      </c>
      <c r="CE20" s="62">
        <f t="shared" si="40"/>
        <v>285.83623046025156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9.6</v>
      </c>
      <c r="CT20" s="13">
        <f>IF('Données projet'!$A$140&gt;35,CT19+CS20-DB19,IF(A20&lt;'Données projet'!$A$140,$CQ$205^A20,IF(A20='Données projet'!$A$140,'Données projet'!$B$140,CT19+CS20-DB19)))</f>
        <v>59.2</v>
      </c>
      <c r="CU20" s="18">
        <f>CT20*VLOOKUP('Données projet'!$B$13,Paramètres!$A$1:$I$89,3,0)*VLOOKUP('Données projet'!$B$13,Paramètres!$A$1:$I$89,5,0)</f>
        <v>46.176000000000002</v>
      </c>
      <c r="CV20" s="14">
        <f t="shared" si="41"/>
        <v>13.621668778540489</v>
      </c>
      <c r="CW20" s="22">
        <f t="shared" si="13"/>
        <v>104.14760645595801</v>
      </c>
      <c r="CX20" s="62">
        <f t="shared" si="14"/>
        <v>381.59205090040246</v>
      </c>
      <c r="CY20" s="62">
        <f ca="1">AVERAGE(OFFSET($CX$3,0,0,'Données projet'!$E$13+1,1))-AVERAGE(OFFSET($H$3,0,0,'Données projet'!$E$13+1,1))</f>
        <v>289.19475369871481</v>
      </c>
      <c r="CZ20" s="62">
        <f t="shared" si="42"/>
        <v>283.48738729114024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9.3589743589743595</v>
      </c>
      <c r="DO20" s="13">
        <f>IF('Données projet'!$A$166&gt;35,DO19+DN20-DW19,IF(A20&lt;'Données projet'!$A$166,$DL$205^A20,IF(A20='Données projet'!$A$166,'Données projet'!$B$166,DO19+DN20-DW19)))</f>
        <v>67.435897435897445</v>
      </c>
      <c r="DP20" s="18">
        <f>DO20*VLOOKUP('Données projet'!$B$14,Paramètres!$A$1:$I$89,3,0)*VLOOKUP('Données projet'!$B$14,Paramètres!$A$1:$I$89,5,0)</f>
        <v>45.236000000000004</v>
      </c>
      <c r="DQ20" s="14">
        <f t="shared" si="43"/>
        <v>13.376358504258876</v>
      </c>
      <c r="DR20" s="22">
        <f t="shared" si="16"/>
        <v>102.0831910615842</v>
      </c>
      <c r="DS20" s="62">
        <f t="shared" si="17"/>
        <v>379.52763550602867</v>
      </c>
      <c r="DT20" s="62">
        <f ca="1">AVERAGE(OFFSET($DS$3,0,0,'Données projet'!$E$14+1,1))-AVERAGE(OFFSET($H$3,0,0,'Données projet'!$E$14+1,1))</f>
        <v>343.33067866534634</v>
      </c>
      <c r="DU20" s="62">
        <f t="shared" si="44"/>
        <v>261.91036689641402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2">
        <f t="shared" si="0"/>
        <v>338.56668739624723</v>
      </c>
      <c r="S21" s="62">
        <f ca="1">AVERAGE(OFFSET($R$3,0,0,'Données projet'!$E$9+1,1))-AVERAGE(OFFSET($H$3,0,0,'Données projet'!$E$9+1,1))</f>
        <v>428.8489304403459</v>
      </c>
      <c r="T21" s="62">
        <f t="shared" si="34"/>
        <v>247.01165577562966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2">
        <f t="shared" si="5"/>
        <v>345.58404036091088</v>
      </c>
      <c r="AN21" s="62">
        <f ca="1">AVERAGE(OFFSET($AM$3,0,0,'Données projet'!$E$10+1,1))-AVERAGE(OFFSET($H$3,0,0,'Données projet'!$E$10+1,1))</f>
        <v>475.47920969424894</v>
      </c>
      <c r="AO21" s="62">
        <f t="shared" si="36"/>
        <v>271.73544012419364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27.953786843477392</v>
      </c>
      <c r="BF21" s="14">
        <f t="shared" si="37"/>
        <v>8.7423265089215931</v>
      </c>
      <c r="BG21" s="22">
        <f t="shared" si="7"/>
        <v>63.912397422094891</v>
      </c>
      <c r="BH21" s="62">
        <f t="shared" si="8"/>
        <v>342.57906408876158</v>
      </c>
      <c r="BI21" s="62">
        <f ca="1">AVERAGE(OFFSET($BH$3,0,0,'Données projet'!$E$11+1,1))-AVERAGE(OFFSET($H$3,0,0,'Données projet'!$E$11+1,1))</f>
        <v>455.50822833641354</v>
      </c>
      <c r="BJ21" s="62">
        <f t="shared" si="38"/>
        <v>261.14722581688039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31.109859551611933</v>
      </c>
      <c r="CA21" s="14">
        <f t="shared" si="39"/>
        <v>9.6089687778941872</v>
      </c>
      <c r="CB21" s="22">
        <f t="shared" si="10"/>
        <v>70.918626007223153</v>
      </c>
      <c r="CC21" s="62">
        <f t="shared" si="11"/>
        <v>349.58529267388985</v>
      </c>
      <c r="CD21" s="62">
        <f ca="1">AVERAGE(OFFSET($CC$3,0,0,'Données projet'!$E$12+1,1))-AVERAGE(OFFSET($H$3,0,0,'Données projet'!$E$12+1,1))</f>
        <v>502.07782026233912</v>
      </c>
      <c r="CE21" s="62">
        <f t="shared" si="40"/>
        <v>285.83623046025156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9.6</v>
      </c>
      <c r="CT21" s="13">
        <f>IF('Données projet'!$A$140&gt;35,CT20+CS21-DB20,IF(A21&lt;'Données projet'!$A$140,$CQ$205^A21,IF(A21='Données projet'!$A$140,'Données projet'!$B$140,CT20+CS21-DB20)))</f>
        <v>68.8</v>
      </c>
      <c r="CU21" s="18">
        <f>CT21*VLOOKUP('Données projet'!$B$13,Paramètres!$A$1:$I$89,3,0)*VLOOKUP('Données projet'!$B$13,Paramètres!$A$1:$I$89,5,0)</f>
        <v>53.664000000000001</v>
      </c>
      <c r="CV21" s="14">
        <f t="shared" si="41"/>
        <v>15.556073979202782</v>
      </c>
      <c r="CW21" s="22">
        <f t="shared" si="13"/>
        <v>120.55829551377816</v>
      </c>
      <c r="CX21" s="62">
        <f t="shared" si="14"/>
        <v>399.22496218044483</v>
      </c>
      <c r="CY21" s="62">
        <f ca="1">AVERAGE(OFFSET($CX$3,0,0,'Données projet'!$E$13+1,1))-AVERAGE(OFFSET($H$3,0,0,'Données projet'!$E$13+1,1))</f>
        <v>289.19475369871481</v>
      </c>
      <c r="CZ21" s="62">
        <f t="shared" si="42"/>
        <v>283.48738729114024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9.3589743589743595</v>
      </c>
      <c r="DO21" s="13">
        <f>IF('Données projet'!$A$166&gt;35,DO20+DN21-DW20,IF(A21&lt;'Données projet'!$A$166,$DL$205^A21,IF(A21='Données projet'!$A$166,'Données projet'!$B$166,DO20+DN21-DW20)))</f>
        <v>76.79487179487181</v>
      </c>
      <c r="DP21" s="18">
        <f>DO21*VLOOKUP('Données projet'!$B$14,Paramètres!$A$1:$I$89,3,0)*VLOOKUP('Données projet'!$B$14,Paramètres!$A$1:$I$89,5,0)</f>
        <v>51.514000000000003</v>
      </c>
      <c r="DQ21" s="14">
        <f t="shared" si="43"/>
        <v>15.004075355320875</v>
      </c>
      <c r="DR21" s="22">
        <f t="shared" si="16"/>
        <v>115.85231457718385</v>
      </c>
      <c r="DS21" s="62">
        <f t="shared" si="17"/>
        <v>394.51898124385053</v>
      </c>
      <c r="DT21" s="62">
        <f ca="1">AVERAGE(OFFSET($DS$3,0,0,'Données projet'!$E$14+1,1))-AVERAGE(OFFSET($H$3,0,0,'Données projet'!$E$14+1,1))</f>
        <v>343.33067866534634</v>
      </c>
      <c r="DU21" s="62">
        <f t="shared" si="44"/>
        <v>261.91036689641402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2">
        <f t="shared" si="0"/>
        <v>351.72520722798015</v>
      </c>
      <c r="S22" s="62">
        <f ca="1">AVERAGE(OFFSET($R$3,0,0,'Données projet'!$E$9+1,1))-AVERAGE(OFFSET($H$3,0,0,'Données projet'!$E$9+1,1))</f>
        <v>428.8489304403459</v>
      </c>
      <c r="T22" s="62">
        <f t="shared" si="34"/>
        <v>247.01165577562966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2">
        <f t="shared" si="5"/>
        <v>360.14509112992164</v>
      </c>
      <c r="AN22" s="62">
        <f ca="1">AVERAGE(OFFSET($AM$3,0,0,'Données projet'!$E$10+1,1))-AVERAGE(OFFSET($H$3,0,0,'Données projet'!$E$10+1,1))</f>
        <v>475.47920969424894</v>
      </c>
      <c r="AO22" s="62">
        <f t="shared" si="36"/>
        <v>271.73544012419364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33.697921459200977</v>
      </c>
      <c r="BF22" s="14">
        <f t="shared" si="37"/>
        <v>10.31198270984201</v>
      </c>
      <c r="BG22" s="22">
        <f t="shared" si="7"/>
        <v>76.650583094416518</v>
      </c>
      <c r="BH22" s="62">
        <f t="shared" si="8"/>
        <v>356.53947198330536</v>
      </c>
      <c r="BI22" s="62">
        <f ca="1">AVERAGE(OFFSET($BH$3,0,0,'Données projet'!$E$11+1,1))-AVERAGE(OFFSET($H$3,0,0,'Données projet'!$E$11+1,1))</f>
        <v>455.50822833641354</v>
      </c>
      <c r="BJ22" s="62">
        <f t="shared" si="38"/>
        <v>261.14722581688039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37.502525494917215</v>
      </c>
      <c r="CA22" s="14">
        <f t="shared" si="39"/>
        <v>11.334227770598273</v>
      </c>
      <c r="CB22" s="22">
        <f t="shared" si="10"/>
        <v>85.057345270772814</v>
      </c>
      <c r="CC22" s="62">
        <f t="shared" si="11"/>
        <v>364.94623415966169</v>
      </c>
      <c r="CD22" s="62">
        <f ca="1">AVERAGE(OFFSET($CC$3,0,0,'Données projet'!$E$12+1,1))-AVERAGE(OFFSET($H$3,0,0,'Données projet'!$E$12+1,1))</f>
        <v>502.07782026233912</v>
      </c>
      <c r="CE22" s="62">
        <f t="shared" si="40"/>
        <v>285.83623046025156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9.6</v>
      </c>
      <c r="CT22" s="13">
        <f>IF('Données projet'!$A$140&gt;35,CT21+CS22-DB21,IF(A22&lt;'Données projet'!$A$140,$CQ$205^A22,IF(A22='Données projet'!$A$140,'Données projet'!$B$140,CT21+CS22-DB21)))</f>
        <v>78.399999999999991</v>
      </c>
      <c r="CU22" s="18">
        <f>CT22*VLOOKUP('Données projet'!$B$13,Paramètres!$A$1:$I$89,3,0)*VLOOKUP('Données projet'!$B$13,Paramètres!$A$1:$I$89,5,0)</f>
        <v>61.151999999999994</v>
      </c>
      <c r="CV22" s="14">
        <f t="shared" si="41"/>
        <v>17.459207591071255</v>
      </c>
      <c r="CW22" s="22">
        <f t="shared" si="13"/>
        <v>136.9145198877824</v>
      </c>
      <c r="CX22" s="62">
        <f t="shared" si="14"/>
        <v>416.80340877667129</v>
      </c>
      <c r="CY22" s="62">
        <f ca="1">AVERAGE(OFFSET($CX$3,0,0,'Données projet'!$E$13+1,1))-AVERAGE(OFFSET($H$3,0,0,'Données projet'!$E$13+1,1))</f>
        <v>289.19475369871481</v>
      </c>
      <c r="CZ22" s="62">
        <f t="shared" si="42"/>
        <v>283.48738729114024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9.3589743589743595</v>
      </c>
      <c r="DO22" s="13">
        <f>IF('Données projet'!$A$166&gt;35,DO21+DN22-DW21,IF(A22&lt;'Données projet'!$A$166,$DL$205^A22,IF(A22='Données projet'!$A$166,'Données projet'!$B$166,DO21+DN22-DW21)))</f>
        <v>86.153846153846175</v>
      </c>
      <c r="DP22" s="18">
        <f>DO22*VLOOKUP('Données projet'!$B$14,Paramètres!$A$1:$I$89,3,0)*VLOOKUP('Données projet'!$B$14,Paramètres!$A$1:$I$89,5,0)</f>
        <v>57.792000000000016</v>
      </c>
      <c r="DQ22" s="14">
        <f t="shared" si="43"/>
        <v>16.608804995380293</v>
      </c>
      <c r="DR22" s="22">
        <f t="shared" si="16"/>
        <v>129.58140203362072</v>
      </c>
      <c r="DS22" s="62">
        <f t="shared" si="17"/>
        <v>409.47029092250955</v>
      </c>
      <c r="DT22" s="62">
        <f ca="1">AVERAGE(OFFSET($DS$3,0,0,'Données projet'!$E$14+1,1))-AVERAGE(OFFSET($H$3,0,0,'Données projet'!$E$14+1,1))</f>
        <v>343.33067866534634</v>
      </c>
      <c r="DU22" s="62">
        <f t="shared" si="44"/>
        <v>261.91036689641402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2">
        <f t="shared" si="0"/>
        <v>367.26962158162712</v>
      </c>
      <c r="S23" s="62">
        <f ca="1">AVERAGE(OFFSET($R$3,0,0,'Données projet'!$E$9+1,1))-AVERAGE(OFFSET($H$3,0,0,'Données projet'!$E$9+1,1))</f>
        <v>428.8489304403459</v>
      </c>
      <c r="T23" s="62">
        <f t="shared" si="34"/>
        <v>247.01165577562966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2">
        <f t="shared" si="5"/>
        <v>377.37315625071483</v>
      </c>
      <c r="AN23" s="62">
        <f ca="1">AVERAGE(OFFSET($AM$3,0,0,'Données projet'!$E$10+1,1))-AVERAGE(OFFSET($H$3,0,0,'Données projet'!$E$10+1,1))</f>
        <v>475.47920969424894</v>
      </c>
      <c r="AO23" s="62">
        <f t="shared" si="36"/>
        <v>271.73544012419364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40.622399999999999</v>
      </c>
      <c r="BF23" s="14">
        <f t="shared" si="37"/>
        <v>12.163465560290264</v>
      </c>
      <c r="BG23" s="22">
        <f t="shared" si="7"/>
        <v>91.935382517505545</v>
      </c>
      <c r="BH23" s="62">
        <f t="shared" si="8"/>
        <v>373.0464936286167</v>
      </c>
      <c r="BI23" s="62">
        <f ca="1">AVERAGE(OFFSET($BH$3,0,0,'Données projet'!$E$11+1,1))-AVERAGE(OFFSET($H$3,0,0,'Données projet'!$E$11+1,1))</f>
        <v>455.50822833641354</v>
      </c>
      <c r="BJ23" s="62">
        <f t="shared" si="38"/>
        <v>261.14722581688039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45.208799999999997</v>
      </c>
      <c r="CA23" s="14">
        <f t="shared" si="39"/>
        <v>13.369251386406743</v>
      </c>
      <c r="CB23" s="22">
        <f t="shared" si="10"/>
        <v>102.02343949799173</v>
      </c>
      <c r="CC23" s="62">
        <f t="shared" si="11"/>
        <v>383.13455060910286</v>
      </c>
      <c r="CD23" s="62">
        <f ca="1">AVERAGE(OFFSET($CC$3,0,0,'Données projet'!$E$12+1,1))-AVERAGE(OFFSET($H$3,0,0,'Données projet'!$E$12+1,1))</f>
        <v>502.07782026233912</v>
      </c>
      <c r="CE23" s="62">
        <f t="shared" si="40"/>
        <v>285.83623046025156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88</v>
      </c>
      <c r="CR23" s="13">
        <f>VLOOKUP(A23,'Données projet'!$A$139:$I$159,9,0)</f>
        <v>9.6</v>
      </c>
      <c r="CS23" s="13">
        <f t="array" ref="CS23">INDEX(CR:CR,MIN(IF(ISNUMBER(CR23:CR219),ROW(CR23:CR219),"")))</f>
        <v>9.6</v>
      </c>
      <c r="CT23" s="13">
        <f>IF('Données projet'!$A$140&gt;35,CT22+CS23-DB22,IF(A23&lt;'Données projet'!$A$140,$CQ$205^A23,IF(A23='Données projet'!$A$140,'Données projet'!$B$140,CT22+CS23-DB22)))</f>
        <v>87.999999999999986</v>
      </c>
      <c r="CU23" s="18">
        <f>CT23*VLOOKUP('Données projet'!$B$13,Paramètres!$A$1:$I$89,3,0)*VLOOKUP('Données projet'!$B$13,Paramètres!$A$1:$I$89,5,0)</f>
        <v>68.639999999999986</v>
      </c>
      <c r="CV23" s="14">
        <f t="shared" si="41"/>
        <v>19.335336956640202</v>
      </c>
      <c r="CW23" s="22">
        <f t="shared" si="13"/>
        <v>153.22371186614834</v>
      </c>
      <c r="CX23" s="62">
        <f t="shared" si="14"/>
        <v>434.33482297725948</v>
      </c>
      <c r="CY23" s="62">
        <f ca="1">AVERAGE(OFFSET($CX$3,0,0,'Données projet'!$E$13+1,1))-AVERAGE(OFFSET($H$3,0,0,'Données projet'!$E$13+1,1))</f>
        <v>289.19475369871481</v>
      </c>
      <c r="CZ23" s="62">
        <f t="shared" si="42"/>
        <v>283.48738729114024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28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95.512820512820511</v>
      </c>
      <c r="DM23" s="13">
        <f>VLOOKUP(A23,'Données projet'!$A$165:$I$185,9,0)</f>
        <v>9.3589743589743595</v>
      </c>
      <c r="DN23" s="13">
        <f t="array" ref="DN23">INDEX(DM:DM,MIN(IF(ISNUMBER(DM23:DM219),ROW(DM23:DM219),"")))</f>
        <v>9.3589743589743595</v>
      </c>
      <c r="DO23" s="13">
        <f>IF('Données projet'!$A$166&gt;35,DO22+DN23-DW22,IF(A23&lt;'Données projet'!$A$166,$DL$205^A23,IF(A23='Données projet'!$A$166,'Données projet'!$B$166,DO22+DN23-DW22)))</f>
        <v>95.512820512820539</v>
      </c>
      <c r="DP23" s="18">
        <f>DO23*VLOOKUP('Données projet'!$B$14,Paramètres!$A$1:$I$89,3,0)*VLOOKUP('Données projet'!$B$14,Paramètres!$A$1:$I$89,5,0)</f>
        <v>64.070000000000022</v>
      </c>
      <c r="DQ23" s="14">
        <f t="shared" si="43"/>
        <v>18.193329243637638</v>
      </c>
      <c r="DR23" s="22">
        <f t="shared" si="16"/>
        <v>143.27529843266893</v>
      </c>
      <c r="DS23" s="62">
        <f t="shared" si="17"/>
        <v>424.38640954378008</v>
      </c>
      <c r="DT23" s="62">
        <f ca="1">AVERAGE(OFFSET($DS$3,0,0,'Données projet'!$E$14+1,1))-AVERAGE(OFFSET($H$3,0,0,'Données projet'!$E$14+1,1))</f>
        <v>343.33067866534634</v>
      </c>
      <c r="DU23" s="62">
        <f t="shared" si="44"/>
        <v>261.91036689641402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2">
        <f t="shared" si="0"/>
        <v>379.65226125630295</v>
      </c>
      <c r="S24" s="62">
        <f ca="1">AVERAGE(OFFSET($R$3,0,0,'Données projet'!$E$9+1,1))-AVERAGE(OFFSET($H$3,0,0,'Données projet'!$E$9+1,1))</f>
        <v>428.8489304403459</v>
      </c>
      <c r="T24" s="62">
        <f t="shared" si="34"/>
        <v>247.01165577562966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2">
        <f t="shared" si="5"/>
        <v>391.06825607785231</v>
      </c>
      <c r="AN24" s="62">
        <f ca="1">AVERAGE(OFFSET($AM$3,0,0,'Données projet'!$E$10+1,1))-AVERAGE(OFFSET($H$3,0,0,'Données projet'!$E$10+1,1))</f>
        <v>475.47920969424894</v>
      </c>
      <c r="AO24" s="62">
        <f t="shared" si="36"/>
        <v>271.73544012419364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46.038720000000005</v>
      </c>
      <c r="BF24" s="14">
        <f t="shared" si="37"/>
        <v>13.585879560828786</v>
      </c>
      <c r="BG24" s="22">
        <f t="shared" si="7"/>
        <v>103.84617756844348</v>
      </c>
      <c r="BH24" s="62">
        <f t="shared" si="8"/>
        <v>386.17951090177678</v>
      </c>
      <c r="BI24" s="62">
        <f ca="1">AVERAGE(OFFSET($BH$3,0,0,'Données projet'!$E$11+1,1))-AVERAGE(OFFSET($H$3,0,0,'Données projet'!$E$11+1,1))</f>
        <v>455.50822833641354</v>
      </c>
      <c r="BJ24" s="62">
        <f t="shared" si="38"/>
        <v>261.14722581688039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51.236640000000001</v>
      </c>
      <c r="CA24" s="14">
        <f t="shared" si="39"/>
        <v>14.932671799321549</v>
      </c>
      <c r="CB24" s="22">
        <f t="shared" si="10"/>
        <v>115.24488471715169</v>
      </c>
      <c r="CC24" s="62">
        <f t="shared" si="11"/>
        <v>397.57821805048502</v>
      </c>
      <c r="CD24" s="62">
        <f ca="1">AVERAGE(OFFSET($CC$3,0,0,'Données projet'!$E$12+1,1))-AVERAGE(OFFSET($H$3,0,0,'Données projet'!$E$12+1,1))</f>
        <v>502.07782026233912</v>
      </c>
      <c r="CE24" s="62">
        <f t="shared" si="40"/>
        <v>285.83623046025156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10.6</v>
      </c>
      <c r="CT24" s="13">
        <f>IF('Données projet'!$A$140&gt;35,CT23+CS24-DB23,IF(A24&lt;'Données projet'!$A$140,$CQ$205^A24,IF(A24='Données projet'!$A$140,'Données projet'!$B$140,CT23+CS24-DB23)))</f>
        <v>70.59999999999998</v>
      </c>
      <c r="CU24" s="18">
        <f>CT24*VLOOKUP('Données projet'!$B$13,Paramètres!$A$1:$I$89,3,0)*VLOOKUP('Données projet'!$B$13,Paramètres!$A$1:$I$89,5,0)</f>
        <v>55.067999999999984</v>
      </c>
      <c r="CV24" s="14">
        <f t="shared" si="41"/>
        <v>15.915148294580479</v>
      </c>
      <c r="CW24" s="22">
        <f t="shared" si="13"/>
        <v>123.62898327972762</v>
      </c>
      <c r="CX24" s="62">
        <f t="shared" si="14"/>
        <v>405.96231661306092</v>
      </c>
      <c r="CY24" s="62">
        <f ca="1">AVERAGE(OFFSET($CX$3,0,0,'Données projet'!$E$13+1,1))-AVERAGE(OFFSET($H$3,0,0,'Données projet'!$E$13+1,1))</f>
        <v>289.19475369871481</v>
      </c>
      <c r="CZ24" s="62">
        <f t="shared" si="42"/>
        <v>283.48738729114024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9.2307692307692299</v>
      </c>
      <c r="DO24" s="13">
        <f>IF('Données projet'!$A$166&gt;35,DO23+DN24-DW23,IF(A24&lt;'Données projet'!$A$166,$DL$205^A24,IF(A24='Données projet'!$A$166,'Données projet'!$B$166,DO23+DN24-DW23)))</f>
        <v>104.74358974358977</v>
      </c>
      <c r="DP24" s="18">
        <f>DO24*VLOOKUP('Données projet'!$B$14,Paramètres!$A$1:$I$89,3,0)*VLOOKUP('Données projet'!$B$14,Paramètres!$A$1:$I$89,5,0)</f>
        <v>70.262000000000015</v>
      </c>
      <c r="DQ24" s="14">
        <f t="shared" si="43"/>
        <v>19.738507251987695</v>
      </c>
      <c r="DR24" s="22">
        <f t="shared" si="16"/>
        <v>156.75088346387858</v>
      </c>
      <c r="DS24" s="62">
        <f t="shared" si="17"/>
        <v>439.08421679721187</v>
      </c>
      <c r="DT24" s="62">
        <f ca="1">AVERAGE(OFFSET($DS$3,0,0,'Données projet'!$E$14+1,1))-AVERAGE(OFFSET($H$3,0,0,'Données projet'!$E$14+1,1))</f>
        <v>343.33067866534634</v>
      </c>
      <c r="DU24" s="62">
        <f t="shared" si="44"/>
        <v>261.91036689641402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2">
        <f t="shared" si="0"/>
        <v>392.00305746847613</v>
      </c>
      <c r="S25" s="62">
        <f ca="1">AVERAGE(OFFSET($R$3,0,0,'Données projet'!$E$9+1,1))-AVERAGE(OFFSET($H$3,0,0,'Données projet'!$E$9+1,1))</f>
        <v>428.8489304403459</v>
      </c>
      <c r="T25" s="62">
        <f t="shared" si="34"/>
        <v>247.01165577562966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2">
        <f t="shared" si="5"/>
        <v>404.72813945687091</v>
      </c>
      <c r="AN25" s="62">
        <f ca="1">AVERAGE(OFFSET($AM$3,0,0,'Données projet'!$E$10+1,1))-AVERAGE(OFFSET($H$3,0,0,'Données projet'!$E$10+1,1))</f>
        <v>475.47920969424894</v>
      </c>
      <c r="AO25" s="62">
        <f t="shared" si="36"/>
        <v>271.73544012419364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51.455040000000004</v>
      </c>
      <c r="BF25" s="14">
        <f t="shared" si="37"/>
        <v>14.988900446655085</v>
      </c>
      <c r="BG25" s="22">
        <f t="shared" si="7"/>
        <v>115.72319627792427</v>
      </c>
      <c r="BH25" s="62">
        <f t="shared" si="8"/>
        <v>399.27875183347982</v>
      </c>
      <c r="BI25" s="62">
        <f ca="1">AVERAGE(OFFSET($BH$3,0,0,'Données projet'!$E$11+1,1))-AVERAGE(OFFSET($H$3,0,0,'Données projet'!$E$11+1,1))</f>
        <v>455.50822833641354</v>
      </c>
      <c r="BJ25" s="62">
        <f t="shared" si="38"/>
        <v>261.14722581688039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57.264479999999999</v>
      </c>
      <c r="CA25" s="14">
        <f t="shared" si="39"/>
        <v>16.474776623807379</v>
      </c>
      <c r="CB25" s="22">
        <f t="shared" si="10"/>
        <v>128.42920528646451</v>
      </c>
      <c r="CC25" s="62">
        <f t="shared" si="11"/>
        <v>411.98476084202002</v>
      </c>
      <c r="CD25" s="62">
        <f ca="1">AVERAGE(OFFSET($CC$3,0,0,'Données projet'!$E$12+1,1))-AVERAGE(OFFSET($H$3,0,0,'Données projet'!$E$12+1,1))</f>
        <v>502.07782026233912</v>
      </c>
      <c r="CE25" s="62">
        <f t="shared" si="40"/>
        <v>285.83623046025156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10.6</v>
      </c>
      <c r="CT25" s="13">
        <f>IF('Données projet'!$A$140&gt;35,CT24+CS25-DB24,IF(A25&lt;'Données projet'!$A$140,$CQ$205^A25,IF(A25='Données projet'!$A$140,'Données projet'!$B$140,CT24+CS25-DB24)))</f>
        <v>81.199999999999974</v>
      </c>
      <c r="CU25" s="18">
        <f>CT25*VLOOKUP('Données projet'!$B$13,Paramètres!$A$1:$I$89,3,0)*VLOOKUP('Données projet'!$B$13,Paramètres!$A$1:$I$89,5,0)</f>
        <v>63.335999999999984</v>
      </c>
      <c r="CV25" s="14">
        <f t="shared" si="41"/>
        <v>18.009040022946227</v>
      </c>
      <c r="CW25" s="22">
        <f t="shared" si="13"/>
        <v>141.67594470663133</v>
      </c>
      <c r="CX25" s="62">
        <f t="shared" si="14"/>
        <v>425.23150026218684</v>
      </c>
      <c r="CY25" s="62">
        <f ca="1">AVERAGE(OFFSET($CX$3,0,0,'Données projet'!$E$13+1,1))-AVERAGE(OFFSET($H$3,0,0,'Données projet'!$E$13+1,1))</f>
        <v>289.19475369871481</v>
      </c>
      <c r="CZ25" s="62">
        <f t="shared" si="42"/>
        <v>283.48738729114024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9.2307692307692299</v>
      </c>
      <c r="DO25" s="13">
        <f>IF('Données projet'!$A$166&gt;35,DO24+DN25-DW24,IF(A25&lt;'Données projet'!$A$166,$DL$205^A25,IF(A25='Données projet'!$A$166,'Données projet'!$B$166,DO24+DN25-DW24)))</f>
        <v>113.97435897435899</v>
      </c>
      <c r="DP25" s="18">
        <f>DO25*VLOOKUP('Données projet'!$B$14,Paramètres!$A$1:$I$89,3,0)*VLOOKUP('Données projet'!$B$14,Paramètres!$A$1:$I$89,5,0)</f>
        <v>76.454000000000008</v>
      </c>
      <c r="DQ25" s="14">
        <f t="shared" si="43"/>
        <v>21.267894258297272</v>
      </c>
      <c r="DR25" s="22">
        <f t="shared" si="16"/>
        <v>170.1989658332011</v>
      </c>
      <c r="DS25" s="62">
        <f t="shared" si="17"/>
        <v>453.75452138875664</v>
      </c>
      <c r="DT25" s="62">
        <f ca="1">AVERAGE(OFFSET($DS$3,0,0,'Données projet'!$E$14+1,1))-AVERAGE(OFFSET($H$3,0,0,'Données projet'!$E$14+1,1))</f>
        <v>343.33067866534634</v>
      </c>
      <c r="DU25" s="62">
        <f t="shared" si="44"/>
        <v>261.91036689641402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2">
        <f t="shared" si="0"/>
        <v>404.32574406333623</v>
      </c>
      <c r="S26" s="62">
        <f ca="1">AVERAGE(OFFSET($R$3,0,0,'Données projet'!$E$9+1,1))-AVERAGE(OFFSET($H$3,0,0,'Données projet'!$E$9+1,1))</f>
        <v>428.8489304403459</v>
      </c>
      <c r="T26" s="62">
        <f t="shared" si="34"/>
        <v>247.01165577562966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2">
        <f t="shared" si="5"/>
        <v>418.35693573662502</v>
      </c>
      <c r="AN26" s="62">
        <f ca="1">AVERAGE(OFFSET($AM$3,0,0,'Données projet'!$E$10+1,1))-AVERAGE(OFFSET($H$3,0,0,'Données projet'!$E$10+1,1))</f>
        <v>475.47920969424894</v>
      </c>
      <c r="AO26" s="62">
        <f t="shared" si="36"/>
        <v>271.73544012419364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56.87136000000001</v>
      </c>
      <c r="BF26" s="14">
        <f t="shared" si="37"/>
        <v>16.374802181791551</v>
      </c>
      <c r="BG26" s="22">
        <f t="shared" si="7"/>
        <v>127.57039913328697</v>
      </c>
      <c r="BH26" s="62">
        <f t="shared" si="8"/>
        <v>412.34817691106474</v>
      </c>
      <c r="BI26" s="62">
        <f ca="1">AVERAGE(OFFSET($BH$3,0,0,'Données projet'!$E$11+1,1))-AVERAGE(OFFSET($H$3,0,0,'Données projet'!$E$11+1,1))</f>
        <v>455.50822833641354</v>
      </c>
      <c r="BJ26" s="62">
        <f t="shared" si="38"/>
        <v>261.14722581688039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63.292320000000004</v>
      </c>
      <c r="CA26" s="14">
        <f t="shared" si="39"/>
        <v>17.998065245956816</v>
      </c>
      <c r="CB26" s="22">
        <f t="shared" si="10"/>
        <v>141.58075430337479</v>
      </c>
      <c r="CC26" s="62">
        <f t="shared" si="11"/>
        <v>426.35853208115259</v>
      </c>
      <c r="CD26" s="62">
        <f ca="1">AVERAGE(OFFSET($CC$3,0,0,'Données projet'!$E$12+1,1))-AVERAGE(OFFSET($H$3,0,0,'Données projet'!$E$12+1,1))</f>
        <v>502.07782026233912</v>
      </c>
      <c r="CE26" s="62">
        <f t="shared" si="40"/>
        <v>285.83623046025156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10.6</v>
      </c>
      <c r="CT26" s="13">
        <f>IF('Données projet'!$A$140&gt;35,CT25+CS26-DB25,IF(A26&lt;'Données projet'!$A$140,$CQ$205^A26,IF(A26='Données projet'!$A$140,'Données projet'!$B$140,CT25+CS26-DB25)))</f>
        <v>91.799999999999969</v>
      </c>
      <c r="CU26" s="18">
        <f>CT26*VLOOKUP('Données projet'!$B$13,Paramètres!$A$1:$I$89,3,0)*VLOOKUP('Données projet'!$B$13,Paramètres!$A$1:$I$89,5,0)</f>
        <v>71.603999999999985</v>
      </c>
      <c r="CV26" s="14">
        <f t="shared" si="41"/>
        <v>20.071260561992585</v>
      </c>
      <c r="CW26" s="22">
        <f t="shared" si="13"/>
        <v>159.66774547880371</v>
      </c>
      <c r="CX26" s="62">
        <f t="shared" si="14"/>
        <v>444.44552325658151</v>
      </c>
      <c r="CY26" s="62">
        <f ca="1">AVERAGE(OFFSET($CX$3,0,0,'Données projet'!$E$13+1,1))-AVERAGE(OFFSET($H$3,0,0,'Données projet'!$E$13+1,1))</f>
        <v>289.19475369871481</v>
      </c>
      <c r="CZ26" s="62">
        <f t="shared" si="42"/>
        <v>283.48738729114024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9.2307692307692299</v>
      </c>
      <c r="DO26" s="13">
        <f>IF('Données projet'!$A$166&gt;35,DO25+DN26-DW25,IF(A26&lt;'Données projet'!$A$166,$DL$205^A26,IF(A26='Données projet'!$A$166,'Données projet'!$B$166,DO25+DN26-DW25)))</f>
        <v>123.20512820512822</v>
      </c>
      <c r="DP26" s="18">
        <f>DO26*VLOOKUP('Données projet'!$B$14,Paramètres!$A$1:$I$89,3,0)*VLOOKUP('Données projet'!$B$14,Paramètres!$A$1:$I$89,5,0)</f>
        <v>82.646000000000015</v>
      </c>
      <c r="DQ26" s="14">
        <f t="shared" si="43"/>
        <v>22.78291457325621</v>
      </c>
      <c r="DR26" s="22">
        <f t="shared" si="16"/>
        <v>183.62202621508791</v>
      </c>
      <c r="DS26" s="62">
        <f t="shared" si="17"/>
        <v>468.39980399286571</v>
      </c>
      <c r="DT26" s="62">
        <f ca="1">AVERAGE(OFFSET($DS$3,0,0,'Données projet'!$E$14+1,1))-AVERAGE(OFFSET($H$3,0,0,'Données projet'!$E$14+1,1))</f>
        <v>343.33067866534634</v>
      </c>
      <c r="DU26" s="62">
        <f t="shared" si="44"/>
        <v>261.91036689641402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2">
        <f t="shared" si="0"/>
        <v>416.62330272297186</v>
      </c>
      <c r="S27" s="62">
        <f ca="1">AVERAGE(OFFSET($R$3,0,0,'Données projet'!$E$9+1,1))-AVERAGE(OFFSET($H$3,0,0,'Données projet'!$E$9+1,1))</f>
        <v>428.8489304403459</v>
      </c>
      <c r="T27" s="62">
        <f t="shared" si="34"/>
        <v>247.01165577562966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2">
        <f t="shared" si="5"/>
        <v>431.95794243077449</v>
      </c>
      <c r="AN27" s="62">
        <f ca="1">AVERAGE(OFFSET($AM$3,0,0,'Données projet'!$E$10+1,1))-AVERAGE(OFFSET($H$3,0,0,'Données projet'!$E$10+1,1))</f>
        <v>475.47920969424894</v>
      </c>
      <c r="AO27" s="62">
        <f t="shared" si="36"/>
        <v>271.73544012419364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62.287680000000009</v>
      </c>
      <c r="BF27" s="14">
        <f t="shared" si="37"/>
        <v>17.745400652396182</v>
      </c>
      <c r="BG27" s="22">
        <f t="shared" si="7"/>
        <v>139.39094880292336</v>
      </c>
      <c r="BH27" s="62">
        <f t="shared" si="8"/>
        <v>425.39094880292339</v>
      </c>
      <c r="BI27" s="62">
        <f ca="1">AVERAGE(OFFSET($BH$3,0,0,'Données projet'!$E$11+1,1))-AVERAGE(OFFSET($H$3,0,0,'Données projet'!$E$11+1,1))</f>
        <v>455.50822833641354</v>
      </c>
      <c r="BJ27" s="62">
        <f t="shared" si="38"/>
        <v>261.14722581688039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69.320160000000001</v>
      </c>
      <c r="CA27" s="14">
        <f t="shared" si="39"/>
        <v>19.50453356393022</v>
      </c>
      <c r="CB27" s="22">
        <f t="shared" si="10"/>
        <v>154.70300795717847</v>
      </c>
      <c r="CC27" s="62">
        <f t="shared" si="11"/>
        <v>440.70300795717844</v>
      </c>
      <c r="CD27" s="62">
        <f ca="1">AVERAGE(OFFSET($CC$3,0,0,'Données projet'!$E$12+1,1))-AVERAGE(OFFSET($H$3,0,0,'Données projet'!$E$12+1,1))</f>
        <v>502.07782026233912</v>
      </c>
      <c r="CE27" s="62">
        <f t="shared" si="40"/>
        <v>285.83623046025156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10.6</v>
      </c>
      <c r="CT27" s="13">
        <f>IF('Données projet'!$A$140&gt;35,CT26+CS27-DB26,IF(A27&lt;'Données projet'!$A$140,$CQ$205^A27,IF(A27='Données projet'!$A$140,'Données projet'!$B$140,CT26+CS27-DB26)))</f>
        <v>102.39999999999996</v>
      </c>
      <c r="CU27" s="18">
        <f>CT27*VLOOKUP('Données projet'!$B$13,Paramètres!$A$1:$I$89,3,0)*VLOOKUP('Données projet'!$B$13,Paramètres!$A$1:$I$89,5,0)</f>
        <v>79.871999999999971</v>
      </c>
      <c r="CV27" s="14">
        <f t="shared" si="41"/>
        <v>22.105884547145401</v>
      </c>
      <c r="CW27" s="22">
        <f t="shared" si="13"/>
        <v>177.61148225294485</v>
      </c>
      <c r="CX27" s="62">
        <f t="shared" si="14"/>
        <v>463.61148225294482</v>
      </c>
      <c r="CY27" s="62">
        <f ca="1">AVERAGE(OFFSET($CX$3,0,0,'Données projet'!$E$13+1,1))-AVERAGE(OFFSET($H$3,0,0,'Données projet'!$E$13+1,1))</f>
        <v>289.19475369871481</v>
      </c>
      <c r="CZ27" s="62">
        <f t="shared" si="42"/>
        <v>283.48738729114024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9.2307692307692299</v>
      </c>
      <c r="DO27" s="13">
        <f>IF('Données projet'!$A$166&gt;35,DO26+DN27-DW26,IF(A27&lt;'Données projet'!$A$166,$DL$205^A27,IF(A27='Données projet'!$A$166,'Données projet'!$B$166,DO26+DN27-DW26)))</f>
        <v>132.43589743589746</v>
      </c>
      <c r="DP27" s="18">
        <f>DO27*VLOOKUP('Données projet'!$B$14,Paramètres!$A$1:$I$89,3,0)*VLOOKUP('Données projet'!$B$14,Paramètres!$A$1:$I$89,5,0)</f>
        <v>88.838000000000022</v>
      </c>
      <c r="DQ27" s="14">
        <f t="shared" si="43"/>
        <v>24.284766971422886</v>
      </c>
      <c r="DR27" s="22">
        <f t="shared" si="16"/>
        <v>197.02215247522824</v>
      </c>
      <c r="DS27" s="62">
        <f t="shared" si="17"/>
        <v>483.02215247522827</v>
      </c>
      <c r="DT27" s="62">
        <f ca="1">AVERAGE(OFFSET($DS$3,0,0,'Données projet'!$E$14+1,1))-AVERAGE(OFFSET($H$3,0,0,'Données projet'!$E$14+1,1))</f>
        <v>343.33067866534634</v>
      </c>
      <c r="DU27" s="62">
        <f t="shared" si="44"/>
        <v>261.91036689641402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2">
        <f t="shared" si="0"/>
        <v>428.89816692885358</v>
      </c>
      <c r="S28" s="62">
        <f ca="1">AVERAGE(OFFSET($R$3,0,0,'Données projet'!$E$9+1,1))-AVERAGE(OFFSET($H$3,0,0,'Données projet'!$E$9+1,1))</f>
        <v>428.8489304403459</v>
      </c>
      <c r="T28" s="62">
        <f t="shared" si="34"/>
        <v>247.01165577562966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2">
        <f t="shared" si="5"/>
        <v>445.53385078478129</v>
      </c>
      <c r="AN28" s="62">
        <f ca="1">AVERAGE(OFFSET($AM$3,0,0,'Données projet'!$E$10+1,1))-AVERAGE(OFFSET($H$3,0,0,'Données projet'!$E$10+1,1))</f>
        <v>475.47920969424894</v>
      </c>
      <c r="AO28" s="62">
        <f t="shared" si="36"/>
        <v>271.73544012419364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67.703999999999994</v>
      </c>
      <c r="BF28" s="14">
        <f t="shared" si="37"/>
        <v>19.102177882771514</v>
      </c>
      <c r="BG28" s="22">
        <f t="shared" si="7"/>
        <v>151.18742647916039</v>
      </c>
      <c r="BH28" s="62">
        <f t="shared" si="8"/>
        <v>438.40964870138259</v>
      </c>
      <c r="BI28" s="62">
        <f ca="1">AVERAGE(OFFSET($BH$3,0,0,'Données projet'!$E$11+1,1))-AVERAGE(OFFSET($H$3,0,0,'Données projet'!$E$11+1,1))</f>
        <v>455.50822833641354</v>
      </c>
      <c r="BJ28" s="62">
        <f t="shared" si="38"/>
        <v>261.14722581688039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75.347999999999999</v>
      </c>
      <c r="CA28" s="14">
        <f t="shared" si="39"/>
        <v>20.99581051771704</v>
      </c>
      <c r="CB28" s="22">
        <f t="shared" si="10"/>
        <v>167.79880331835713</v>
      </c>
      <c r="CC28" s="62">
        <f t="shared" si="11"/>
        <v>455.02102554057933</v>
      </c>
      <c r="CD28" s="62">
        <f ca="1">AVERAGE(OFFSET($CC$3,0,0,'Données projet'!$E$12+1,1))-AVERAGE(OFFSET($H$3,0,0,'Données projet'!$E$12+1,1))</f>
        <v>502.07782026233912</v>
      </c>
      <c r="CE28" s="62">
        <f t="shared" si="40"/>
        <v>285.83623046025156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113</v>
      </c>
      <c r="CR28" s="13">
        <f>VLOOKUP(A28,'Données projet'!$A$139:$I$159,9,0)</f>
        <v>10.6</v>
      </c>
      <c r="CS28" s="13">
        <f t="array" ref="CS28">INDEX(CR:CR,MIN(IF(ISNUMBER(CR28:CR224),ROW(CR28:CR224),"")))</f>
        <v>10.6</v>
      </c>
      <c r="CT28" s="13">
        <f>IF('Données projet'!$A$140&gt;35,CT27+CS28-DB27,IF(A28&lt;'Données projet'!$A$140,$CQ$205^A28,IF(A28='Données projet'!$A$140,'Données projet'!$B$140,CT27+CS28-DB27)))</f>
        <v>112.99999999999996</v>
      </c>
      <c r="CU28" s="18">
        <f>CT28*VLOOKUP('Données projet'!$B$13,Paramètres!$A$1:$I$89,3,0)*VLOOKUP('Données projet'!$B$13,Paramètres!$A$1:$I$89,5,0)</f>
        <v>88.139999999999972</v>
      </c>
      <c r="CV28" s="14">
        <f t="shared" si="41"/>
        <v>24.116094026318823</v>
      </c>
      <c r="CW28" s="22">
        <f t="shared" si="13"/>
        <v>195.51269709583855</v>
      </c>
      <c r="CX28" s="62">
        <f t="shared" si="14"/>
        <v>482.73491931806075</v>
      </c>
      <c r="CY28" s="62">
        <f ca="1">AVERAGE(OFFSET($CX$3,0,0,'Données projet'!$E$13+1,1))-AVERAGE(OFFSET($H$3,0,0,'Données projet'!$E$13+1,1))</f>
        <v>289.19475369871481</v>
      </c>
      <c r="CZ28" s="62">
        <f t="shared" si="42"/>
        <v>283.48738729114024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27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141.66666666666666</v>
      </c>
      <c r="DM28" s="13">
        <f>VLOOKUP(A28,'Données projet'!$A$165:$I$185,9,0)</f>
        <v>9.2307692307692299</v>
      </c>
      <c r="DN28" s="13">
        <f t="array" ref="DN28">INDEX(DM:DM,MIN(IF(ISNUMBER(DM28:DM224),ROW(DM28:DM224),"")))</f>
        <v>9.2307692307692299</v>
      </c>
      <c r="DO28" s="13">
        <f>IF('Données projet'!$A$166&gt;35,DO27+DN28-DW27,IF(A28&lt;'Données projet'!$A$166,$DL$205^A28,IF(A28='Données projet'!$A$166,'Données projet'!$B$166,DO27+DN28-DW27)))</f>
        <v>141.66666666666669</v>
      </c>
      <c r="DP28" s="18">
        <f>DO28*VLOOKUP('Données projet'!$B$14,Paramètres!$A$1:$I$89,3,0)*VLOOKUP('Données projet'!$B$14,Paramètres!$A$1:$I$89,5,0)</f>
        <v>95.030000000000015</v>
      </c>
      <c r="DQ28" s="14">
        <f t="shared" si="43"/>
        <v>25.774473655280186</v>
      </c>
      <c r="DR28" s="22">
        <f t="shared" si="16"/>
        <v>210.40112494961298</v>
      </c>
      <c r="DS28" s="62">
        <f t="shared" si="17"/>
        <v>497.62334717183523</v>
      </c>
      <c r="DT28" s="62">
        <f ca="1">AVERAGE(OFFSET($DS$3,0,0,'Données projet'!$E$14+1,1))-AVERAGE(OFFSET($H$3,0,0,'Données projet'!$E$14+1,1))</f>
        <v>343.33067866534634</v>
      </c>
      <c r="DU28" s="62">
        <f t="shared" si="44"/>
        <v>261.91036689641402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33.974358974358971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2">
        <f t="shared" si="0"/>
        <v>443.90732670063346</v>
      </c>
      <c r="S29" s="62">
        <f ca="1">AVERAGE(OFFSET($R$3,0,0,'Données projet'!$E$9+1,1))-AVERAGE(OFFSET($H$3,0,0,'Données projet'!$E$9+1,1))</f>
        <v>428.8489304403459</v>
      </c>
      <c r="T29" s="62">
        <f t="shared" si="34"/>
        <v>247.01165577562966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2">
        <f t="shared" si="5"/>
        <v>462.16625825405436</v>
      </c>
      <c r="AN29" s="62">
        <f ca="1">AVERAGE(OFFSET($AM$3,0,0,'Données projet'!$E$10+1,1))-AVERAGE(OFFSET($H$3,0,0,'Données projet'!$E$10+1,1))</f>
        <v>475.47920969424894</v>
      </c>
      <c r="AO29" s="62">
        <f t="shared" si="36"/>
        <v>271.73544012419364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74.474400000000003</v>
      </c>
      <c r="BF29" s="14">
        <f t="shared" si="37"/>
        <v>20.780570274034375</v>
      </c>
      <c r="BG29" s="22">
        <f t="shared" si="7"/>
        <v>165.90240656060988</v>
      </c>
      <c r="BH29" s="62">
        <f t="shared" si="8"/>
        <v>454.3468510050543</v>
      </c>
      <c r="BI29" s="62">
        <f ca="1">AVERAGE(OFFSET($BH$3,0,0,'Données projet'!$E$11+1,1))-AVERAGE(OFFSET($H$3,0,0,'Données projet'!$E$11+1,1))</f>
        <v>455.50822833641354</v>
      </c>
      <c r="BJ29" s="62">
        <f t="shared" si="38"/>
        <v>261.14722581688039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82.882799999999989</v>
      </c>
      <c r="CA29" s="14">
        <f t="shared" si="39"/>
        <v>22.840584911380041</v>
      </c>
      <c r="CB29" s="22">
        <f t="shared" si="10"/>
        <v>184.1348953873202</v>
      </c>
      <c r="CC29" s="62">
        <f t="shared" si="11"/>
        <v>472.57933983176463</v>
      </c>
      <c r="CD29" s="62">
        <f ca="1">AVERAGE(OFFSET($CC$3,0,0,'Données projet'!$E$12+1,1))-AVERAGE(OFFSET($H$3,0,0,'Données projet'!$E$12+1,1))</f>
        <v>502.07782026233912</v>
      </c>
      <c r="CE29" s="62">
        <f t="shared" si="40"/>
        <v>285.83623046025156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11.5</v>
      </c>
      <c r="CT29" s="13">
        <f>IF('Données projet'!$A$140&gt;35,CT28+CS29-DB28,IF(A29&lt;'Données projet'!$A$140,$CQ$205^A29,IF(A29='Données projet'!$A$140,'Données projet'!$B$140,CT28+CS29-DB28)))</f>
        <v>97.499999999999957</v>
      </c>
      <c r="CU29" s="18">
        <f>CT29*VLOOKUP('Données projet'!$B$13,Paramètres!$A$1:$I$89,3,0)*VLOOKUP('Données projet'!$B$13,Paramètres!$A$1:$I$89,5,0)</f>
        <v>76.049999999999969</v>
      </c>
      <c r="CV29" s="14">
        <f t="shared" si="41"/>
        <v>21.168560890749262</v>
      </c>
      <c r="CW29" s="22">
        <f t="shared" si="13"/>
        <v>169.32232688472158</v>
      </c>
      <c r="CX29" s="62">
        <f t="shared" si="14"/>
        <v>457.76677132916603</v>
      </c>
      <c r="CY29" s="62">
        <f ca="1">AVERAGE(OFFSET($CX$3,0,0,'Données projet'!$E$13+1,1))-AVERAGE(OFFSET($H$3,0,0,'Données projet'!$E$13+1,1))</f>
        <v>289.19475369871481</v>
      </c>
      <c r="CZ29" s="62">
        <f t="shared" si="42"/>
        <v>283.48738729114024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8.8461538461538449</v>
      </c>
      <c r="DO29" s="13">
        <f>IF('Données projet'!$A$166&gt;35,DO28+DN29-DW28,IF(A29&lt;'Données projet'!$A$166,$DL$205^A29,IF(A29='Données projet'!$A$166,'Données projet'!$B$166,DO28+DN29-DW28)))</f>
        <v>116.53846153846155</v>
      </c>
      <c r="DP29" s="18">
        <f>DO29*VLOOKUP('Données projet'!$B$14,Paramètres!$A$1:$I$89,3,0)*VLOOKUP('Données projet'!$B$14,Paramètres!$A$1:$I$89,5,0)</f>
        <v>78.174000000000007</v>
      </c>
      <c r="DQ29" s="14">
        <f t="shared" si="43"/>
        <v>21.690119443632522</v>
      </c>
      <c r="DR29" s="22">
        <f t="shared" si="16"/>
        <v>173.93000803099332</v>
      </c>
      <c r="DS29" s="62">
        <f t="shared" si="17"/>
        <v>462.37445247543781</v>
      </c>
      <c r="DT29" s="62">
        <f ca="1">AVERAGE(OFFSET($DS$3,0,0,'Données projet'!$E$14+1,1))-AVERAGE(OFFSET($H$3,0,0,'Données projet'!$E$14+1,1))</f>
        <v>343.33067866534634</v>
      </c>
      <c r="DU29" s="62">
        <f t="shared" si="44"/>
        <v>261.91036689641402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2">
        <f t="shared" si="0"/>
        <v>458.88743540273413</v>
      </c>
      <c r="S30" s="62">
        <f ca="1">AVERAGE(OFFSET($R$3,0,0,'Données projet'!$E$9+1,1))-AVERAGE(OFFSET($H$3,0,0,'Données projet'!$E$9+1,1))</f>
        <v>428.8489304403459</v>
      </c>
      <c r="T30" s="62">
        <f t="shared" si="34"/>
        <v>247.01165577562966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2">
        <f t="shared" si="5"/>
        <v>478.76653744933498</v>
      </c>
      <c r="AN30" s="62">
        <f ca="1">AVERAGE(OFFSET($AM$3,0,0,'Données projet'!$E$10+1,1))-AVERAGE(OFFSET($H$3,0,0,'Données projet'!$E$10+1,1))</f>
        <v>475.47920969424894</v>
      </c>
      <c r="AO30" s="62">
        <f t="shared" si="36"/>
        <v>271.73544012419364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81.244799999999998</v>
      </c>
      <c r="BF30" s="14">
        <f t="shared" si="37"/>
        <v>22.441270156928962</v>
      </c>
      <c r="BG30" s="22">
        <f t="shared" si="7"/>
        <v>180.58657218998462</v>
      </c>
      <c r="BH30" s="62">
        <f t="shared" si="8"/>
        <v>470.25323885665131</v>
      </c>
      <c r="BI30" s="62">
        <f ca="1">AVERAGE(OFFSET($BH$3,0,0,'Données projet'!$E$11+1,1))-AVERAGE(OFFSET($H$3,0,0,'Données projet'!$E$11+1,1))</f>
        <v>455.50822833641354</v>
      </c>
      <c r="BJ30" s="62">
        <f t="shared" si="38"/>
        <v>261.14722581688039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90.417599999999993</v>
      </c>
      <c r="CA30" s="14">
        <f t="shared" si="39"/>
        <v>24.665912907068826</v>
      </c>
      <c r="CB30" s="22">
        <f t="shared" si="10"/>
        <v>200.43711831314488</v>
      </c>
      <c r="CC30" s="62">
        <f t="shared" si="11"/>
        <v>490.10378497981156</v>
      </c>
      <c r="CD30" s="62">
        <f ca="1">AVERAGE(OFFSET($CC$3,0,0,'Données projet'!$E$12+1,1))-AVERAGE(OFFSET($H$3,0,0,'Données projet'!$E$12+1,1))</f>
        <v>502.07782026233912</v>
      </c>
      <c r="CE30" s="62">
        <f t="shared" si="40"/>
        <v>285.83623046025156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11.5</v>
      </c>
      <c r="CT30" s="13">
        <f>IF('Données projet'!$A$140&gt;35,CT29+CS30-DB29,IF(A30&lt;'Données projet'!$A$140,$CQ$205^A30,IF(A30='Données projet'!$A$140,'Données projet'!$B$140,CT29+CS30-DB29)))</f>
        <v>108.99999999999996</v>
      </c>
      <c r="CU30" s="18">
        <f>CT30*VLOOKUP('Données projet'!$B$13,Paramètres!$A$1:$I$89,3,0)*VLOOKUP('Données projet'!$B$13,Paramètres!$A$1:$I$89,5,0)</f>
        <v>85.019999999999968</v>
      </c>
      <c r="CV30" s="14">
        <f t="shared" si="41"/>
        <v>23.360218970693097</v>
      </c>
      <c r="CW30" s="22">
        <f t="shared" si="13"/>
        <v>188.76221470729038</v>
      </c>
      <c r="CX30" s="62">
        <f t="shared" si="14"/>
        <v>478.4288813739571</v>
      </c>
      <c r="CY30" s="62">
        <f ca="1">AVERAGE(OFFSET($CX$3,0,0,'Données projet'!$E$13+1,1))-AVERAGE(OFFSET($H$3,0,0,'Données projet'!$E$13+1,1))</f>
        <v>289.19475369871481</v>
      </c>
      <c r="CZ30" s="62">
        <f t="shared" si="42"/>
        <v>283.48738729114024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8.8461538461538449</v>
      </c>
      <c r="DO30" s="13">
        <f>IF('Données projet'!$A$166&gt;35,DO29+DN30-DW29,IF(A30&lt;'Données projet'!$A$166,$DL$205^A30,IF(A30='Données projet'!$A$166,'Données projet'!$B$166,DO29+DN30-DW29)))</f>
        <v>125.38461538461539</v>
      </c>
      <c r="DP30" s="18">
        <f>DO30*VLOOKUP('Données projet'!$B$14,Paramètres!$A$1:$I$89,3,0)*VLOOKUP('Données projet'!$B$14,Paramètres!$A$1:$I$89,5,0)</f>
        <v>84.108000000000004</v>
      </c>
      <c r="DQ30" s="14">
        <f t="shared" si="43"/>
        <v>23.1386655347386</v>
      </c>
      <c r="DR30" s="22">
        <f t="shared" si="16"/>
        <v>186.78794247300308</v>
      </c>
      <c r="DS30" s="62">
        <f t="shared" si="17"/>
        <v>476.45460913966974</v>
      </c>
      <c r="DT30" s="62">
        <f ca="1">AVERAGE(OFFSET($DS$3,0,0,'Données projet'!$E$14+1,1))-AVERAGE(OFFSET($H$3,0,0,'Données projet'!$E$14+1,1))</f>
        <v>343.33067866534634</v>
      </c>
      <c r="DU30" s="62">
        <f t="shared" si="44"/>
        <v>261.91036689641402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2">
        <f t="shared" si="0"/>
        <v>473.84118919501418</v>
      </c>
      <c r="S31" s="62">
        <f ca="1">AVERAGE(OFFSET($R$3,0,0,'Données projet'!$E$9+1,1))-AVERAGE(OFFSET($H$3,0,0,'Données projet'!$E$9+1,1))</f>
        <v>428.8489304403459</v>
      </c>
      <c r="T31" s="62">
        <f t="shared" si="34"/>
        <v>247.01165577562966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2">
        <f t="shared" si="5"/>
        <v>495.33767011840803</v>
      </c>
      <c r="AN31" s="62">
        <f ca="1">AVERAGE(OFFSET($AM$3,0,0,'Données projet'!$E$10+1,1))-AVERAGE(OFFSET($H$3,0,0,'Données projet'!$E$10+1,1))</f>
        <v>475.47920969424894</v>
      </c>
      <c r="AO31" s="62">
        <f t="shared" si="36"/>
        <v>271.73544012419364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88.015200000000007</v>
      </c>
      <c r="BF31" s="14">
        <f t="shared" si="37"/>
        <v>24.085919530575829</v>
      </c>
      <c r="BG31" s="22">
        <f t="shared" si="7"/>
        <v>195.24278318241954</v>
      </c>
      <c r="BH31" s="62">
        <f t="shared" si="8"/>
        <v>486.1316720713084</v>
      </c>
      <c r="BI31" s="62">
        <f ca="1">AVERAGE(OFFSET($BH$3,0,0,'Données projet'!$E$11+1,1))-AVERAGE(OFFSET($H$3,0,0,'Données projet'!$E$11+1,1))</f>
        <v>455.50822833641354</v>
      </c>
      <c r="BJ31" s="62">
        <f t="shared" si="38"/>
        <v>261.14722581688039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97.952399999999997</v>
      </c>
      <c r="CA31" s="14">
        <f t="shared" si="39"/>
        <v>26.473599278177087</v>
      </c>
      <c r="CB31" s="22">
        <f t="shared" si="10"/>
        <v>216.70861540949173</v>
      </c>
      <c r="CC31" s="62">
        <f t="shared" si="11"/>
        <v>507.59750429838061</v>
      </c>
      <c r="CD31" s="62">
        <f ca="1">AVERAGE(OFFSET($CC$3,0,0,'Données projet'!$E$12+1,1))-AVERAGE(OFFSET($H$3,0,0,'Données projet'!$E$12+1,1))</f>
        <v>502.07782026233912</v>
      </c>
      <c r="CE31" s="62">
        <f t="shared" si="40"/>
        <v>285.83623046025156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11.5</v>
      </c>
      <c r="CT31" s="13">
        <f>IF('Données projet'!$A$140&gt;35,CT30+CS31-DB30,IF(A31&lt;'Données projet'!$A$140,$CQ$205^A31,IF(A31='Données projet'!$A$140,'Données projet'!$B$140,CT30+CS31-DB30)))</f>
        <v>120.49999999999996</v>
      </c>
      <c r="CU31" s="18">
        <f>CT31*VLOOKUP('Données projet'!$B$13,Paramètres!$A$1:$I$89,3,0)*VLOOKUP('Données projet'!$B$13,Paramètres!$A$1:$I$89,5,0)</f>
        <v>93.989999999999966</v>
      </c>
      <c r="CV31" s="14">
        <f t="shared" si="41"/>
        <v>25.525074036970054</v>
      </c>
      <c r="CW31" s="22">
        <f t="shared" si="13"/>
        <v>208.15542061438944</v>
      </c>
      <c r="CX31" s="62">
        <f t="shared" si="14"/>
        <v>499.04430950327833</v>
      </c>
      <c r="CY31" s="62">
        <f ca="1">AVERAGE(OFFSET($CX$3,0,0,'Données projet'!$E$13+1,1))-AVERAGE(OFFSET($H$3,0,0,'Données projet'!$E$13+1,1))</f>
        <v>289.19475369871481</v>
      </c>
      <c r="CZ31" s="62">
        <f t="shared" si="42"/>
        <v>283.48738729114024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8.8461538461538449</v>
      </c>
      <c r="DO31" s="13">
        <f>IF('Données projet'!$A$166&gt;35,DO30+DN31-DW30,IF(A31&lt;'Données projet'!$A$166,$DL$205^A31,IF(A31='Données projet'!$A$166,'Données projet'!$B$166,DO30+DN31-DW30)))</f>
        <v>134.23076923076923</v>
      </c>
      <c r="DP31" s="18">
        <f>DO31*VLOOKUP('Données projet'!$B$14,Paramètres!$A$1:$I$89,3,0)*VLOOKUP('Données projet'!$B$14,Paramètres!$A$1:$I$89,5,0)</f>
        <v>90.042000000000002</v>
      </c>
      <c r="DQ31" s="14">
        <f t="shared" si="43"/>
        <v>24.575354107485161</v>
      </c>
      <c r="DR31" s="22">
        <f t="shared" si="16"/>
        <v>199.62522507053666</v>
      </c>
      <c r="DS31" s="62">
        <f t="shared" si="17"/>
        <v>490.51411395942552</v>
      </c>
      <c r="DT31" s="62">
        <f ca="1">AVERAGE(OFFSET($DS$3,0,0,'Données projet'!$E$14+1,1))-AVERAGE(OFFSET($H$3,0,0,'Données projet'!$E$14+1,1))</f>
        <v>343.33067866534634</v>
      </c>
      <c r="DU31" s="62">
        <f t="shared" si="44"/>
        <v>261.91036689641402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2">
        <f t="shared" si="0"/>
        <v>488.77084588054998</v>
      </c>
      <c r="S32" s="62">
        <f ca="1">AVERAGE(OFFSET($R$3,0,0,'Données projet'!$E$9+1,1))-AVERAGE(OFFSET($H$3,0,0,'Données projet'!$E$9+1,1))</f>
        <v>428.8489304403459</v>
      </c>
      <c r="T32" s="62">
        <f t="shared" si="34"/>
        <v>247.01165577562966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2">
        <f t="shared" si="5"/>
        <v>511.88215321979021</v>
      </c>
      <c r="AN32" s="62">
        <f ca="1">AVERAGE(OFFSET($AM$3,0,0,'Données projet'!$E$10+1,1))-AVERAGE(OFFSET($H$3,0,0,'Données projet'!$E$10+1,1))</f>
        <v>475.47920969424894</v>
      </c>
      <c r="AO32" s="62">
        <f t="shared" si="36"/>
        <v>271.73544012419364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94.785600000000002</v>
      </c>
      <c r="BF32" s="14">
        <f t="shared" si="37"/>
        <v>25.715893428674526</v>
      </c>
      <c r="BG32" s="22">
        <f t="shared" si="7"/>
        <v>209.87343438827483</v>
      </c>
      <c r="BH32" s="62">
        <f t="shared" si="8"/>
        <v>501.98454549938594</v>
      </c>
      <c r="BI32" s="62">
        <f ca="1">AVERAGE(OFFSET($BH$3,0,0,'Données projet'!$E$11+1,1))-AVERAGE(OFFSET($H$3,0,0,'Données projet'!$E$11+1,1))</f>
        <v>455.50822833641354</v>
      </c>
      <c r="BJ32" s="62">
        <f t="shared" si="38"/>
        <v>261.14722581688039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105.48719999999999</v>
      </c>
      <c r="CA32" s="14">
        <f t="shared" si="39"/>
        <v>28.265155367923839</v>
      </c>
      <c r="CB32" s="22">
        <f t="shared" si="10"/>
        <v>232.95201893246733</v>
      </c>
      <c r="CC32" s="62">
        <f t="shared" si="11"/>
        <v>525.06313004357844</v>
      </c>
      <c r="CD32" s="62">
        <f ca="1">AVERAGE(OFFSET($CC$3,0,0,'Données projet'!$E$12+1,1))-AVERAGE(OFFSET($H$3,0,0,'Données projet'!$E$12+1,1))</f>
        <v>502.07782026233912</v>
      </c>
      <c r="CE32" s="62">
        <f t="shared" si="40"/>
        <v>285.83623046025156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11.5</v>
      </c>
      <c r="CT32" s="13">
        <f>IF('Données projet'!$A$140&gt;35,CT31+CS32-DB31,IF(A32&lt;'Données projet'!$A$140,$CQ$205^A32,IF(A32='Données projet'!$A$140,'Données projet'!$B$140,CT31+CS32-DB31)))</f>
        <v>131.99999999999994</v>
      </c>
      <c r="CU32" s="18">
        <f>CT32*VLOOKUP('Données projet'!$B$13,Paramètres!$A$1:$I$89,3,0)*VLOOKUP('Données projet'!$B$13,Paramètres!$A$1:$I$89,5,0)</f>
        <v>102.95999999999997</v>
      </c>
      <c r="CV32" s="14">
        <f t="shared" si="41"/>
        <v>27.665975080374633</v>
      </c>
      <c r="CW32" s="22">
        <f t="shared" si="13"/>
        <v>227.50690659831903</v>
      </c>
      <c r="CX32" s="62">
        <f t="shared" si="14"/>
        <v>519.61801770943021</v>
      </c>
      <c r="CY32" s="62">
        <f ca="1">AVERAGE(OFFSET($CX$3,0,0,'Données projet'!$E$13+1,1))-AVERAGE(OFFSET($H$3,0,0,'Données projet'!$E$13+1,1))</f>
        <v>289.19475369871481</v>
      </c>
      <c r="CZ32" s="62">
        <f t="shared" si="42"/>
        <v>283.48738729114024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8.8461538461538449</v>
      </c>
      <c r="DO32" s="13">
        <f>IF('Données projet'!$A$166&gt;35,DO31+DN32-DW31,IF(A32&lt;'Données projet'!$A$166,$DL$205^A32,IF(A32='Données projet'!$A$166,'Données projet'!$B$166,DO31+DN32-DW31)))</f>
        <v>143.07692307692307</v>
      </c>
      <c r="DP32" s="18">
        <f>DO32*VLOOKUP('Données projet'!$B$14,Paramètres!$A$1:$I$89,3,0)*VLOOKUP('Données projet'!$B$14,Paramètres!$A$1:$I$89,5,0)</f>
        <v>95.975999999999985</v>
      </c>
      <c r="DQ32" s="14">
        <f t="shared" si="43"/>
        <v>26.001055526327377</v>
      </c>
      <c r="DR32" s="22">
        <f t="shared" si="16"/>
        <v>212.44337170835345</v>
      </c>
      <c r="DS32" s="62">
        <f t="shared" si="17"/>
        <v>504.55448281946462</v>
      </c>
      <c r="DT32" s="62">
        <f ca="1">AVERAGE(OFFSET($DS$3,0,0,'Données projet'!$E$14+1,1))-AVERAGE(OFFSET($H$3,0,0,'Données projet'!$E$14+1,1))</f>
        <v>343.33067866534634</v>
      </c>
      <c r="DU32" s="62">
        <f t="shared" si="44"/>
        <v>261.91036689641402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2">
        <f t="shared" si="0"/>
        <v>503.67832244229635</v>
      </c>
      <c r="S33" s="62">
        <f ca="1">AVERAGE(OFFSET($R$3,0,0,'Données projet'!$E$9+1,1))-AVERAGE(OFFSET($H$3,0,0,'Données projet'!$E$9+1,1))</f>
        <v>428.8489304403459</v>
      </c>
      <c r="T33" s="62">
        <f t="shared" si="34"/>
        <v>247.01165577562966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2">
        <f t="shared" si="5"/>
        <v>528.40210679086033</v>
      </c>
      <c r="AN33" s="62">
        <f ca="1">AVERAGE(OFFSET($AM$3,0,0,'Données projet'!$E$10+1,1))-AVERAGE(OFFSET($H$3,0,0,'Données projet'!$E$10+1,1))</f>
        <v>475.47920969424894</v>
      </c>
      <c r="AO33" s="62">
        <f t="shared" si="36"/>
        <v>271.73544012419364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101.556</v>
      </c>
      <c r="BF33" s="14">
        <f t="shared" si="37"/>
        <v>27.332359320696909</v>
      </c>
      <c r="BG33" s="22">
        <f t="shared" si="7"/>
        <v>224.48055915021379</v>
      </c>
      <c r="BH33" s="62">
        <f t="shared" si="8"/>
        <v>517.81389248354708</v>
      </c>
      <c r="BI33" s="62">
        <f ca="1">AVERAGE(OFFSET($BH$3,0,0,'Données projet'!$E$11+1,1))-AVERAGE(OFFSET($H$3,0,0,'Données projet'!$E$11+1,1))</f>
        <v>455.50822833641354</v>
      </c>
      <c r="BJ33" s="62">
        <f t="shared" si="38"/>
        <v>261.14722581688039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113.02199999999999</v>
      </c>
      <c r="CA33" s="14">
        <f t="shared" si="39"/>
        <v>30.041864379091852</v>
      </c>
      <c r="CB33" s="22">
        <f t="shared" si="10"/>
        <v>249.16956379358496</v>
      </c>
      <c r="CC33" s="62">
        <f t="shared" si="11"/>
        <v>542.50289712691824</v>
      </c>
      <c r="CD33" s="62">
        <f ca="1">AVERAGE(OFFSET($CC$3,0,0,'Données projet'!$E$12+1,1))-AVERAGE(OFFSET($H$3,0,0,'Données projet'!$E$12+1,1))</f>
        <v>502.07782026233912</v>
      </c>
      <c r="CE33" s="62">
        <f t="shared" si="40"/>
        <v>285.83623046025156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11.5</v>
      </c>
      <c r="CT33" s="13">
        <f>IF('Données projet'!$A$140&gt;35,CT32+CS33-DB32,IF(A33&lt;'Données projet'!$A$140,$CQ$205^A33,IF(A33='Données projet'!$A$140,'Données projet'!$B$140,CT32+CS33-DB32)))</f>
        <v>143.49999999999994</v>
      </c>
      <c r="CU33" s="18">
        <f>CT33*VLOOKUP('Données projet'!$B$13,Paramètres!$A$1:$I$89,3,0)*VLOOKUP('Données projet'!$B$13,Paramètres!$A$1:$I$89,5,0)</f>
        <v>111.92999999999996</v>
      </c>
      <c r="CV33" s="14">
        <f t="shared" si="41"/>
        <v>29.785246291563833</v>
      </c>
      <c r="CW33" s="22">
        <f t="shared" si="13"/>
        <v>246.82072062447358</v>
      </c>
      <c r="CX33" s="62">
        <f t="shared" si="14"/>
        <v>540.15405395780692</v>
      </c>
      <c r="CY33" s="62">
        <f ca="1">AVERAGE(OFFSET($CX$3,0,0,'Données projet'!$E$13+1,1))-AVERAGE(OFFSET($H$3,0,0,'Données projet'!$E$13+1,1))</f>
        <v>289.19475369871481</v>
      </c>
      <c r="CZ33" s="62">
        <f t="shared" si="42"/>
        <v>283.48738729114024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151.92307692307691</v>
      </c>
      <c r="DM33" s="13">
        <f>VLOOKUP(A33,'Données projet'!$A$165:$I$185,9,0)</f>
        <v>8.8461538461538449</v>
      </c>
      <c r="DN33" s="13">
        <f t="array" ref="DN33">INDEX(DM:DM,MIN(IF(ISNUMBER(DM33:DM229),ROW(DM33:DM229),"")))</f>
        <v>8.8461538461538449</v>
      </c>
      <c r="DO33" s="13">
        <f>IF('Données projet'!$A$166&gt;35,DO32+DN33-DW32,IF(A33&lt;'Données projet'!$A$166,$DL$205^A33,IF(A33='Données projet'!$A$166,'Données projet'!$B$166,DO32+DN33-DW32)))</f>
        <v>151.92307692307691</v>
      </c>
      <c r="DP33" s="18">
        <f>DO33*VLOOKUP('Données projet'!$B$14,Paramètres!$A$1:$I$89,3,0)*VLOOKUP('Données projet'!$B$14,Paramètres!$A$1:$I$89,5,0)</f>
        <v>101.90999999999998</v>
      </c>
      <c r="DQ33" s="14">
        <f t="shared" si="43"/>
        <v>27.416526447701855</v>
      </c>
      <c r="DR33" s="22">
        <f t="shared" si="16"/>
        <v>225.24370022974736</v>
      </c>
      <c r="DS33" s="62">
        <f t="shared" si="17"/>
        <v>518.5770335630807</v>
      </c>
      <c r="DT33" s="62">
        <f ca="1">AVERAGE(OFFSET($DS$3,0,0,'Données projet'!$E$14+1,1))-AVERAGE(OFFSET($H$3,0,0,'Données projet'!$E$14+1,1))</f>
        <v>343.33067866534634</v>
      </c>
      <c r="DU33" s="62">
        <f t="shared" si="44"/>
        <v>261.91036689641402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2">
        <f t="shared" si="0"/>
        <v>462.55410206940076</v>
      </c>
      <c r="S34" s="62">
        <f ca="1">AVERAGE(OFFSET($R$3,0,0,'Données projet'!$E$9+1,1))-AVERAGE(OFFSET($H$3,0,0,'Données projet'!$E$9+1,1))</f>
        <v>428.8489304403459</v>
      </c>
      <c r="T34" s="62">
        <f t="shared" si="34"/>
        <v>247.01165577562966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2">
        <f t="shared" si="5"/>
        <v>482.4332041160016</v>
      </c>
      <c r="AN34" s="62">
        <f ca="1">AVERAGE(OFFSET($AM$3,0,0,'Données projet'!$E$10+1,1))-AVERAGE(OFFSET($H$3,0,0,'Données projet'!$E$10+1,1))</f>
        <v>475.47920969424894</v>
      </c>
      <c r="AO34" s="62">
        <f t="shared" si="36"/>
        <v>271.73544012419364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81.244799999999998</v>
      </c>
      <c r="BF34" s="14">
        <f t="shared" si="37"/>
        <v>22.441270156928962</v>
      </c>
      <c r="BG34" s="22">
        <f t="shared" si="7"/>
        <v>180.58657218998462</v>
      </c>
      <c r="BH34" s="62">
        <f t="shared" si="8"/>
        <v>473.91990552331794</v>
      </c>
      <c r="BI34" s="62">
        <f ca="1">AVERAGE(OFFSET($BH$3,0,0,'Données projet'!$E$11+1,1))-AVERAGE(OFFSET($H$3,0,0,'Données projet'!$E$11+1,1))</f>
        <v>455.50822833641354</v>
      </c>
      <c r="BJ34" s="62">
        <f t="shared" si="38"/>
        <v>261.14722581688039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90.417599999999993</v>
      </c>
      <c r="CA34" s="14">
        <f t="shared" si="39"/>
        <v>24.665912907068826</v>
      </c>
      <c r="CB34" s="22">
        <f t="shared" si="10"/>
        <v>200.43711831314488</v>
      </c>
      <c r="CC34" s="62">
        <f t="shared" si="11"/>
        <v>493.77045164647819</v>
      </c>
      <c r="CD34" s="62">
        <f ca="1">AVERAGE(OFFSET($CC$3,0,0,'Données projet'!$E$12+1,1))-AVERAGE(OFFSET($H$3,0,0,'Données projet'!$E$12+1,1))</f>
        <v>502.07782026233912</v>
      </c>
      <c r="CE34" s="62">
        <f t="shared" si="40"/>
        <v>285.83623046025156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>
        <f>VLOOKUP(A34,'Données projet'!$A$139:$I$159,2,0)</f>
        <v>155</v>
      </c>
      <c r="CR34" s="13">
        <f>VLOOKUP(A34,'Données projet'!$A$139:$I$159,9,0)</f>
        <v>11.5</v>
      </c>
      <c r="CS34" s="13">
        <f t="array" ref="CS34">INDEX(CR:CR,MIN(IF(ISNUMBER(CR34:CR230),ROW(CR34:CR230),"")))</f>
        <v>11.5</v>
      </c>
      <c r="CT34" s="13">
        <f>IF('Données projet'!$A$140&gt;35,CT33+CS34-DB33,IF(A34&lt;'Données projet'!$A$140,$CQ$205^A34,IF(A34='Données projet'!$A$140,'Données projet'!$B$140,CT33+CS34-DB33)))</f>
        <v>154.99999999999994</v>
      </c>
      <c r="CU34" s="18">
        <f>CT34*VLOOKUP('Données projet'!$B$13,Paramètres!$A$1:$I$89,3,0)*VLOOKUP('Données projet'!$B$13,Paramètres!$A$1:$I$89,5,0)</f>
        <v>120.89999999999996</v>
      </c>
      <c r="CV34" s="14">
        <f t="shared" si="41"/>
        <v>31.884818143351602</v>
      </c>
      <c r="CW34" s="22">
        <f t="shared" si="13"/>
        <v>266.10022493300397</v>
      </c>
      <c r="CX34" s="62">
        <f t="shared" si="14"/>
        <v>559.43355826633729</v>
      </c>
      <c r="CY34" s="62">
        <f ca="1">AVERAGE(OFFSET($CX$3,0,0,'Données projet'!$E$13+1,1))-AVERAGE(OFFSET($H$3,0,0,'Données projet'!$E$13+1,1))</f>
        <v>289.19475369871481</v>
      </c>
      <c r="CZ34" s="62">
        <f t="shared" si="42"/>
        <v>283.48738729114024</v>
      </c>
      <c r="DA34" s="16">
        <f>IF(ISNA(VLOOKUP(A34,'Données projet'!$A$139:$I$159,3,0)),0,VLOOKUP(A34,'Données projet'!$A$139:$I$159,3,0))</f>
        <v>3</v>
      </c>
      <c r="DB34" s="16">
        <f>IF(ISNA(VLOOKUP(A34,'Données projet'!$A$139:$I$159,4,0)),0,VLOOKUP(A34,'Données projet'!$A$139:$I$159,4,0))</f>
        <v>36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8.3333333333333375</v>
      </c>
      <c r="DO34" s="13">
        <f>IF('Données projet'!$A$166&gt;35,DO33+DN34-DW33,IF(A34&lt;'Données projet'!$A$166,$DL$205^A34,IF(A34='Données projet'!$A$166,'Données projet'!$B$166,DO33+DN34-DW33)))</f>
        <v>160.25641025641025</v>
      </c>
      <c r="DP34" s="18">
        <f>DO34*VLOOKUP('Données projet'!$B$14,Paramètres!$A$1:$I$89,3,0)*VLOOKUP('Données projet'!$B$14,Paramètres!$A$1:$I$89,5,0)</f>
        <v>107.5</v>
      </c>
      <c r="DQ34" s="14">
        <f t="shared" si="43"/>
        <v>28.741179291345453</v>
      </c>
      <c r="DR34" s="22">
        <f t="shared" si="16"/>
        <v>237.28672059909331</v>
      </c>
      <c r="DS34" s="62">
        <f t="shared" si="17"/>
        <v>530.62005393242657</v>
      </c>
      <c r="DT34" s="62">
        <f ca="1">AVERAGE(OFFSET($DS$3,0,0,'Données projet'!$E$14+1,1))-AVERAGE(OFFSET($H$3,0,0,'Données projet'!$E$14+1,1))</f>
        <v>343.33067866534634</v>
      </c>
      <c r="DU34" s="62">
        <f t="shared" si="44"/>
        <v>261.91036689641402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2">
        <f t="shared" si="0"/>
        <v>478.24526587136597</v>
      </c>
      <c r="S35" s="62">
        <f ca="1">AVERAGE(OFFSET($R$3,0,0,'Données projet'!$E$9+1,1))-AVERAGE(OFFSET($H$3,0,0,'Données projet'!$E$9+1,1))</f>
        <v>428.8489304403459</v>
      </c>
      <c r="T35" s="62">
        <f t="shared" si="34"/>
        <v>247.01165577562966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2">
        <f t="shared" si="5"/>
        <v>499.97258746891305</v>
      </c>
      <c r="AN35" s="62">
        <f ca="1">AVERAGE(OFFSET($AM$3,0,0,'Données projet'!$E$10+1,1))-AVERAGE(OFFSET($H$3,0,0,'Données projet'!$E$10+1,1))</f>
        <v>475.47920969424894</v>
      </c>
      <c r="AO35" s="62">
        <f t="shared" si="36"/>
        <v>271.73544012419364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88.982399999999998</v>
      </c>
      <c r="BF35" s="14">
        <f t="shared" si="37"/>
        <v>24.31964219550628</v>
      </c>
      <c r="BG35" s="22">
        <f t="shared" si="7"/>
        <v>197.3343901571734</v>
      </c>
      <c r="BH35" s="62">
        <f t="shared" si="8"/>
        <v>490.66772349050672</v>
      </c>
      <c r="BI35" s="62">
        <f ca="1">AVERAGE(OFFSET($BH$3,0,0,'Données projet'!$E$11+1,1))-AVERAGE(OFFSET($H$3,0,0,'Données projet'!$E$11+1,1))</f>
        <v>455.50822833641354</v>
      </c>
      <c r="BJ35" s="62">
        <f t="shared" si="38"/>
        <v>261.14722581688039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99.028800000000004</v>
      </c>
      <c r="CA35" s="14">
        <f t="shared" si="39"/>
        <v>26.730491283721712</v>
      </c>
      <c r="CB35" s="22">
        <f t="shared" si="10"/>
        <v>219.03076565248196</v>
      </c>
      <c r="CC35" s="62">
        <f t="shared" si="11"/>
        <v>512.3640989858153</v>
      </c>
      <c r="CD35" s="62">
        <f ca="1">AVERAGE(OFFSET($CC$3,0,0,'Données projet'!$E$12+1,1))-AVERAGE(OFFSET($H$3,0,0,'Données projet'!$E$12+1,1))</f>
        <v>502.07782026233912</v>
      </c>
      <c r="CE35" s="62">
        <f t="shared" si="40"/>
        <v>285.83623046025156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11.5</v>
      </c>
      <c r="CT35" s="13">
        <f>IF('Données projet'!$A$140&gt;35,CT34+CS35-DB34,IF(A35&lt;'Données projet'!$A$140,$CQ$205^A35,IF(A35='Données projet'!$A$140,'Données projet'!$B$140,CT34+CS35-DB34)))</f>
        <v>130.49999999999994</v>
      </c>
      <c r="CU35" s="18">
        <f>CT35*VLOOKUP('Données projet'!$B$13,Paramètres!$A$1:$I$89,3,0)*VLOOKUP('Données projet'!$B$13,Paramètres!$A$1:$I$89,5,0)</f>
        <v>101.78999999999996</v>
      </c>
      <c r="CV35" s="14">
        <f t="shared" si="41"/>
        <v>27.38799903683508</v>
      </c>
      <c r="CW35" s="22">
        <f t="shared" si="13"/>
        <v>224.98501498915437</v>
      </c>
      <c r="CX35" s="62">
        <f t="shared" si="14"/>
        <v>518.31834832248774</v>
      </c>
      <c r="CY35" s="62">
        <f ca="1">AVERAGE(OFFSET($CX$3,0,0,'Données projet'!$E$13+1,1))-AVERAGE(OFFSET($H$3,0,0,'Données projet'!$E$13+1,1))</f>
        <v>289.19475369871481</v>
      </c>
      <c r="CZ35" s="62">
        <f t="shared" si="42"/>
        <v>283.48738729114024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8.3333333333333375</v>
      </c>
      <c r="DO35" s="13">
        <f>IF('Données projet'!$A$166&gt;35,DO34+DN35-DW34,IF(A35&lt;'Données projet'!$A$166,$DL$205^A35,IF(A35='Données projet'!$A$166,'Données projet'!$B$166,DO34+DN35-DW34)))</f>
        <v>168.58974358974359</v>
      </c>
      <c r="DP35" s="18">
        <f>DO35*VLOOKUP('Données projet'!$B$14,Paramètres!$A$1:$I$89,3,0)*VLOOKUP('Données projet'!$B$14,Paramètres!$A$1:$I$89,5,0)</f>
        <v>113.08999999999999</v>
      </c>
      <c r="DQ35" s="14">
        <f t="shared" si="43"/>
        <v>30.057834687710393</v>
      </c>
      <c r="DR35" s="22">
        <f t="shared" si="16"/>
        <v>249.31581208109557</v>
      </c>
      <c r="DS35" s="62">
        <f t="shared" si="17"/>
        <v>542.64914541442886</v>
      </c>
      <c r="DT35" s="62">
        <f ca="1">AVERAGE(OFFSET($DS$3,0,0,'Données projet'!$E$14+1,1))-AVERAGE(OFFSET($H$3,0,0,'Données projet'!$E$14+1,1))</f>
        <v>343.33067866534634</v>
      </c>
      <c r="DU35" s="62">
        <f t="shared" si="44"/>
        <v>261.91036689641402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2">
        <f t="shared" si="0"/>
        <v>493.9053274736159</v>
      </c>
      <c r="S36" s="62">
        <f ca="1">AVERAGE(OFFSET($R$3,0,0,'Données projet'!$E$9+1,1))-AVERAGE(OFFSET($H$3,0,0,'Données projet'!$E$9+1,1))</f>
        <v>428.8489304403459</v>
      </c>
      <c r="T36" s="62">
        <f t="shared" si="34"/>
        <v>247.01165577562966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2">
        <f t="shared" si="5"/>
        <v>517.477574153982</v>
      </c>
      <c r="AN36" s="62">
        <f ca="1">AVERAGE(OFFSET($AM$3,0,0,'Données projet'!$E$10+1,1))-AVERAGE(OFFSET($H$3,0,0,'Données projet'!$E$10+1,1))</f>
        <v>475.47920969424894</v>
      </c>
      <c r="AO36" s="62">
        <f t="shared" si="36"/>
        <v>271.73544012419364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96.72</v>
      </c>
      <c r="BF36" s="14">
        <f t="shared" si="37"/>
        <v>26.179072558792139</v>
      </c>
      <c r="BG36" s="22">
        <f t="shared" si="7"/>
        <v>214.04921803989632</v>
      </c>
      <c r="BH36" s="62">
        <f t="shared" si="8"/>
        <v>507.3825513732296</v>
      </c>
      <c r="BI36" s="62">
        <f ca="1">AVERAGE(OFFSET($BH$3,0,0,'Données projet'!$E$11+1,1))-AVERAGE(OFFSET($H$3,0,0,'Données projet'!$E$11+1,1))</f>
        <v>455.50822833641354</v>
      </c>
      <c r="BJ36" s="62">
        <f t="shared" si="38"/>
        <v>261.14722581688039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107.64</v>
      </c>
      <c r="CA36" s="14">
        <f t="shared" si="39"/>
        <v>28.774250263353583</v>
      </c>
      <c r="CB36" s="22">
        <f t="shared" si="10"/>
        <v>237.58815254200749</v>
      </c>
      <c r="CC36" s="62">
        <f t="shared" si="11"/>
        <v>530.92148587534075</v>
      </c>
      <c r="CD36" s="62">
        <f ca="1">AVERAGE(OFFSET($CC$3,0,0,'Données projet'!$E$12+1,1))-AVERAGE(OFFSET($H$3,0,0,'Données projet'!$E$12+1,1))</f>
        <v>502.07782026233912</v>
      </c>
      <c r="CE36" s="62">
        <f t="shared" si="40"/>
        <v>285.83623046025156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11.5</v>
      </c>
      <c r="CT36" s="13">
        <f>IF('Données projet'!$A$140&gt;35,CT35+CS36-DB35,IF(A36&lt;'Données projet'!$A$140,$CQ$205^A36,IF(A36='Données projet'!$A$140,'Données projet'!$B$140,CT35+CS36-DB35)))</f>
        <v>141.99999999999994</v>
      </c>
      <c r="CU36" s="18">
        <f>CT36*VLOOKUP('Données projet'!$B$13,Paramètres!$A$1:$I$89,3,0)*VLOOKUP('Données projet'!$B$13,Paramètres!$A$1:$I$89,5,0)</f>
        <v>110.75999999999996</v>
      </c>
      <c r="CV36" s="14">
        <f t="shared" si="41"/>
        <v>29.509974682362923</v>
      </c>
      <c r="CW36" s="22">
        <f t="shared" si="13"/>
        <v>244.30353923844871</v>
      </c>
      <c r="CX36" s="62">
        <f t="shared" si="14"/>
        <v>537.63687257178208</v>
      </c>
      <c r="CY36" s="62">
        <f ca="1">AVERAGE(OFFSET($CX$3,0,0,'Données projet'!$E$13+1,1))-AVERAGE(OFFSET($H$3,0,0,'Données projet'!$E$13+1,1))</f>
        <v>289.19475369871481</v>
      </c>
      <c r="CZ36" s="62">
        <f t="shared" si="42"/>
        <v>283.48738729114024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8.3333333333333375</v>
      </c>
      <c r="DO36" s="13">
        <f>IF('Données projet'!$A$166&gt;35,DO35+DN36-DW35,IF(A36&lt;'Données projet'!$A$166,$DL$205^A36,IF(A36='Données projet'!$A$166,'Données projet'!$B$166,DO35+DN36-DW35)))</f>
        <v>176.92307692307693</v>
      </c>
      <c r="DP36" s="18">
        <f>DO36*VLOOKUP('Données projet'!$B$14,Paramètres!$A$1:$I$89,3,0)*VLOOKUP('Données projet'!$B$14,Paramètres!$A$1:$I$89,5,0)</f>
        <v>118.68</v>
      </c>
      <c r="DQ36" s="14">
        <f t="shared" si="43"/>
        <v>31.366933062144053</v>
      </c>
      <c r="DR36" s="22">
        <f t="shared" si="16"/>
        <v>261.33174174990091</v>
      </c>
      <c r="DS36" s="62">
        <f t="shared" si="17"/>
        <v>554.66507508323423</v>
      </c>
      <c r="DT36" s="62">
        <f ca="1">AVERAGE(OFFSET($DS$3,0,0,'Données projet'!$E$14+1,1))-AVERAGE(OFFSET($H$3,0,0,'Données projet'!$E$14+1,1))</f>
        <v>343.33067866534634</v>
      </c>
      <c r="DU36" s="62">
        <f t="shared" si="44"/>
        <v>261.91036689641402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2">
        <f t="shared" si="0"/>
        <v>509.537057935093</v>
      </c>
      <c r="S37" s="62">
        <f ca="1">AVERAGE(OFFSET($R$3,0,0,'Données projet'!$E$9+1,1))-AVERAGE(OFFSET($H$3,0,0,'Données projet'!$E$9+1,1))</f>
        <v>428.8489304403459</v>
      </c>
      <c r="T37" s="62">
        <f t="shared" si="34"/>
        <v>247.01165577562966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2">
        <f t="shared" si="5"/>
        <v>534.95122875168499</v>
      </c>
      <c r="AN37" s="62">
        <f ca="1">AVERAGE(OFFSET($AM$3,0,0,'Données projet'!$E$10+1,1))-AVERAGE(OFFSET($H$3,0,0,'Données projet'!$E$10+1,1))</f>
        <v>475.47920969424894</v>
      </c>
      <c r="AO37" s="62">
        <f t="shared" si="36"/>
        <v>271.73544012419364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104.4576</v>
      </c>
      <c r="BF37" s="14">
        <f t="shared" si="37"/>
        <v>28.021248860498272</v>
      </c>
      <c r="BG37" s="22">
        <f t="shared" si="7"/>
        <v>230.73399509870114</v>
      </c>
      <c r="BH37" s="62">
        <f t="shared" si="8"/>
        <v>524.0673284320344</v>
      </c>
      <c r="BI37" s="62">
        <f ca="1">AVERAGE(OFFSET($BH$3,0,0,'Données projet'!$E$11+1,1))-AVERAGE(OFFSET($H$3,0,0,'Données projet'!$E$11+1,1))</f>
        <v>455.50822833641354</v>
      </c>
      <c r="BJ37" s="62">
        <f t="shared" si="38"/>
        <v>261.14722581688039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116.2512</v>
      </c>
      <c r="CA37" s="14">
        <f t="shared" si="39"/>
        <v>30.799044755804328</v>
      </c>
      <c r="CB37" s="22">
        <f t="shared" si="10"/>
        <v>256.1125096163592</v>
      </c>
      <c r="CC37" s="62">
        <f t="shared" si="11"/>
        <v>549.44584294969252</v>
      </c>
      <c r="CD37" s="62">
        <f ca="1">AVERAGE(OFFSET($CC$3,0,0,'Données projet'!$E$12+1,1))-AVERAGE(OFFSET($H$3,0,0,'Données projet'!$E$12+1,1))</f>
        <v>502.07782026233912</v>
      </c>
      <c r="CE37" s="62">
        <f t="shared" si="40"/>
        <v>285.83623046025156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11.5</v>
      </c>
      <c r="CT37" s="13">
        <f>IF('Données projet'!$A$140&gt;35,CT36+CS37-DB36,IF(A37&lt;'Données projet'!$A$140,$CQ$205^A37,IF(A37='Données projet'!$A$140,'Données projet'!$B$140,CT36+CS37-DB36)))</f>
        <v>153.49999999999994</v>
      </c>
      <c r="CU37" s="18">
        <f>CT37*VLOOKUP('Données projet'!$B$13,Paramètres!$A$1:$I$89,3,0)*VLOOKUP('Données projet'!$B$13,Paramètres!$A$1:$I$89,5,0)</f>
        <v>119.72999999999996</v>
      </c>
      <c r="CV37" s="14">
        <f t="shared" si="41"/>
        <v>31.612017974790529</v>
      </c>
      <c r="CW37" s="22">
        <f t="shared" si="13"/>
        <v>263.58734797276003</v>
      </c>
      <c r="CX37" s="62">
        <f t="shared" si="14"/>
        <v>556.92068130609334</v>
      </c>
      <c r="CY37" s="62">
        <f ca="1">AVERAGE(OFFSET($CX$3,0,0,'Données projet'!$E$13+1,1))-AVERAGE(OFFSET($H$3,0,0,'Données projet'!$E$13+1,1))</f>
        <v>289.19475369871481</v>
      </c>
      <c r="CZ37" s="62">
        <f t="shared" si="42"/>
        <v>283.48738729114024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8.3333333333333375</v>
      </c>
      <c r="DO37" s="13">
        <f>IF('Données projet'!$A$166&gt;35,DO36+DN37-DW36,IF(A37&lt;'Données projet'!$A$166,$DL$205^A37,IF(A37='Données projet'!$A$166,'Données projet'!$B$166,DO36+DN37-DW36)))</f>
        <v>185.25641025641028</v>
      </c>
      <c r="DP37" s="18">
        <f>DO37*VLOOKUP('Données projet'!$B$14,Paramètres!$A$1:$I$89,3,0)*VLOOKUP('Données projet'!$B$14,Paramètres!$A$1:$I$89,5,0)</f>
        <v>124.27000000000002</v>
      </c>
      <c r="DQ37" s="14">
        <f t="shared" si="43"/>
        <v>32.668871006084437</v>
      </c>
      <c r="DR37" s="22">
        <f t="shared" si="16"/>
        <v>273.33520033559711</v>
      </c>
      <c r="DS37" s="62">
        <f t="shared" si="17"/>
        <v>566.66853366893042</v>
      </c>
      <c r="DT37" s="62">
        <f ca="1">AVERAGE(OFFSET($DS$3,0,0,'Données projet'!$E$14+1,1))-AVERAGE(OFFSET($H$3,0,0,'Données projet'!$E$14+1,1))</f>
        <v>343.33067866534634</v>
      </c>
      <c r="DU37" s="62">
        <f t="shared" si="44"/>
        <v>261.91036689641402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2">
        <f t="shared" si="0"/>
        <v>525.14279449916307</v>
      </c>
      <c r="S38" s="62">
        <f ca="1">AVERAGE(OFFSET($R$3,0,0,'Données projet'!$E$9+1,1))-AVERAGE(OFFSET($H$3,0,0,'Données projet'!$E$9+1,1))</f>
        <v>428.8489304403459</v>
      </c>
      <c r="T38" s="62">
        <f t="shared" si="34"/>
        <v>247.01165577562966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2">
        <f t="shared" si="5"/>
        <v>552.39613607545789</v>
      </c>
      <c r="AN38" s="62">
        <f ca="1">AVERAGE(OFFSET($AM$3,0,0,'Données projet'!$E$10+1,1))-AVERAGE(OFFSET($H$3,0,0,'Données projet'!$E$10+1,1))</f>
        <v>475.47920969424894</v>
      </c>
      <c r="AO38" s="62">
        <f t="shared" si="36"/>
        <v>271.73544012419364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112.1952</v>
      </c>
      <c r="BF38" s="14">
        <f t="shared" si="37"/>
        <v>29.847594514573263</v>
      </c>
      <c r="BG38" s="22">
        <f t="shared" si="7"/>
        <v>247.39120044621509</v>
      </c>
      <c r="BH38" s="62">
        <f t="shared" si="8"/>
        <v>540.72453377954844</v>
      </c>
      <c r="BI38" s="62">
        <f ca="1">AVERAGE(OFFSET($BH$3,0,0,'Données projet'!$E$11+1,1))-AVERAGE(OFFSET($H$3,0,0,'Données projet'!$E$11+1,1))</f>
        <v>455.50822833641354</v>
      </c>
      <c r="BJ38" s="62">
        <f t="shared" si="38"/>
        <v>261.14722581688039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124.86239999999999</v>
      </c>
      <c r="CA38" s="14">
        <f t="shared" si="39"/>
        <v>32.806439280561598</v>
      </c>
      <c r="CB38" s="22">
        <f t="shared" si="10"/>
        <v>274.60656174697812</v>
      </c>
      <c r="CC38" s="62">
        <f t="shared" si="11"/>
        <v>567.93989508031143</v>
      </c>
      <c r="CD38" s="62">
        <f ca="1">AVERAGE(OFFSET($CC$3,0,0,'Données projet'!$E$12+1,1))-AVERAGE(OFFSET($H$3,0,0,'Données projet'!$E$12+1,1))</f>
        <v>502.07782026233912</v>
      </c>
      <c r="CE38" s="62">
        <f t="shared" si="40"/>
        <v>285.83623046025156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11.5</v>
      </c>
      <c r="CT38" s="13">
        <f>IF('Données projet'!$A$140&gt;35,CT37+CS38-DB37,IF(A38&lt;'Données projet'!$A$140,$CQ$205^A38,IF(A38='Données projet'!$A$140,'Données projet'!$B$140,CT37+CS38-DB37)))</f>
        <v>164.99999999999994</v>
      </c>
      <c r="CU38" s="18">
        <f>CT38*VLOOKUP('Données projet'!$B$13,Paramètres!$A$1:$I$89,3,0)*VLOOKUP('Données projet'!$B$13,Paramètres!$A$1:$I$89,5,0)</f>
        <v>128.69999999999996</v>
      </c>
      <c r="CV38" s="14">
        <f t="shared" si="41"/>
        <v>33.695792019186115</v>
      </c>
      <c r="CW38" s="22">
        <f t="shared" si="13"/>
        <v>282.83933776674911</v>
      </c>
      <c r="CX38" s="62">
        <f t="shared" si="14"/>
        <v>576.17267110008243</v>
      </c>
      <c r="CY38" s="62">
        <f ca="1">AVERAGE(OFFSET($CX$3,0,0,'Données projet'!$E$13+1,1))-AVERAGE(OFFSET($H$3,0,0,'Données projet'!$E$13+1,1))</f>
        <v>289.19475369871481</v>
      </c>
      <c r="CZ38" s="62">
        <f t="shared" si="42"/>
        <v>283.48738729114024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193.58974358974359</v>
      </c>
      <c r="DM38" s="13">
        <f>VLOOKUP(A38,'Données projet'!$A$165:$I$185,9,0)</f>
        <v>8.3333333333333375</v>
      </c>
      <c r="DN38" s="13">
        <f t="array" ref="DN38">INDEX(DM:DM,MIN(IF(ISNUMBER(DM38:DM234),ROW(DM38:DM234),"")))</f>
        <v>8.3333333333333375</v>
      </c>
      <c r="DO38" s="13">
        <f>IF('Données projet'!$A$166&gt;35,DO37+DN38-DW37,IF(A38&lt;'Données projet'!$A$166,$DL$205^A38,IF(A38='Données projet'!$A$166,'Données projet'!$B$166,DO37+DN38-DW37)))</f>
        <v>193.58974358974362</v>
      </c>
      <c r="DP38" s="18">
        <f>DO38*VLOOKUP('Données projet'!$B$14,Paramètres!$A$1:$I$89,3,0)*VLOOKUP('Données projet'!$B$14,Paramètres!$A$1:$I$89,5,0)</f>
        <v>129.86000000000001</v>
      </c>
      <c r="DQ38" s="14">
        <f t="shared" si="43"/>
        <v>33.964007414446357</v>
      </c>
      <c r="DR38" s="22">
        <f t="shared" si="16"/>
        <v>285.32681291349411</v>
      </c>
      <c r="DS38" s="62">
        <f t="shared" si="17"/>
        <v>578.66014624682748</v>
      </c>
      <c r="DT38" s="62">
        <f ca="1">AVERAGE(OFFSET($DS$3,0,0,'Données projet'!$E$14+1,1))-AVERAGE(OFFSET($H$3,0,0,'Données projet'!$E$14+1,1))</f>
        <v>343.33067866534634</v>
      </c>
      <c r="DU38" s="62">
        <f t="shared" si="44"/>
        <v>261.91036689641402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37.179487179487175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2">
        <f t="shared" si="0"/>
        <v>541.50302276112825</v>
      </c>
      <c r="S39" s="62">
        <f ca="1">AVERAGE(OFFSET($R$3,0,0,'Données projet'!$E$9+1,1))-AVERAGE(OFFSET($H$3,0,0,'Données projet'!$E$9+1,1))</f>
        <v>428.8489304403459</v>
      </c>
      <c r="T39" s="62">
        <f t="shared" si="34"/>
        <v>247.01165577562966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2">
        <f t="shared" si="5"/>
        <v>570.68476131278612</v>
      </c>
      <c r="AN39" s="62">
        <f ca="1">AVERAGE(OFFSET($AM$3,0,0,'Données projet'!$E$10+1,1))-AVERAGE(OFFSET($H$3,0,0,'Données projet'!$E$10+1,1))</f>
        <v>475.47920969424894</v>
      </c>
      <c r="AO39" s="62">
        <f t="shared" si="36"/>
        <v>271.73544012419364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120.31968000000001</v>
      </c>
      <c r="BF39" s="14">
        <f t="shared" si="37"/>
        <v>31.74954785566829</v>
      </c>
      <c r="BG39" s="22">
        <f t="shared" si="7"/>
        <v>264.85390518195555</v>
      </c>
      <c r="BH39" s="62">
        <f t="shared" si="8"/>
        <v>558.18723851528887</v>
      </c>
      <c r="BI39" s="62">
        <f ca="1">AVERAGE(OFFSET($BH$3,0,0,'Données projet'!$E$11+1,1))-AVERAGE(OFFSET($H$3,0,0,'Données projet'!$E$11+1,1))</f>
        <v>455.50822833641354</v>
      </c>
      <c r="BJ39" s="62">
        <f t="shared" si="38"/>
        <v>261.14722581688039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133.90415999999999</v>
      </c>
      <c r="CA39" s="14">
        <f t="shared" si="39"/>
        <v>34.896936615903982</v>
      </c>
      <c r="CB39" s="22">
        <f t="shared" si="10"/>
        <v>293.99524327269938</v>
      </c>
      <c r="CC39" s="62">
        <f t="shared" si="11"/>
        <v>587.3285766060327</v>
      </c>
      <c r="CD39" s="62">
        <f ca="1">AVERAGE(OFFSET($CC$3,0,0,'Données projet'!$E$12+1,1))-AVERAGE(OFFSET($H$3,0,0,'Données projet'!$E$12+1,1))</f>
        <v>502.07782026233912</v>
      </c>
      <c r="CE39" s="62">
        <f t="shared" si="40"/>
        <v>285.83623046025156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11.5</v>
      </c>
      <c r="CT39" s="13">
        <f>IF('Données projet'!$A$140&gt;35,CT38+CS39-DB38,IF(A39&lt;'Données projet'!$A$140,$CQ$205^A39,IF(A39='Données projet'!$A$140,'Données projet'!$B$140,CT38+CS39-DB38)))</f>
        <v>176.49999999999994</v>
      </c>
      <c r="CU39" s="18">
        <f>CT39*VLOOKUP('Données projet'!$B$13,Paramètres!$A$1:$I$89,3,0)*VLOOKUP('Données projet'!$B$13,Paramètres!$A$1:$I$89,5,0)</f>
        <v>137.66999999999996</v>
      </c>
      <c r="CV39" s="14">
        <f t="shared" si="41"/>
        <v>35.762714965854656</v>
      </c>
      <c r="CW39" s="22">
        <f t="shared" si="13"/>
        <v>302.06197856553007</v>
      </c>
      <c r="CX39" s="62">
        <f t="shared" si="14"/>
        <v>595.39531189886338</v>
      </c>
      <c r="CY39" s="62">
        <f ca="1">AVERAGE(OFFSET($CX$3,0,0,'Données projet'!$E$13+1,1))-AVERAGE(OFFSET($H$3,0,0,'Données projet'!$E$13+1,1))</f>
        <v>289.19475369871481</v>
      </c>
      <c r="CZ39" s="62">
        <f t="shared" si="42"/>
        <v>283.48738729114024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7.5641025641025639</v>
      </c>
      <c r="DO39" s="13">
        <f>IF('Données projet'!$A$166&gt;35,DO38+DN39-DW38,IF(A39&lt;'Données projet'!$A$166,$DL$205^A39,IF(A39='Données projet'!$A$166,'Données projet'!$B$166,DO38+DN39-DW38)))</f>
        <v>163.97435897435901</v>
      </c>
      <c r="DP39" s="18">
        <f>DO39*VLOOKUP('Données projet'!$B$14,Paramètres!$A$1:$I$89,3,0)*VLOOKUP('Données projet'!$B$14,Paramètres!$A$1:$I$89,5,0)</f>
        <v>109.99400000000003</v>
      </c>
      <c r="DQ39" s="14">
        <f t="shared" si="43"/>
        <v>29.329570921273</v>
      </c>
      <c r="DR39" s="22">
        <f t="shared" si="16"/>
        <v>242.6552193545505</v>
      </c>
      <c r="DS39" s="62">
        <f t="shared" si="17"/>
        <v>535.98855268788384</v>
      </c>
      <c r="DT39" s="62">
        <f ca="1">AVERAGE(OFFSET($DS$3,0,0,'Données projet'!$E$14+1,1))-AVERAGE(OFFSET($H$3,0,0,'Données projet'!$E$14+1,1))</f>
        <v>343.33067866534634</v>
      </c>
      <c r="DU39" s="62">
        <f t="shared" si="44"/>
        <v>261.91036689641402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2">
        <f t="shared" si="0"/>
        <v>557.83878140250943</v>
      </c>
      <c r="S40" s="62">
        <f ca="1">AVERAGE(OFFSET($R$3,0,0,'Données projet'!$E$9+1,1))-AVERAGE(OFFSET($H$3,0,0,'Données projet'!$E$9+1,1))</f>
        <v>428.8489304403459</v>
      </c>
      <c r="T40" s="62">
        <f t="shared" si="34"/>
        <v>247.01165577562966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2">
        <f t="shared" si="5"/>
        <v>588.9463250104435</v>
      </c>
      <c r="AN40" s="62">
        <f ca="1">AVERAGE(OFFSET($AM$3,0,0,'Données projet'!$E$10+1,1))-AVERAGE(OFFSET($H$3,0,0,'Données projet'!$E$10+1,1))</f>
        <v>475.47920969424894</v>
      </c>
      <c r="AO40" s="62">
        <f t="shared" si="36"/>
        <v>271.73544012419364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128.44416000000001</v>
      </c>
      <c r="BF40" s="14">
        <f t="shared" si="37"/>
        <v>33.636598855068925</v>
      </c>
      <c r="BG40" s="22">
        <f t="shared" si="7"/>
        <v>282.29065500591173</v>
      </c>
      <c r="BH40" s="62">
        <f t="shared" si="8"/>
        <v>575.62398833924499</v>
      </c>
      <c r="BI40" s="62">
        <f ca="1">AVERAGE(OFFSET($BH$3,0,0,'Données projet'!$E$11+1,1))-AVERAGE(OFFSET($H$3,0,0,'Données projet'!$E$11+1,1))</f>
        <v>455.50822833641354</v>
      </c>
      <c r="BJ40" s="62">
        <f t="shared" si="38"/>
        <v>261.14722581688039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142.94592</v>
      </c>
      <c r="CA40" s="14">
        <f t="shared" si="39"/>
        <v>36.971054314096854</v>
      </c>
      <c r="CB40" s="22">
        <f t="shared" si="10"/>
        <v>313.35539693038533</v>
      </c>
      <c r="CC40" s="62">
        <f t="shared" si="11"/>
        <v>606.68873026371864</v>
      </c>
      <c r="CD40" s="62">
        <f ca="1">AVERAGE(OFFSET($CC$3,0,0,'Données projet'!$E$12+1,1))-AVERAGE(OFFSET($H$3,0,0,'Données projet'!$E$12+1,1))</f>
        <v>502.07782026233912</v>
      </c>
      <c r="CE40" s="62">
        <f t="shared" si="40"/>
        <v>285.83623046025156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>
        <f>VLOOKUP(A40,'Données projet'!$A$139:$I$159,2,0)</f>
        <v>188</v>
      </c>
      <c r="CR40" s="13">
        <f>VLOOKUP(A40,'Données projet'!$A$139:$I$159,9,0)</f>
        <v>11.5</v>
      </c>
      <c r="CS40" s="13">
        <f t="array" ref="CS40">INDEX(CR:CR,MIN(IF(ISNUMBER(CR40:CR236),ROW(CR40:CR236),"")))</f>
        <v>11.5</v>
      </c>
      <c r="CT40" s="13">
        <f>IF('Données projet'!$A$140&gt;35,CT39+CS40-DB39,IF(A40&lt;'Données projet'!$A$140,$CQ$205^A40,IF(A40='Données projet'!$A$140,'Données projet'!$B$140,CT39+CS40-DB39)))</f>
        <v>187.99999999999994</v>
      </c>
      <c r="CU40" s="18">
        <f>CT40*VLOOKUP('Données projet'!$B$13,Paramètres!$A$1:$I$89,3,0)*VLOOKUP('Données projet'!$B$13,Paramètres!$A$1:$I$89,5,0)</f>
        <v>146.63999999999996</v>
      </c>
      <c r="CV40" s="14">
        <f t="shared" si="41"/>
        <v>37.814009712703026</v>
      </c>
      <c r="CW40" s="22">
        <f t="shared" si="13"/>
        <v>321.25740024962437</v>
      </c>
      <c r="CX40" s="62">
        <f t="shared" si="14"/>
        <v>614.59073358295768</v>
      </c>
      <c r="CY40" s="62">
        <f ca="1">AVERAGE(OFFSET($CX$3,0,0,'Données projet'!$E$13+1,1))-AVERAGE(OFFSET($H$3,0,0,'Données projet'!$E$13+1,1))</f>
        <v>289.19475369871481</v>
      </c>
      <c r="CZ40" s="62">
        <f t="shared" si="42"/>
        <v>283.48738729114024</v>
      </c>
      <c r="DA40" s="16">
        <f>IF(ISNA(VLOOKUP(A40,'Données projet'!$A$139:$I$159,3,0)),0,VLOOKUP(A40,'Données projet'!$A$139:$I$159,3,0))</f>
        <v>4</v>
      </c>
      <c r="DB40" s="16">
        <f>IF(ISNA(VLOOKUP(A40,'Données projet'!$A$139:$I$159,4,0)),0,VLOOKUP(A40,'Données projet'!$A$139:$I$159,4,0))</f>
        <v>36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7.5641025641025639</v>
      </c>
      <c r="DO40" s="13">
        <f>IF('Données projet'!$A$166&gt;35,DO39+DN40-DW39,IF(A40&lt;'Données projet'!$A$166,$DL$205^A40,IF(A40='Données projet'!$A$166,'Données projet'!$B$166,DO39+DN40-DW39)))</f>
        <v>171.53846153846158</v>
      </c>
      <c r="DP40" s="18">
        <f>DO40*VLOOKUP('Données projet'!$B$14,Paramètres!$A$1:$I$89,3,0)*VLOOKUP('Données projet'!$B$14,Paramètres!$A$1:$I$89,5,0)</f>
        <v>115.06800000000003</v>
      </c>
      <c r="DQ40" s="14">
        <f t="shared" si="43"/>
        <v>30.521896703482735</v>
      </c>
      <c r="DR40" s="22">
        <f t="shared" si="16"/>
        <v>253.56907009189914</v>
      </c>
      <c r="DS40" s="62">
        <f t="shared" si="17"/>
        <v>546.90240342523248</v>
      </c>
      <c r="DT40" s="62">
        <f ca="1">AVERAGE(OFFSET($DS$3,0,0,'Données projet'!$E$14+1,1))-AVERAGE(OFFSET($H$3,0,0,'Données projet'!$E$14+1,1))</f>
        <v>343.33067866534634</v>
      </c>
      <c r="DU40" s="62">
        <f t="shared" si="44"/>
        <v>261.91036689641402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2">
        <f t="shared" si="0"/>
        <v>574.15179438724942</v>
      </c>
      <c r="S41" s="62">
        <f ca="1">AVERAGE(OFFSET($R$3,0,0,'Données projet'!$E$9+1,1))-AVERAGE(OFFSET($H$3,0,0,'Données projet'!$E$9+1,1))</f>
        <v>428.8489304403459</v>
      </c>
      <c r="T41" s="62">
        <f t="shared" si="34"/>
        <v>247.01165577562966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2">
        <f t="shared" si="5"/>
        <v>607.18273374145838</v>
      </c>
      <c r="AN41" s="62">
        <f ca="1">AVERAGE(OFFSET($AM$3,0,0,'Données projet'!$E$10+1,1))-AVERAGE(OFFSET($H$3,0,0,'Données projet'!$E$10+1,1))</f>
        <v>475.47920969424894</v>
      </c>
      <c r="AO41" s="62">
        <f t="shared" si="36"/>
        <v>271.73544012419364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136.56864000000002</v>
      </c>
      <c r="BF41" s="14">
        <f t="shared" si="37"/>
        <v>35.509797430964703</v>
      </c>
      <c r="BG41" s="22">
        <f t="shared" si="7"/>
        <v>299.70327852559689</v>
      </c>
      <c r="BH41" s="62">
        <f t="shared" si="8"/>
        <v>593.0366118589302</v>
      </c>
      <c r="BI41" s="62">
        <f ca="1">AVERAGE(OFFSET($BH$3,0,0,'Données projet'!$E$11+1,1))-AVERAGE(OFFSET($H$3,0,0,'Données projet'!$E$11+1,1))</f>
        <v>455.50822833641354</v>
      </c>
      <c r="BJ41" s="62">
        <f t="shared" si="38"/>
        <v>261.14722581688039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151.98768000000001</v>
      </c>
      <c r="CA41" s="14">
        <f t="shared" si="39"/>
        <v>39.029946373574369</v>
      </c>
      <c r="CB41" s="22">
        <f t="shared" si="10"/>
        <v>332.68903260064207</v>
      </c>
      <c r="CC41" s="62">
        <f t="shared" si="11"/>
        <v>626.02236593397538</v>
      </c>
      <c r="CD41" s="62">
        <f ca="1">AVERAGE(OFFSET($CC$3,0,0,'Données projet'!$E$12+1,1))-AVERAGE(OFFSET($H$3,0,0,'Données projet'!$E$12+1,1))</f>
        <v>502.07782026233912</v>
      </c>
      <c r="CE41" s="62">
        <f t="shared" si="40"/>
        <v>285.83623046025156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11.142857142857142</v>
      </c>
      <c r="CT41" s="13">
        <f>IF('Données projet'!$A$140&gt;35,CT40+CS41-DB40,IF(A41&lt;'Données projet'!$A$140,$CQ$205^A41,IF(A41='Données projet'!$A$140,'Données projet'!$B$140,CT40+CS41-DB40)))</f>
        <v>163.14285714285708</v>
      </c>
      <c r="CU41" s="18">
        <f>CT41*VLOOKUP('Données projet'!$B$13,Paramètres!$A$1:$I$89,3,0)*VLOOKUP('Données projet'!$B$13,Paramètres!$A$1:$I$89,5,0)</f>
        <v>127.25142857142853</v>
      </c>
      <c r="CV41" s="14">
        <f t="shared" si="41"/>
        <v>33.360457439554281</v>
      </c>
      <c r="CW41" s="22">
        <f t="shared" si="13"/>
        <v>279.73236813579501</v>
      </c>
      <c r="CX41" s="62">
        <f t="shared" si="14"/>
        <v>573.06570146912827</v>
      </c>
      <c r="CY41" s="62">
        <f ca="1">AVERAGE(OFFSET($CX$3,0,0,'Données projet'!$E$13+1,1))-AVERAGE(OFFSET($H$3,0,0,'Données projet'!$E$13+1,1))</f>
        <v>289.19475369871481</v>
      </c>
      <c r="CZ41" s="62">
        <f t="shared" si="42"/>
        <v>283.48738729114024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7.5641025641025639</v>
      </c>
      <c r="DO41" s="13">
        <f>IF('Données projet'!$A$166&gt;35,DO40+DN41-DW40,IF(A41&lt;'Données projet'!$A$166,$DL$205^A41,IF(A41='Données projet'!$A$166,'Données projet'!$B$166,DO40+DN41-DW40)))</f>
        <v>179.10256410256414</v>
      </c>
      <c r="DP41" s="18">
        <f>DO41*VLOOKUP('Données projet'!$B$14,Paramètres!$A$1:$I$89,3,0)*VLOOKUP('Données projet'!$B$14,Paramètres!$A$1:$I$89,5,0)</f>
        <v>120.14200000000004</v>
      </c>
      <c r="DQ41" s="14">
        <f t="shared" si="43"/>
        <v>31.708116182305016</v>
      </c>
      <c r="DR41" s="22">
        <f t="shared" si="16"/>
        <v>264.47228568418126</v>
      </c>
      <c r="DS41" s="62">
        <f t="shared" si="17"/>
        <v>557.80561901751457</v>
      </c>
      <c r="DT41" s="62">
        <f ca="1">AVERAGE(OFFSET($DS$3,0,0,'Données projet'!$E$14+1,1))-AVERAGE(OFFSET($H$3,0,0,'Données projet'!$E$14+1,1))</f>
        <v>343.33067866534634</v>
      </c>
      <c r="DU41" s="62">
        <f t="shared" si="44"/>
        <v>261.91036689641402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2">
        <f t="shared" si="0"/>
        <v>590.44356897369653</v>
      </c>
      <c r="S42" s="62">
        <f ca="1">AVERAGE(OFFSET($R$3,0,0,'Données projet'!$E$9+1,1))-AVERAGE(OFFSET($H$3,0,0,'Données projet'!$E$9+1,1))</f>
        <v>428.8489304403459</v>
      </c>
      <c r="T42" s="62">
        <f t="shared" si="34"/>
        <v>247.01165577562966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2">
        <f t="shared" si="5"/>
        <v>625.39565441895047</v>
      </c>
      <c r="AN42" s="62">
        <f ca="1">AVERAGE(OFFSET($AM$3,0,0,'Données projet'!$E$10+1,1))-AVERAGE(OFFSET($H$3,0,0,'Données projet'!$E$10+1,1))</f>
        <v>475.47920969424894</v>
      </c>
      <c r="AO42" s="62">
        <f t="shared" si="36"/>
        <v>271.73544012419364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144.69312000000002</v>
      </c>
      <c r="BF42" s="14">
        <f t="shared" si="37"/>
        <v>37.370061524802772</v>
      </c>
      <c r="BG42" s="22">
        <f t="shared" si="7"/>
        <v>317.09337448903148</v>
      </c>
      <c r="BH42" s="62">
        <f t="shared" si="8"/>
        <v>610.42670782236473</v>
      </c>
      <c r="BI42" s="62">
        <f ca="1">AVERAGE(OFFSET($BH$3,0,0,'Données projet'!$E$11+1,1))-AVERAGE(OFFSET($H$3,0,0,'Données projet'!$E$11+1,1))</f>
        <v>455.50822833641354</v>
      </c>
      <c r="BJ42" s="62">
        <f t="shared" si="38"/>
        <v>261.14722581688039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161.02944000000002</v>
      </c>
      <c r="CA42" s="14">
        <f t="shared" si="39"/>
        <v>41.074621732940685</v>
      </c>
      <c r="CB42" s="22">
        <f t="shared" si="10"/>
        <v>351.99790751820501</v>
      </c>
      <c r="CC42" s="62">
        <f t="shared" si="11"/>
        <v>645.33124085153827</v>
      </c>
      <c r="CD42" s="62">
        <f ca="1">AVERAGE(OFFSET($CC$3,0,0,'Données projet'!$E$12+1,1))-AVERAGE(OFFSET($H$3,0,0,'Données projet'!$E$12+1,1))</f>
        <v>502.07782026233912</v>
      </c>
      <c r="CE42" s="62">
        <f t="shared" si="40"/>
        <v>285.83623046025156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11.142857142857142</v>
      </c>
      <c r="CT42" s="13">
        <f>IF('Données projet'!$A$140&gt;35,CT41+CS42-DB41,IF(A42&lt;'Données projet'!$A$140,$CQ$205^A42,IF(A42='Données projet'!$A$140,'Données projet'!$B$140,CT41+CS42-DB41)))</f>
        <v>174.28571428571422</v>
      </c>
      <c r="CU42" s="18">
        <f>CT42*VLOOKUP('Données projet'!$B$13,Paramètres!$A$1:$I$89,3,0)*VLOOKUP('Données projet'!$B$13,Paramètres!$A$1:$I$89,5,0)</f>
        <v>135.94285714285709</v>
      </c>
      <c r="CV42" s="14">
        <f t="shared" si="41"/>
        <v>35.365986273808367</v>
      </c>
      <c r="CW42" s="22">
        <f t="shared" si="13"/>
        <v>298.36290228402567</v>
      </c>
      <c r="CX42" s="62">
        <f t="shared" si="14"/>
        <v>591.69623561735898</v>
      </c>
      <c r="CY42" s="62">
        <f ca="1">AVERAGE(OFFSET($CX$3,0,0,'Données projet'!$E$13+1,1))-AVERAGE(OFFSET($H$3,0,0,'Données projet'!$E$13+1,1))</f>
        <v>289.19475369871481</v>
      </c>
      <c r="CZ42" s="62">
        <f t="shared" si="42"/>
        <v>283.48738729114024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7.5641025641025639</v>
      </c>
      <c r="DO42" s="13">
        <f>IF('Données projet'!$A$166&gt;35,DO41+DN42-DW41,IF(A42&lt;'Données projet'!$A$166,$DL$205^A42,IF(A42='Données projet'!$A$166,'Données projet'!$B$166,DO41+DN42-DW41)))</f>
        <v>186.66666666666671</v>
      </c>
      <c r="DP42" s="18">
        <f>DO42*VLOOKUP('Données projet'!$B$14,Paramètres!$A$1:$I$89,3,0)*VLOOKUP('Données projet'!$B$14,Paramètres!$A$1:$I$89,5,0)</f>
        <v>125.21600000000002</v>
      </c>
      <c r="DQ42" s="14">
        <f t="shared" si="43"/>
        <v>32.888516733565645</v>
      </c>
      <c r="DR42" s="22">
        <f t="shared" si="16"/>
        <v>275.36536664429354</v>
      </c>
      <c r="DS42" s="62">
        <f t="shared" si="17"/>
        <v>568.6986999776268</v>
      </c>
      <c r="DT42" s="62">
        <f ca="1">AVERAGE(OFFSET($DS$3,0,0,'Données projet'!$E$14+1,1))-AVERAGE(OFFSET($H$3,0,0,'Données projet'!$E$14+1,1))</f>
        <v>343.33067866534634</v>
      </c>
      <c r="DU42" s="62">
        <f t="shared" si="44"/>
        <v>261.91036689641402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2">
        <f t="shared" si="0"/>
        <v>606.71543359582972</v>
      </c>
      <c r="S43" s="62">
        <f ca="1">AVERAGE(OFFSET($R$3,0,0,'Données projet'!$E$9+1,1))-AVERAGE(OFFSET($H$3,0,0,'Données projet'!$E$9+1,1))</f>
        <v>428.8489304403459</v>
      </c>
      <c r="T43" s="62">
        <f t="shared" si="34"/>
        <v>247.01165577562966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2">
        <f t="shared" si="5"/>
        <v>643.58655618988507</v>
      </c>
      <c r="AN43" s="62">
        <f ca="1">AVERAGE(OFFSET($AM$3,0,0,'Données projet'!$E$10+1,1))-AVERAGE(OFFSET($H$3,0,0,'Données projet'!$E$10+1,1))</f>
        <v>475.47920969424894</v>
      </c>
      <c r="AO43" s="62">
        <f t="shared" si="36"/>
        <v>271.73544012419364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152.81760000000003</v>
      </c>
      <c r="BF43" s="14">
        <f t="shared" si="37"/>
        <v>39.218200171484227</v>
      </c>
      <c r="BG43" s="22">
        <f t="shared" si="7"/>
        <v>334.46235196533502</v>
      </c>
      <c r="BH43" s="62">
        <f t="shared" si="8"/>
        <v>627.79568529866833</v>
      </c>
      <c r="BI43" s="62">
        <f ca="1">AVERAGE(OFFSET($BH$3,0,0,'Données projet'!$E$11+1,1))-AVERAGE(OFFSET($H$3,0,0,'Données projet'!$E$11+1,1))</f>
        <v>455.50822833641354</v>
      </c>
      <c r="BJ43" s="62">
        <f t="shared" si="38"/>
        <v>261.14722581688039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170.07120000000003</v>
      </c>
      <c r="CA43" s="14">
        <f t="shared" si="39"/>
        <v>43.10596962815594</v>
      </c>
      <c r="CB43" s="22">
        <f t="shared" si="10"/>
        <v>371.28357043570503</v>
      </c>
      <c r="CC43" s="62">
        <f t="shared" si="11"/>
        <v>664.61690376903834</v>
      </c>
      <c r="CD43" s="62">
        <f ca="1">AVERAGE(OFFSET($CC$3,0,0,'Données projet'!$E$12+1,1))-AVERAGE(OFFSET($H$3,0,0,'Données projet'!$E$12+1,1))</f>
        <v>502.07782026233912</v>
      </c>
      <c r="CE43" s="62">
        <f t="shared" si="40"/>
        <v>285.83623046025156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11.142857142857142</v>
      </c>
      <c r="CT43" s="13">
        <f>IF('Données projet'!$A$140&gt;35,CT42+CS43-DB42,IF(A43&lt;'Données projet'!$A$140,$CQ$205^A43,IF(A43='Données projet'!$A$140,'Données projet'!$B$140,CT42+CS43-DB42)))</f>
        <v>185.42857142857136</v>
      </c>
      <c r="CU43" s="18">
        <f>CT43*VLOOKUP('Données projet'!$B$13,Paramètres!$A$1:$I$89,3,0)*VLOOKUP('Données projet'!$B$13,Paramètres!$A$1:$I$89,5,0)</f>
        <v>144.63428571428565</v>
      </c>
      <c r="CV43" s="14">
        <f t="shared" si="41"/>
        <v>37.356634728420524</v>
      </c>
      <c r="CW43" s="22">
        <f t="shared" si="13"/>
        <v>316.96751977104657</v>
      </c>
      <c r="CX43" s="62">
        <f t="shared" si="14"/>
        <v>610.30085310437994</v>
      </c>
      <c r="CY43" s="62">
        <f ca="1">AVERAGE(OFFSET($CX$3,0,0,'Données projet'!$E$13+1,1))-AVERAGE(OFFSET($H$3,0,0,'Données projet'!$E$13+1,1))</f>
        <v>289.19475369871481</v>
      </c>
      <c r="CZ43" s="62">
        <f t="shared" si="42"/>
        <v>283.48738729114024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194.23076923076923</v>
      </c>
      <c r="DM43" s="13">
        <f>VLOOKUP(A43,'Données projet'!$A$165:$I$185,9,0)</f>
        <v>7.5641025641025639</v>
      </c>
      <c r="DN43" s="13">
        <f t="array" ref="DN43">INDEX(DM:DM,MIN(IF(ISNUMBER(DM43:DM239),ROW(DM43:DM239),"")))</f>
        <v>7.5641025641025639</v>
      </c>
      <c r="DO43" s="13">
        <f>IF('Données projet'!$A$166&gt;35,DO42+DN43-DW42,IF(A43&lt;'Données projet'!$A$166,$DL$205^A43,IF(A43='Données projet'!$A$166,'Données projet'!$B$166,DO42+DN43-DW42)))</f>
        <v>194.23076923076928</v>
      </c>
      <c r="DP43" s="18">
        <f>DO43*VLOOKUP('Données projet'!$B$14,Paramètres!$A$1:$I$89,3,0)*VLOOKUP('Données projet'!$B$14,Paramètres!$A$1:$I$89,5,0)</f>
        <v>130.29000000000002</v>
      </c>
      <c r="DQ43" s="14">
        <f t="shared" si="43"/>
        <v>34.063361124931106</v>
      </c>
      <c r="DR43" s="22">
        <f t="shared" si="16"/>
        <v>286.24877062592168</v>
      </c>
      <c r="DS43" s="62">
        <f t="shared" si="17"/>
        <v>579.58210395925494</v>
      </c>
      <c r="DT43" s="62">
        <f ca="1">AVERAGE(OFFSET($DS$3,0,0,'Données projet'!$E$14+1,1))-AVERAGE(OFFSET($H$3,0,0,'Données projet'!$E$14+1,1))</f>
        <v>343.33067866534634</v>
      </c>
      <c r="DU43" s="62">
        <f t="shared" si="44"/>
        <v>261.91036689641402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2">
        <f t="shared" si="0"/>
        <v>541.50302276112825</v>
      </c>
      <c r="S44" s="62">
        <f ca="1">AVERAGE(OFFSET($R$3,0,0,'Données projet'!$E$9+1,1))-AVERAGE(OFFSET($H$3,0,0,'Données projet'!$E$9+1,1))</f>
        <v>428.8489304403459</v>
      </c>
      <c r="T44" s="62">
        <f t="shared" si="34"/>
        <v>247.01165577562966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2">
        <f t="shared" si="5"/>
        <v>570.68476131278635</v>
      </c>
      <c r="AN44" s="62">
        <f ca="1">AVERAGE(OFFSET($AM$3,0,0,'Données projet'!$E$10+1,1))-AVERAGE(OFFSET($H$3,0,0,'Données projet'!$E$10+1,1))</f>
        <v>475.47920969424894</v>
      </c>
      <c r="AO44" s="62">
        <f t="shared" si="36"/>
        <v>271.73544012419364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120.31968000000002</v>
      </c>
      <c r="BF44" s="14">
        <f t="shared" si="37"/>
        <v>31.74954785566829</v>
      </c>
      <c r="BG44" s="22">
        <f t="shared" si="7"/>
        <v>264.85390518195561</v>
      </c>
      <c r="BH44" s="62">
        <f t="shared" si="8"/>
        <v>558.18723851528898</v>
      </c>
      <c r="BI44" s="62">
        <f ca="1">AVERAGE(OFFSET($BH$3,0,0,'Données projet'!$E$11+1,1))-AVERAGE(OFFSET($H$3,0,0,'Données projet'!$E$11+1,1))</f>
        <v>455.50822833641354</v>
      </c>
      <c r="BJ44" s="62">
        <f t="shared" si="38"/>
        <v>261.14722581688039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133.90416000000002</v>
      </c>
      <c r="CA44" s="14">
        <f t="shared" si="39"/>
        <v>34.896936615903982</v>
      </c>
      <c r="CB44" s="22">
        <f t="shared" si="10"/>
        <v>293.99524327269938</v>
      </c>
      <c r="CC44" s="62">
        <f t="shared" si="11"/>
        <v>587.3285766060327</v>
      </c>
      <c r="CD44" s="62">
        <f ca="1">AVERAGE(OFFSET($CC$3,0,0,'Données projet'!$E$12+1,1))-AVERAGE(OFFSET($H$3,0,0,'Données projet'!$E$12+1,1))</f>
        <v>502.07782026233912</v>
      </c>
      <c r="CE44" s="62">
        <f t="shared" si="40"/>
        <v>285.83623046025156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11.142857142857142</v>
      </c>
      <c r="CT44" s="13">
        <f>IF('Données projet'!$A$140&gt;35,CT43+CS44-DB43,IF(A44&lt;'Données projet'!$A$140,$CQ$205^A44,IF(A44='Données projet'!$A$140,'Données projet'!$B$140,CT43+CS44-DB43)))</f>
        <v>196.5714285714285</v>
      </c>
      <c r="CU44" s="18">
        <f>CT44*VLOOKUP('Données projet'!$B$13,Paramètres!$A$1:$I$89,3,0)*VLOOKUP('Données projet'!$B$13,Paramètres!$A$1:$I$89,5,0)</f>
        <v>153.32571428571424</v>
      </c>
      <c r="CV44" s="14">
        <f t="shared" si="41"/>
        <v>39.333398837614155</v>
      </c>
      <c r="CW44" s="22">
        <f t="shared" si="13"/>
        <v>335.5479553564636</v>
      </c>
      <c r="CX44" s="62">
        <f t="shared" si="14"/>
        <v>628.88128868979697</v>
      </c>
      <c r="CY44" s="62">
        <f ca="1">AVERAGE(OFFSET($CX$3,0,0,'Données projet'!$E$13+1,1))-AVERAGE(OFFSET($H$3,0,0,'Données projet'!$E$13+1,1))</f>
        <v>289.19475369871481</v>
      </c>
      <c r="CZ44" s="62">
        <f t="shared" si="42"/>
        <v>283.48738729114024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7.1794871794871771</v>
      </c>
      <c r="DO44" s="13">
        <f>IF('Données projet'!$A$166&gt;35,DO43+DN44-DW43,IF(A44&lt;'Données projet'!$A$166,$DL$205^A44,IF(A44='Données projet'!$A$166,'Données projet'!$B$166,DO43+DN44-DW43)))</f>
        <v>201.41025641025647</v>
      </c>
      <c r="DP44" s="18">
        <f>DO44*VLOOKUP('Données projet'!$B$14,Paramètres!$A$1:$I$89,3,0)*VLOOKUP('Données projet'!$B$14,Paramètres!$A$1:$I$89,5,0)</f>
        <v>135.10600000000005</v>
      </c>
      <c r="DQ44" s="14">
        <f t="shared" si="43"/>
        <v>35.173547605806888</v>
      </c>
      <c r="DR44" s="22">
        <f t="shared" si="16"/>
        <v>296.57021208011378</v>
      </c>
      <c r="DS44" s="62">
        <f t="shared" si="17"/>
        <v>589.90354541344709</v>
      </c>
      <c r="DT44" s="62">
        <f ca="1">AVERAGE(OFFSET($DS$3,0,0,'Données projet'!$E$14+1,1))-AVERAGE(OFFSET($H$3,0,0,'Données projet'!$E$14+1,1))</f>
        <v>343.33067866534634</v>
      </c>
      <c r="DU44" s="62">
        <f t="shared" si="44"/>
        <v>261.91036689641402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2">
        <f t="shared" si="0"/>
        <v>557.83878140250954</v>
      </c>
      <c r="S45" s="62">
        <f ca="1">AVERAGE(OFFSET($R$3,0,0,'Données projet'!$E$9+1,1))-AVERAGE(OFFSET($H$3,0,0,'Données projet'!$E$9+1,1))</f>
        <v>428.8489304403459</v>
      </c>
      <c r="T45" s="62">
        <f t="shared" si="34"/>
        <v>247.01165577562966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2">
        <f t="shared" si="5"/>
        <v>588.94632501044362</v>
      </c>
      <c r="AN45" s="62">
        <f ca="1">AVERAGE(OFFSET($AM$3,0,0,'Données projet'!$E$10+1,1))-AVERAGE(OFFSET($H$3,0,0,'Données projet'!$E$10+1,1))</f>
        <v>475.47920969424894</v>
      </c>
      <c r="AO45" s="62">
        <f t="shared" si="36"/>
        <v>271.73544012419364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128.44416000000004</v>
      </c>
      <c r="BF45" s="14">
        <f t="shared" si="37"/>
        <v>33.636598855068954</v>
      </c>
      <c r="BG45" s="22">
        <f t="shared" si="7"/>
        <v>282.29065500591184</v>
      </c>
      <c r="BH45" s="62">
        <f t="shared" si="8"/>
        <v>575.62398833924522</v>
      </c>
      <c r="BI45" s="62">
        <f ca="1">AVERAGE(OFFSET($BH$3,0,0,'Données projet'!$E$11+1,1))-AVERAGE(OFFSET($H$3,0,0,'Données projet'!$E$11+1,1))</f>
        <v>455.50822833641354</v>
      </c>
      <c r="BJ45" s="62">
        <f t="shared" si="38"/>
        <v>261.14722581688039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142.94592000000003</v>
      </c>
      <c r="CA45" s="14">
        <f t="shared" si="39"/>
        <v>36.971054314096854</v>
      </c>
      <c r="CB45" s="22">
        <f t="shared" si="10"/>
        <v>313.35539693038538</v>
      </c>
      <c r="CC45" s="62">
        <f t="shared" si="11"/>
        <v>606.68873026371875</v>
      </c>
      <c r="CD45" s="62">
        <f ca="1">AVERAGE(OFFSET($CC$3,0,0,'Données projet'!$E$12+1,1))-AVERAGE(OFFSET($H$3,0,0,'Données projet'!$E$12+1,1))</f>
        <v>502.07782026233912</v>
      </c>
      <c r="CE45" s="62">
        <f t="shared" si="40"/>
        <v>285.83623046025156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11.142857142857142</v>
      </c>
      <c r="CT45" s="13">
        <f>IF('Données projet'!$A$140&gt;35,CT44+CS45-DB44,IF(A45&lt;'Données projet'!$A$140,$CQ$205^A45,IF(A45='Données projet'!$A$140,'Données projet'!$B$140,CT44+CS45-DB44)))</f>
        <v>207.71428571428564</v>
      </c>
      <c r="CU45" s="18">
        <f>CT45*VLOOKUP('Données projet'!$B$13,Paramètres!$A$1:$I$89,3,0)*VLOOKUP('Données projet'!$B$13,Paramètres!$A$1:$I$89,5,0)</f>
        <v>162.0171428571428</v>
      </c>
      <c r="CV45" s="14">
        <f t="shared" si="41"/>
        <v>41.29715533509664</v>
      </c>
      <c r="CW45" s="22">
        <f t="shared" si="13"/>
        <v>354.10573601815037</v>
      </c>
      <c r="CX45" s="62">
        <f t="shared" si="14"/>
        <v>647.43906935148368</v>
      </c>
      <c r="CY45" s="62">
        <f ca="1">AVERAGE(OFFSET($CX$3,0,0,'Données projet'!$E$13+1,1))-AVERAGE(OFFSET($H$3,0,0,'Données projet'!$E$13+1,1))</f>
        <v>289.19475369871481</v>
      </c>
      <c r="CZ45" s="62">
        <f t="shared" si="42"/>
        <v>283.48738729114024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7.1794871794871771</v>
      </c>
      <c r="DO45" s="13">
        <f>IF('Données projet'!$A$166&gt;35,DO44+DN45-DW44,IF(A45&lt;'Données projet'!$A$166,$DL$205^A45,IF(A45='Données projet'!$A$166,'Données projet'!$B$166,DO44+DN45-DW44)))</f>
        <v>208.58974358974365</v>
      </c>
      <c r="DP45" s="18">
        <f>DO45*VLOOKUP('Données projet'!$B$14,Paramètres!$A$1:$I$89,3,0)*VLOOKUP('Données projet'!$B$14,Paramètres!$A$1:$I$89,5,0)</f>
        <v>139.92200000000005</v>
      </c>
      <c r="DQ45" s="14">
        <f t="shared" si="43"/>
        <v>36.279136210794348</v>
      </c>
      <c r="DR45" s="22">
        <f t="shared" si="16"/>
        <v>306.88364556713356</v>
      </c>
      <c r="DS45" s="62">
        <f t="shared" si="17"/>
        <v>600.21697890046687</v>
      </c>
      <c r="DT45" s="62">
        <f ca="1">AVERAGE(OFFSET($DS$3,0,0,'Données projet'!$E$14+1,1))-AVERAGE(OFFSET($H$3,0,0,'Données projet'!$E$14+1,1))</f>
        <v>343.33067866534634</v>
      </c>
      <c r="DU45" s="62">
        <f t="shared" si="44"/>
        <v>261.91036689641402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2">
        <f t="shared" si="0"/>
        <v>574.15179438724942</v>
      </c>
      <c r="S46" s="62">
        <f ca="1">AVERAGE(OFFSET($R$3,0,0,'Données projet'!$E$9+1,1))-AVERAGE(OFFSET($H$3,0,0,'Données projet'!$E$9+1,1))</f>
        <v>428.8489304403459</v>
      </c>
      <c r="T46" s="62">
        <f t="shared" si="34"/>
        <v>247.01165577562966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2">
        <f t="shared" si="5"/>
        <v>607.18273374145838</v>
      </c>
      <c r="AN46" s="62">
        <f ca="1">AVERAGE(OFFSET($AM$3,0,0,'Données projet'!$E$10+1,1))-AVERAGE(OFFSET($H$3,0,0,'Données projet'!$E$10+1,1))</f>
        <v>475.47920969424894</v>
      </c>
      <c r="AO46" s="62">
        <f t="shared" si="36"/>
        <v>271.73544012419364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136.56864000000004</v>
      </c>
      <c r="BF46" s="14">
        <f t="shared" si="37"/>
        <v>35.509797430964703</v>
      </c>
      <c r="BG46" s="22">
        <f t="shared" si="7"/>
        <v>299.70327852559694</v>
      </c>
      <c r="BH46" s="62">
        <f t="shared" si="8"/>
        <v>593.0366118589302</v>
      </c>
      <c r="BI46" s="62">
        <f ca="1">AVERAGE(OFFSET($BH$3,0,0,'Données projet'!$E$11+1,1))-AVERAGE(OFFSET($H$3,0,0,'Données projet'!$E$11+1,1))</f>
        <v>455.50822833641354</v>
      </c>
      <c r="BJ46" s="62">
        <f t="shared" si="38"/>
        <v>261.14722581688039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151.98768000000004</v>
      </c>
      <c r="CA46" s="14">
        <f t="shared" si="39"/>
        <v>39.029946373574369</v>
      </c>
      <c r="CB46" s="22">
        <f t="shared" si="10"/>
        <v>332.68903260064207</v>
      </c>
      <c r="CC46" s="62">
        <f t="shared" si="11"/>
        <v>626.02236593397538</v>
      </c>
      <c r="CD46" s="62">
        <f ca="1">AVERAGE(OFFSET($CC$3,0,0,'Données projet'!$E$12+1,1))-AVERAGE(OFFSET($H$3,0,0,'Données projet'!$E$12+1,1))</f>
        <v>502.07782026233912</v>
      </c>
      <c r="CE46" s="62">
        <f t="shared" si="40"/>
        <v>285.83623046025156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11.142857142857142</v>
      </c>
      <c r="CT46" s="13">
        <f>IF('Données projet'!$A$140&gt;35,CT45+CS46-DB45,IF(A46&lt;'Données projet'!$A$140,$CQ$205^A46,IF(A46='Données projet'!$A$140,'Données projet'!$B$140,CT45+CS46-DB45)))</f>
        <v>218.85714285714278</v>
      </c>
      <c r="CU46" s="18">
        <f>CT46*VLOOKUP('Données projet'!$B$13,Paramètres!$A$1:$I$89,3,0)*VLOOKUP('Données projet'!$B$13,Paramètres!$A$1:$I$89,5,0)</f>
        <v>170.70857142857136</v>
      </c>
      <c r="CV46" s="14">
        <f t="shared" si="41"/>
        <v>43.248681576985376</v>
      </c>
      <c r="CW46" s="22">
        <f t="shared" si="13"/>
        <v>372.64221565134466</v>
      </c>
      <c r="CX46" s="62">
        <f t="shared" si="14"/>
        <v>665.97554898467797</v>
      </c>
      <c r="CY46" s="62">
        <f ca="1">AVERAGE(OFFSET($CX$3,0,0,'Données projet'!$E$13+1,1))-AVERAGE(OFFSET($H$3,0,0,'Données projet'!$E$13+1,1))</f>
        <v>289.19475369871481</v>
      </c>
      <c r="CZ46" s="62">
        <f t="shared" si="42"/>
        <v>283.48738729114024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7.1794871794871771</v>
      </c>
      <c r="DO46" s="13">
        <f>IF('Données projet'!$A$166&gt;35,DO45+DN46-DW45,IF(A46&lt;'Données projet'!$A$166,$DL$205^A46,IF(A46='Données projet'!$A$166,'Données projet'!$B$166,DO45+DN46-DW45)))</f>
        <v>215.76923076923083</v>
      </c>
      <c r="DP46" s="18">
        <f>DO46*VLOOKUP('Données projet'!$B$14,Paramètres!$A$1:$I$89,3,0)*VLOOKUP('Données projet'!$B$14,Paramètres!$A$1:$I$89,5,0)</f>
        <v>144.73800000000003</v>
      </c>
      <c r="DQ46" s="14">
        <f t="shared" si="43"/>
        <v>37.38030333322336</v>
      </c>
      <c r="DR46" s="22">
        <f t="shared" si="16"/>
        <v>317.18937830536407</v>
      </c>
      <c r="DS46" s="62">
        <f t="shared" si="17"/>
        <v>610.52271163869739</v>
      </c>
      <c r="DT46" s="62">
        <f ca="1">AVERAGE(OFFSET($DS$3,0,0,'Données projet'!$E$14+1,1))-AVERAGE(OFFSET($H$3,0,0,'Données projet'!$E$14+1,1))</f>
        <v>343.33067866534634</v>
      </c>
      <c r="DU46" s="62">
        <f t="shared" si="44"/>
        <v>261.91036689641402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2">
        <f t="shared" si="0"/>
        <v>590.44356897369653</v>
      </c>
      <c r="S47" s="62">
        <f ca="1">AVERAGE(OFFSET($R$3,0,0,'Données projet'!$E$9+1,1))-AVERAGE(OFFSET($H$3,0,0,'Données projet'!$E$9+1,1))</f>
        <v>428.8489304403459</v>
      </c>
      <c r="T47" s="62">
        <f t="shared" si="34"/>
        <v>247.01165577562966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2">
        <f t="shared" si="5"/>
        <v>625.39565441895047</v>
      </c>
      <c r="AN47" s="62">
        <f ca="1">AVERAGE(OFFSET($AM$3,0,0,'Données projet'!$E$10+1,1))-AVERAGE(OFFSET($H$3,0,0,'Données projet'!$E$10+1,1))</f>
        <v>475.47920969424894</v>
      </c>
      <c r="AO47" s="62">
        <f t="shared" si="36"/>
        <v>271.73544012419364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144.69312000000005</v>
      </c>
      <c r="BF47" s="14">
        <f t="shared" si="37"/>
        <v>37.370061524802772</v>
      </c>
      <c r="BG47" s="22">
        <f t="shared" si="7"/>
        <v>317.09337448903153</v>
      </c>
      <c r="BH47" s="62">
        <f t="shared" si="8"/>
        <v>610.42670782236485</v>
      </c>
      <c r="BI47" s="62">
        <f ca="1">AVERAGE(OFFSET($BH$3,0,0,'Données projet'!$E$11+1,1))-AVERAGE(OFFSET($H$3,0,0,'Données projet'!$E$11+1,1))</f>
        <v>455.50822833641354</v>
      </c>
      <c r="BJ47" s="62">
        <f t="shared" si="38"/>
        <v>261.14722581688039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161.02944000000005</v>
      </c>
      <c r="CA47" s="14">
        <f t="shared" si="39"/>
        <v>41.074621732940727</v>
      </c>
      <c r="CB47" s="22">
        <f t="shared" si="10"/>
        <v>351.99790751820518</v>
      </c>
      <c r="CC47" s="62">
        <f t="shared" si="11"/>
        <v>645.3312408515385</v>
      </c>
      <c r="CD47" s="62">
        <f ca="1">AVERAGE(OFFSET($CC$3,0,0,'Données projet'!$E$12+1,1))-AVERAGE(OFFSET($H$3,0,0,'Données projet'!$E$12+1,1))</f>
        <v>502.07782026233912</v>
      </c>
      <c r="CE47" s="62">
        <f t="shared" si="40"/>
        <v>285.83623046025156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>
        <f>VLOOKUP(A47,'Données projet'!$A$139:$I$159,2,0)</f>
        <v>230</v>
      </c>
      <c r="CR47" s="13">
        <f>VLOOKUP(A47,'Données projet'!$A$139:$I$159,9,0)</f>
        <v>11.142857142857142</v>
      </c>
      <c r="CS47" s="13">
        <f t="array" ref="CS47">INDEX(CR:CR,MIN(IF(ISNUMBER(CR47:CR243),ROW(CR47:CR243),"")))</f>
        <v>11.142857142857142</v>
      </c>
      <c r="CT47" s="13">
        <f>IF('Données projet'!$A$140&gt;35,CT46+CS47-DB46,IF(A47&lt;'Données projet'!$A$140,$CQ$205^A47,IF(A47='Données projet'!$A$140,'Données projet'!$B$140,CT46+CS47-DB46)))</f>
        <v>229.99999999999991</v>
      </c>
      <c r="CU47" s="18">
        <f>CT47*VLOOKUP('Données projet'!$B$13,Paramètres!$A$1:$I$89,3,0)*VLOOKUP('Données projet'!$B$13,Paramètres!$A$1:$I$89,5,0)</f>
        <v>179.39999999999995</v>
      </c>
      <c r="CV47" s="14">
        <f t="shared" si="41"/>
        <v>45.188671291872232</v>
      </c>
      <c r="CW47" s="22">
        <f t="shared" si="13"/>
        <v>391.15860250001066</v>
      </c>
      <c r="CX47" s="62">
        <f t="shared" si="14"/>
        <v>684.49193583334397</v>
      </c>
      <c r="CY47" s="62">
        <f ca="1">AVERAGE(OFFSET($CX$3,0,0,'Données projet'!$E$13+1,1))-AVERAGE(OFFSET($H$3,0,0,'Données projet'!$E$13+1,1))</f>
        <v>289.19475369871481</v>
      </c>
      <c r="CZ47" s="62">
        <f t="shared" si="42"/>
        <v>283.48738729114024</v>
      </c>
      <c r="DA47" s="16">
        <f>IF(ISNA(VLOOKUP(A47,'Données projet'!$A$139:$I$159,3,0)),0,VLOOKUP(A47,'Données projet'!$A$139:$I$159,3,0))</f>
        <v>5</v>
      </c>
      <c r="DB47" s="16">
        <f>IF(ISNA(VLOOKUP(A47,'Données projet'!$A$139:$I$159,4,0)),0,VLOOKUP(A47,'Données projet'!$A$139:$I$159,4,0))</f>
        <v>43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7.1794871794871771</v>
      </c>
      <c r="DO47" s="13">
        <f>IF('Données projet'!$A$166&gt;35,DO46+DN47-DW46,IF(A47&lt;'Données projet'!$A$166,$DL$205^A47,IF(A47='Données projet'!$A$166,'Données projet'!$B$166,DO46+DN47-DW46)))</f>
        <v>222.94871794871801</v>
      </c>
      <c r="DP47" s="18">
        <f>DO47*VLOOKUP('Données projet'!$B$14,Paramètres!$A$1:$I$89,3,0)*VLOOKUP('Données projet'!$B$14,Paramètres!$A$1:$I$89,5,0)</f>
        <v>149.55400000000006</v>
      </c>
      <c r="DQ47" s="14">
        <f t="shared" si="43"/>
        <v>38.477212961708553</v>
      </c>
      <c r="DR47" s="22">
        <f t="shared" si="16"/>
        <v>327.48769590830915</v>
      </c>
      <c r="DS47" s="62">
        <f t="shared" si="17"/>
        <v>620.82102924164246</v>
      </c>
      <c r="DT47" s="62">
        <f ca="1">AVERAGE(OFFSET($DS$3,0,0,'Données projet'!$E$14+1,1))-AVERAGE(OFFSET($H$3,0,0,'Données projet'!$E$14+1,1))</f>
        <v>343.33067866534634</v>
      </c>
      <c r="DU47" s="62">
        <f t="shared" si="44"/>
        <v>261.91036689641402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2">
        <f t="shared" si="0"/>
        <v>606.71543359582972</v>
      </c>
      <c r="S48" s="62">
        <f ca="1">AVERAGE(OFFSET($R$3,0,0,'Données projet'!$E$9+1,1))-AVERAGE(OFFSET($H$3,0,0,'Données projet'!$E$9+1,1))</f>
        <v>428.8489304403459</v>
      </c>
      <c r="T48" s="62">
        <f t="shared" si="34"/>
        <v>247.01165577562966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2">
        <f t="shared" si="5"/>
        <v>643.58655618988519</v>
      </c>
      <c r="AN48" s="62">
        <f ca="1">AVERAGE(OFFSET($AM$3,0,0,'Données projet'!$E$10+1,1))-AVERAGE(OFFSET($H$3,0,0,'Données projet'!$E$10+1,1))</f>
        <v>475.47920969424894</v>
      </c>
      <c r="AO48" s="62">
        <f t="shared" si="36"/>
        <v>271.73544012419364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152.81760000000006</v>
      </c>
      <c r="BF48" s="14">
        <f t="shared" si="37"/>
        <v>39.218200171484227</v>
      </c>
      <c r="BG48" s="22">
        <f t="shared" si="7"/>
        <v>334.46235196533513</v>
      </c>
      <c r="BH48" s="62">
        <f t="shared" si="8"/>
        <v>627.79568529866845</v>
      </c>
      <c r="BI48" s="62">
        <f ca="1">AVERAGE(OFFSET($BH$3,0,0,'Données projet'!$E$11+1,1))-AVERAGE(OFFSET($H$3,0,0,'Données projet'!$E$11+1,1))</f>
        <v>455.50822833641354</v>
      </c>
      <c r="BJ48" s="62">
        <f t="shared" si="38"/>
        <v>261.14722581688039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170.07120000000003</v>
      </c>
      <c r="CA48" s="14">
        <f t="shared" si="39"/>
        <v>43.10596962815594</v>
      </c>
      <c r="CB48" s="22">
        <f t="shared" si="10"/>
        <v>371.28357043570503</v>
      </c>
      <c r="CC48" s="62">
        <f t="shared" si="11"/>
        <v>664.61690376903834</v>
      </c>
      <c r="CD48" s="62">
        <f ca="1">AVERAGE(OFFSET($CC$3,0,0,'Données projet'!$E$12+1,1))-AVERAGE(OFFSET($H$3,0,0,'Données projet'!$E$12+1,1))</f>
        <v>502.07782026233912</v>
      </c>
      <c r="CE48" s="62">
        <f t="shared" si="40"/>
        <v>285.83623046025156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10.375</v>
      </c>
      <c r="CT48" s="13">
        <f>IF('Données projet'!$A$140&gt;35,CT47+CS48-DB47,IF(A48&lt;'Données projet'!$A$140,$CQ$205^A48,IF(A48='Données projet'!$A$140,'Données projet'!$B$140,CT47+CS48-DB47)))</f>
        <v>197.37499999999991</v>
      </c>
      <c r="CU48" s="18">
        <f>CT48*VLOOKUP('Données projet'!$B$13,Paramètres!$A$1:$I$89,3,0)*VLOOKUP('Données projet'!$B$13,Paramètres!$A$1:$I$89,5,0)</f>
        <v>153.95249999999993</v>
      </c>
      <c r="CV48" s="14">
        <f t="shared" si="41"/>
        <v>39.475441267837361</v>
      </c>
      <c r="CW48" s="22">
        <f t="shared" si="13"/>
        <v>336.88699770814992</v>
      </c>
      <c r="CX48" s="62">
        <f t="shared" si="14"/>
        <v>630.22033104148318</v>
      </c>
      <c r="CY48" s="62">
        <f ca="1">AVERAGE(OFFSET($CX$3,0,0,'Données projet'!$E$13+1,1))-AVERAGE(OFFSET($H$3,0,0,'Données projet'!$E$13+1,1))</f>
        <v>289.19475369871481</v>
      </c>
      <c r="CZ48" s="62">
        <f t="shared" si="42"/>
        <v>283.48738729114024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230.12820512820511</v>
      </c>
      <c r="DM48" s="13">
        <f>VLOOKUP(A48,'Données projet'!$A$165:$I$185,9,0)</f>
        <v>7.1794871794871771</v>
      </c>
      <c r="DN48" s="13">
        <f t="array" ref="DN48">INDEX(DM:DM,MIN(IF(ISNUMBER(DM48:DM244),ROW(DM48:DM244),"")))</f>
        <v>7.1794871794871771</v>
      </c>
      <c r="DO48" s="13">
        <f>IF('Données projet'!$A$166&gt;35,DO47+DN48-DW47,IF(A48&lt;'Données projet'!$A$166,$DL$205^A48,IF(A48='Données projet'!$A$166,'Données projet'!$B$166,DO47+DN48-DW47)))</f>
        <v>230.1282051282052</v>
      </c>
      <c r="DP48" s="18">
        <f>DO48*VLOOKUP('Données projet'!$B$14,Paramètres!$A$1:$I$89,3,0)*VLOOKUP('Données projet'!$B$14,Paramètres!$A$1:$I$89,5,0)</f>
        <v>154.37000000000006</v>
      </c>
      <c r="DQ48" s="14">
        <f t="shared" si="43"/>
        <v>39.570017923578433</v>
      </c>
      <c r="DR48" s="22">
        <f t="shared" si="16"/>
        <v>337.77886455023253</v>
      </c>
      <c r="DS48" s="62">
        <f t="shared" si="17"/>
        <v>631.11219788356584</v>
      </c>
      <c r="DT48" s="62">
        <f ca="1">AVERAGE(OFFSET($DS$3,0,0,'Données projet'!$E$14+1,1))-AVERAGE(OFFSET($H$3,0,0,'Données projet'!$E$14+1,1))</f>
        <v>343.33067866534634</v>
      </c>
      <c r="DU48" s="62">
        <f t="shared" si="44"/>
        <v>261.91036689641402</v>
      </c>
      <c r="DV48" s="16">
        <f>IF(ISNA(VLOOKUP(A48,'Données projet'!$A$165:$I$185,3,0)),0,VLOOKUP(A48,'Données projet'!$A$165:$I$185,3,0))</f>
        <v>4</v>
      </c>
      <c r="DW48" s="16">
        <f>IF(ISNA(VLOOKUP(A48,'Données projet'!$A$165:$I$185,4,0)),0,VLOOKUP(A48,'Données projet'!$A$165:$I$185,4,0))</f>
        <v>36.53846153846154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2">
        <f t="shared" si="0"/>
        <v>622.58179746983251</v>
      </c>
      <c r="S49" s="62">
        <f ca="1">AVERAGE(OFFSET($R$3,0,0,'Données projet'!$E$9+1,1))-AVERAGE(OFFSET($H$3,0,0,'Données projet'!$E$9+1,1))</f>
        <v>428.8489304403459</v>
      </c>
      <c r="T49" s="62">
        <f t="shared" si="34"/>
        <v>247.01165577562966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2">
        <f t="shared" si="5"/>
        <v>661.32435123407731</v>
      </c>
      <c r="AN49" s="62">
        <f ca="1">AVERAGE(OFFSET($AM$3,0,0,'Données projet'!$E$10+1,1))-AVERAGE(OFFSET($H$3,0,0,'Données projet'!$E$10+1,1))</f>
        <v>475.47920969424894</v>
      </c>
      <c r="AO49" s="62">
        <f t="shared" si="36"/>
        <v>271.73544012419364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160.74864000000005</v>
      </c>
      <c r="BF49" s="14">
        <f t="shared" si="37"/>
        <v>41.011327345272264</v>
      </c>
      <c r="BG49" s="22">
        <f t="shared" si="7"/>
        <v>351.39860979301596</v>
      </c>
      <c r="BH49" s="62">
        <f t="shared" si="8"/>
        <v>644.73194312634928</v>
      </c>
      <c r="BI49" s="62">
        <f ca="1">AVERAGE(OFFSET($BH$3,0,0,'Données projet'!$E$11+1,1))-AVERAGE(OFFSET($H$3,0,0,'Données projet'!$E$11+1,1))</f>
        <v>455.50822833641354</v>
      </c>
      <c r="BJ49" s="62">
        <f t="shared" si="38"/>
        <v>261.14722581688039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178.89768000000004</v>
      </c>
      <c r="CA49" s="14">
        <f t="shared" si="39"/>
        <v>45.076852665999411</v>
      </c>
      <c r="CB49" s="22">
        <f t="shared" si="10"/>
        <v>390.08897772661572</v>
      </c>
      <c r="CC49" s="62">
        <f t="shared" si="11"/>
        <v>683.42231105994904</v>
      </c>
      <c r="CD49" s="62">
        <f ca="1">AVERAGE(OFFSET($CC$3,0,0,'Données projet'!$E$12+1,1))-AVERAGE(OFFSET($H$3,0,0,'Données projet'!$E$12+1,1))</f>
        <v>502.07782026233912</v>
      </c>
      <c r="CE49" s="62">
        <f t="shared" si="40"/>
        <v>285.83623046025156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10.375</v>
      </c>
      <c r="CT49" s="13">
        <f>IF('Données projet'!$A$140&gt;35,CT48+CS49-DB48,IF(A49&lt;'Données projet'!$A$140,$CQ$205^A49,IF(A49='Données projet'!$A$140,'Données projet'!$B$140,CT48+CS49-DB48)))</f>
        <v>207.74999999999991</v>
      </c>
      <c r="CU49" s="18">
        <f>CT49*VLOOKUP('Données projet'!$B$13,Paramètres!$A$1:$I$89,3,0)*VLOOKUP('Données projet'!$B$13,Paramètres!$A$1:$I$89,5,0)</f>
        <v>162.04499999999993</v>
      </c>
      <c r="CV49" s="14">
        <f t="shared" si="41"/>
        <v>41.303429372463391</v>
      </c>
      <c r="CW49" s="22">
        <f t="shared" si="13"/>
        <v>354.16518115704025</v>
      </c>
      <c r="CX49" s="62">
        <f t="shared" si="14"/>
        <v>647.49851449037351</v>
      </c>
      <c r="CY49" s="62">
        <f ca="1">AVERAGE(OFFSET($CX$3,0,0,'Données projet'!$E$13+1,1))-AVERAGE(OFFSET($H$3,0,0,'Données projet'!$E$13+1,1))</f>
        <v>289.19475369871481</v>
      </c>
      <c r="CZ49" s="62">
        <f t="shared" si="42"/>
        <v>283.48738729114024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6.6666666666666687</v>
      </c>
      <c r="DO49" s="13">
        <f>IF('Données projet'!$A$166&gt;35,DO48+DN49-DW48,IF(A49&lt;'Données projet'!$A$166,$DL$205^A49,IF(A49='Données projet'!$A$166,'Données projet'!$B$166,DO48+DN49-DW48)))</f>
        <v>200.25641025641031</v>
      </c>
      <c r="DP49" s="18">
        <f>DO49*VLOOKUP('Données projet'!$B$14,Paramètres!$A$1:$I$89,3,0)*VLOOKUP('Données projet'!$B$14,Paramètres!$A$1:$I$89,5,0)</f>
        <v>134.33200000000002</v>
      </c>
      <c r="DQ49" s="14">
        <f t="shared" si="43"/>
        <v>34.995439661065326</v>
      </c>
      <c r="DR49" s="22">
        <f t="shared" si="16"/>
        <v>294.9119574096888</v>
      </c>
      <c r="DS49" s="62">
        <f t="shared" si="17"/>
        <v>588.24529074302211</v>
      </c>
      <c r="DT49" s="62">
        <f ca="1">AVERAGE(OFFSET($DS$3,0,0,'Données projet'!$E$14+1,1))-AVERAGE(OFFSET($H$3,0,0,'Données projet'!$E$14+1,1))</f>
        <v>343.33067866534634</v>
      </c>
      <c r="DU49" s="62">
        <f t="shared" si="44"/>
        <v>261.91036689641402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2">
        <f t="shared" si="0"/>
        <v>638.43129351369294</v>
      </c>
      <c r="S50" s="62">
        <f ca="1">AVERAGE(OFFSET($R$3,0,0,'Données projet'!$E$9+1,1))-AVERAGE(OFFSET($H$3,0,0,'Données projet'!$E$9+1,1))</f>
        <v>428.8489304403459</v>
      </c>
      <c r="T50" s="62">
        <f t="shared" si="34"/>
        <v>247.01165577562966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2">
        <f t="shared" si="5"/>
        <v>679.04349174077868</v>
      </c>
      <c r="AN50" s="62">
        <f ca="1">AVERAGE(OFFSET($AM$3,0,0,'Données projet'!$E$10+1,1))-AVERAGE(OFFSET($H$3,0,0,'Données projet'!$E$10+1,1))</f>
        <v>475.47920969424894</v>
      </c>
      <c r="AO50" s="62">
        <f t="shared" si="36"/>
        <v>271.73544012419364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168.67968000000002</v>
      </c>
      <c r="BF50" s="14">
        <f t="shared" si="37"/>
        <v>42.794181774227013</v>
      </c>
      <c r="BG50" s="22">
        <f t="shared" si="7"/>
        <v>368.3169759234454</v>
      </c>
      <c r="BH50" s="62">
        <f t="shared" si="8"/>
        <v>661.65030925677866</v>
      </c>
      <c r="BI50" s="62">
        <f ca="1">AVERAGE(OFFSET($BH$3,0,0,'Données projet'!$E$11+1,1))-AVERAGE(OFFSET($H$3,0,0,'Données projet'!$E$11+1,1))</f>
        <v>455.50822833641354</v>
      </c>
      <c r="BJ50" s="62">
        <f t="shared" si="38"/>
        <v>261.14722581688039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187.72416000000004</v>
      </c>
      <c r="CA50" s="14">
        <f t="shared" si="39"/>
        <v>47.036444603668812</v>
      </c>
      <c r="CB50" s="22">
        <f t="shared" si="10"/>
        <v>408.87471968472323</v>
      </c>
      <c r="CC50" s="62">
        <f t="shared" si="11"/>
        <v>702.20805301805649</v>
      </c>
      <c r="CD50" s="62">
        <f ca="1">AVERAGE(OFFSET($CC$3,0,0,'Données projet'!$E$12+1,1))-AVERAGE(OFFSET($H$3,0,0,'Données projet'!$E$12+1,1))</f>
        <v>502.07782026233912</v>
      </c>
      <c r="CE50" s="62">
        <f t="shared" si="40"/>
        <v>285.83623046025156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10.375</v>
      </c>
      <c r="CT50" s="13">
        <f>IF('Données projet'!$A$140&gt;35,CT49+CS50-DB49,IF(A50&lt;'Données projet'!$A$140,$CQ$205^A50,IF(A50='Données projet'!$A$140,'Données projet'!$B$140,CT49+CS50-DB49)))</f>
        <v>218.12499999999991</v>
      </c>
      <c r="CU50" s="18">
        <f>CT50*VLOOKUP('Données projet'!$B$13,Paramètres!$A$1:$I$89,3,0)*VLOOKUP('Données projet'!$B$13,Paramètres!$A$1:$I$89,5,0)</f>
        <v>170.13749999999993</v>
      </c>
      <c r="CV50" s="14">
        <f t="shared" si="41"/>
        <v>43.120817562072375</v>
      </c>
      <c r="CW50" s="22">
        <f t="shared" si="13"/>
        <v>371.42490308727588</v>
      </c>
      <c r="CX50" s="62">
        <f t="shared" si="14"/>
        <v>664.75823642060914</v>
      </c>
      <c r="CY50" s="62">
        <f ca="1">AVERAGE(OFFSET($CX$3,0,0,'Données projet'!$E$13+1,1))-AVERAGE(OFFSET($H$3,0,0,'Données projet'!$E$13+1,1))</f>
        <v>289.19475369871481</v>
      </c>
      <c r="CZ50" s="62">
        <f t="shared" si="42"/>
        <v>283.48738729114024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6.6666666666666687</v>
      </c>
      <c r="DO50" s="13">
        <f>IF('Données projet'!$A$166&gt;35,DO49+DN50-DW49,IF(A50&lt;'Données projet'!$A$166,$DL$205^A50,IF(A50='Données projet'!$A$166,'Données projet'!$B$166,DO49+DN50-DW49)))</f>
        <v>206.92307692307696</v>
      </c>
      <c r="DP50" s="18">
        <f>DO50*VLOOKUP('Données projet'!$B$14,Paramètres!$A$1:$I$89,3,0)*VLOOKUP('Données projet'!$B$14,Paramètres!$A$1:$I$89,5,0)</f>
        <v>138.80400000000003</v>
      </c>
      <c r="DQ50" s="14">
        <f t="shared" si="43"/>
        <v>36.022882030080694</v>
      </c>
      <c r="DR50" s="22">
        <f t="shared" si="16"/>
        <v>304.49015286905723</v>
      </c>
      <c r="DS50" s="62">
        <f t="shared" si="17"/>
        <v>597.82348620239054</v>
      </c>
      <c r="DT50" s="62">
        <f ca="1">AVERAGE(OFFSET($DS$3,0,0,'Données projet'!$E$14+1,1))-AVERAGE(OFFSET($H$3,0,0,'Données projet'!$E$14+1,1))</f>
        <v>343.33067866534634</v>
      </c>
      <c r="DU50" s="62">
        <f t="shared" si="44"/>
        <v>261.91036689641402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2">
        <f t="shared" si="0"/>
        <v>654.26480538883823</v>
      </c>
      <c r="S51" s="62">
        <f ca="1">AVERAGE(OFFSET($R$3,0,0,'Données projet'!$E$9+1,1))-AVERAGE(OFFSET($H$3,0,0,'Données projet'!$E$9+1,1))</f>
        <v>428.8489304403459</v>
      </c>
      <c r="T51" s="62">
        <f t="shared" si="34"/>
        <v>247.01165577562966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2">
        <f t="shared" si="5"/>
        <v>696.74495497233352</v>
      </c>
      <c r="AN51" s="62">
        <f ca="1">AVERAGE(OFFSET($AM$3,0,0,'Données projet'!$E$10+1,1))-AVERAGE(OFFSET($H$3,0,0,'Données projet'!$E$10+1,1))</f>
        <v>475.47920969424894</v>
      </c>
      <c r="AO51" s="62">
        <f t="shared" si="36"/>
        <v>271.73544012419364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176.61072000000004</v>
      </c>
      <c r="BF51" s="14">
        <f t="shared" si="37"/>
        <v>44.56730162053563</v>
      </c>
      <c r="BG51" s="22">
        <f t="shared" si="7"/>
        <v>385.21838765576626</v>
      </c>
      <c r="BH51" s="62">
        <f t="shared" si="8"/>
        <v>678.55172098909952</v>
      </c>
      <c r="BI51" s="62">
        <f ca="1">AVERAGE(OFFSET($BH$3,0,0,'Données projet'!$E$11+1,1))-AVERAGE(OFFSET($H$3,0,0,'Données projet'!$E$11+1,1))</f>
        <v>455.50822833641354</v>
      </c>
      <c r="BJ51" s="62">
        <f t="shared" si="38"/>
        <v>261.14722581688039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196.55064000000002</v>
      </c>
      <c r="CA51" s="14">
        <f t="shared" si="39"/>
        <v>48.985336952319578</v>
      </c>
      <c r="CB51" s="22">
        <f t="shared" si="10"/>
        <v>427.6418265252899</v>
      </c>
      <c r="CC51" s="62">
        <f t="shared" si="11"/>
        <v>720.97515985862321</v>
      </c>
      <c r="CD51" s="62">
        <f ca="1">AVERAGE(OFFSET($CC$3,0,0,'Données projet'!$E$12+1,1))-AVERAGE(OFFSET($H$3,0,0,'Données projet'!$E$12+1,1))</f>
        <v>502.07782026233912</v>
      </c>
      <c r="CE51" s="62">
        <f t="shared" si="40"/>
        <v>285.83623046025156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10.375</v>
      </c>
      <c r="CT51" s="13">
        <f>IF('Données projet'!$A$140&gt;35,CT50+CS51-DB50,IF(A51&lt;'Données projet'!$A$140,$CQ$205^A51,IF(A51='Données projet'!$A$140,'Données projet'!$B$140,CT50+CS51-DB50)))</f>
        <v>228.49999999999991</v>
      </c>
      <c r="CU51" s="18">
        <f>CT51*VLOOKUP('Données projet'!$B$13,Paramètres!$A$1:$I$89,3,0)*VLOOKUP('Données projet'!$B$13,Paramètres!$A$1:$I$89,5,0)</f>
        <v>178.22999999999993</v>
      </c>
      <c r="CV51" s="14">
        <f t="shared" si="41"/>
        <v>44.928167580487852</v>
      </c>
      <c r="CW51" s="22">
        <f t="shared" si="13"/>
        <v>388.66714186934951</v>
      </c>
      <c r="CX51" s="62">
        <f t="shared" si="14"/>
        <v>682.00047520268276</v>
      </c>
      <c r="CY51" s="62">
        <f ca="1">AVERAGE(OFFSET($CX$3,0,0,'Données projet'!$E$13+1,1))-AVERAGE(OFFSET($H$3,0,0,'Données projet'!$E$13+1,1))</f>
        <v>289.19475369871481</v>
      </c>
      <c r="CZ51" s="62">
        <f t="shared" si="42"/>
        <v>283.48738729114024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6.6666666666666687</v>
      </c>
      <c r="DO51" s="13">
        <f>IF('Données projet'!$A$166&gt;35,DO50+DN51-DW50,IF(A51&lt;'Données projet'!$A$166,$DL$205^A51,IF(A51='Données projet'!$A$166,'Données projet'!$B$166,DO50+DN51-DW50)))</f>
        <v>213.58974358974362</v>
      </c>
      <c r="DP51" s="18">
        <f>DO51*VLOOKUP('Données projet'!$B$14,Paramètres!$A$1:$I$89,3,0)*VLOOKUP('Données projet'!$B$14,Paramètres!$A$1:$I$89,5,0)</f>
        <v>143.27600000000004</v>
      </c>
      <c r="DQ51" s="14">
        <f t="shared" si="43"/>
        <v>37.04647781208471</v>
      </c>
      <c r="DR51" s="22">
        <f t="shared" si="16"/>
        <v>314.06164885604761</v>
      </c>
      <c r="DS51" s="62">
        <f t="shared" si="17"/>
        <v>607.39498218938093</v>
      </c>
      <c r="DT51" s="62">
        <f ca="1">AVERAGE(OFFSET($DS$3,0,0,'Données projet'!$E$14+1,1))-AVERAGE(OFFSET($H$3,0,0,'Données projet'!$E$14+1,1))</f>
        <v>343.33067866534634</v>
      </c>
      <c r="DU51" s="62">
        <f t="shared" si="44"/>
        <v>261.91036689641402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2">
        <f t="shared" si="0"/>
        <v>670.08313290501178</v>
      </c>
      <c r="S52" s="62">
        <f ca="1">AVERAGE(OFFSET($R$3,0,0,'Données projet'!$E$9+1,1))-AVERAGE(OFFSET($H$3,0,0,'Données projet'!$E$9+1,1))</f>
        <v>428.8489304403459</v>
      </c>
      <c r="T52" s="62">
        <f t="shared" si="34"/>
        <v>247.01165577562966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2">
        <f t="shared" si="5"/>
        <v>714.4296254574997</v>
      </c>
      <c r="AN52" s="62">
        <f ca="1">AVERAGE(OFFSET($AM$3,0,0,'Données projet'!$E$10+1,1))-AVERAGE(OFFSET($H$3,0,0,'Données projet'!$E$10+1,1))</f>
        <v>475.47920969424894</v>
      </c>
      <c r="AO52" s="62">
        <f t="shared" si="36"/>
        <v>271.73544012419364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184.54176000000001</v>
      </c>
      <c r="BF52" s="14">
        <f t="shared" si="37"/>
        <v>46.33117397953523</v>
      </c>
      <c r="BG52" s="22">
        <f t="shared" si="7"/>
        <v>402.10369334769052</v>
      </c>
      <c r="BH52" s="62">
        <f t="shared" si="8"/>
        <v>695.43702668102378</v>
      </c>
      <c r="BI52" s="62">
        <f ca="1">AVERAGE(OFFSET($BH$3,0,0,'Données projet'!$E$11+1,1))-AVERAGE(OFFSET($H$3,0,0,'Données projet'!$E$11+1,1))</f>
        <v>455.50822833641354</v>
      </c>
      <c r="BJ52" s="62">
        <f t="shared" si="38"/>
        <v>261.14722581688039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205.37711999999999</v>
      </c>
      <c r="CA52" s="14">
        <f t="shared" si="39"/>
        <v>50.924065093909938</v>
      </c>
      <c r="CB52" s="22">
        <f t="shared" si="10"/>
        <v>446.39123070522641</v>
      </c>
      <c r="CC52" s="62">
        <f t="shared" si="11"/>
        <v>739.72456403855972</v>
      </c>
      <c r="CD52" s="62">
        <f ca="1">AVERAGE(OFFSET($CC$3,0,0,'Données projet'!$E$12+1,1))-AVERAGE(OFFSET($H$3,0,0,'Données projet'!$E$12+1,1))</f>
        <v>502.07782026233912</v>
      </c>
      <c r="CE52" s="62">
        <f t="shared" si="40"/>
        <v>285.83623046025156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10.375</v>
      </c>
      <c r="CT52" s="13">
        <f>IF('Données projet'!$A$140&gt;35,CT51+CS52-DB51,IF(A52&lt;'Données projet'!$A$140,$CQ$205^A52,IF(A52='Données projet'!$A$140,'Données projet'!$B$140,CT51+CS52-DB51)))</f>
        <v>238.87499999999991</v>
      </c>
      <c r="CU52" s="18">
        <f>CT52*VLOOKUP('Données projet'!$B$13,Paramètres!$A$1:$I$89,3,0)*VLOOKUP('Données projet'!$B$13,Paramètres!$A$1:$I$89,5,0)</f>
        <v>186.32249999999993</v>
      </c>
      <c r="CV52" s="14">
        <f t="shared" si="41"/>
        <v>46.725987276254116</v>
      </c>
      <c r="CW52" s="22">
        <f t="shared" si="13"/>
        <v>405.8927820061424</v>
      </c>
      <c r="CX52" s="62">
        <f t="shared" si="14"/>
        <v>699.22611533947565</v>
      </c>
      <c r="CY52" s="62">
        <f ca="1">AVERAGE(OFFSET($CX$3,0,0,'Données projet'!$E$13+1,1))-AVERAGE(OFFSET($H$3,0,0,'Données projet'!$E$13+1,1))</f>
        <v>289.19475369871481</v>
      </c>
      <c r="CZ52" s="62">
        <f t="shared" si="42"/>
        <v>283.48738729114024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6.6666666666666687</v>
      </c>
      <c r="DO52" s="13">
        <f>IF('Données projet'!$A$166&gt;35,DO51+DN52-DW51,IF(A52&lt;'Données projet'!$A$166,$DL$205^A52,IF(A52='Données projet'!$A$166,'Données projet'!$B$166,DO51+DN52-DW51)))</f>
        <v>220.25641025641028</v>
      </c>
      <c r="DP52" s="18">
        <f>DO52*VLOOKUP('Données projet'!$B$14,Paramètres!$A$1:$I$89,3,0)*VLOOKUP('Données projet'!$B$14,Paramètres!$A$1:$I$89,5,0)</f>
        <v>147.74800000000002</v>
      </c>
      <c r="DQ52" s="14">
        <f t="shared" si="43"/>
        <v>38.066360844681896</v>
      </c>
      <c r="DR52" s="22">
        <f t="shared" si="16"/>
        <v>323.62667847115432</v>
      </c>
      <c r="DS52" s="62">
        <f t="shared" si="17"/>
        <v>616.96001180448764</v>
      </c>
      <c r="DT52" s="62">
        <f ca="1">AVERAGE(OFFSET($DS$3,0,0,'Données projet'!$E$14+1,1))-AVERAGE(OFFSET($H$3,0,0,'Données projet'!$E$14+1,1))</f>
        <v>343.33067866534634</v>
      </c>
      <c r="DU52" s="62">
        <f t="shared" si="44"/>
        <v>261.91036689641402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2">
        <f t="shared" si="0"/>
        <v>685.88700323711032</v>
      </c>
      <c r="S53" s="62">
        <f ca="1">AVERAGE(OFFSET($R$3,0,0,'Données projet'!$E$9+1,1))-AVERAGE(OFFSET($H$3,0,0,'Données projet'!$E$9+1,1))</f>
        <v>428.8489304403459</v>
      </c>
      <c r="T53" s="62">
        <f t="shared" si="34"/>
        <v>247.01165577562966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2">
        <f t="shared" si="5"/>
        <v>732.09830739641802</v>
      </c>
      <c r="AN53" s="62">
        <f ca="1">AVERAGE(OFFSET($AM$3,0,0,'Données projet'!$E$10+1,1))-AVERAGE(OFFSET($H$3,0,0,'Données projet'!$E$10+1,1))</f>
        <v>475.47920969424894</v>
      </c>
      <c r="AO53" s="62">
        <f t="shared" si="36"/>
        <v>271.73544012419364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192.47280000000001</v>
      </c>
      <c r="BF53" s="14">
        <f t="shared" si="37"/>
        <v>48.086241710923829</v>
      </c>
      <c r="BG53" s="22">
        <f t="shared" si="7"/>
        <v>418.97366431319239</v>
      </c>
      <c r="BH53" s="62">
        <f t="shared" si="8"/>
        <v>712.3069976465257</v>
      </c>
      <c r="BI53" s="62">
        <f ca="1">AVERAGE(OFFSET($BH$3,0,0,'Données projet'!$E$11+1,1))-AVERAGE(OFFSET($H$3,0,0,'Données projet'!$E$11+1,1))</f>
        <v>455.50822833641354</v>
      </c>
      <c r="BJ53" s="62">
        <f t="shared" si="38"/>
        <v>261.14722581688039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214.20360000000002</v>
      </c>
      <c r="CA53" s="14">
        <f t="shared" si="39"/>
        <v>52.853115789602029</v>
      </c>
      <c r="CB53" s="22">
        <f t="shared" si="10"/>
        <v>465.12378000022358</v>
      </c>
      <c r="CC53" s="62">
        <f t="shared" si="11"/>
        <v>758.45711333355689</v>
      </c>
      <c r="CD53" s="62">
        <f ca="1">AVERAGE(OFFSET($CC$3,0,0,'Données projet'!$E$12+1,1))-AVERAGE(OFFSET($H$3,0,0,'Données projet'!$E$12+1,1))</f>
        <v>502.07782026233912</v>
      </c>
      <c r="CE53" s="62">
        <f t="shared" si="40"/>
        <v>285.83623046025156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10.375</v>
      </c>
      <c r="CT53" s="13">
        <f>IF('Données projet'!$A$140&gt;35,CT52+CS53-DB52,IF(A53&lt;'Données projet'!$A$140,$CQ$205^A53,IF(A53='Données projet'!$A$140,'Données projet'!$B$140,CT52+CS53-DB52)))</f>
        <v>249.24999999999991</v>
      </c>
      <c r="CU53" s="18">
        <f>CT53*VLOOKUP('Données projet'!$B$13,Paramètres!$A$1:$I$89,3,0)*VLOOKUP('Données projet'!$B$13,Paramètres!$A$1:$I$89,5,0)</f>
        <v>194.41499999999994</v>
      </c>
      <c r="CV53" s="14">
        <f t="shared" si="41"/>
        <v>48.514737888684927</v>
      </c>
      <c r="CW53" s="22">
        <f t="shared" si="13"/>
        <v>423.10262682279273</v>
      </c>
      <c r="CX53" s="62">
        <f t="shared" si="14"/>
        <v>716.43596015612604</v>
      </c>
      <c r="CY53" s="62">
        <f ca="1">AVERAGE(OFFSET($CX$3,0,0,'Données projet'!$E$13+1,1))-AVERAGE(OFFSET($H$3,0,0,'Données projet'!$E$13+1,1))</f>
        <v>289.19475369871481</v>
      </c>
      <c r="CZ53" s="62">
        <f t="shared" si="42"/>
        <v>283.48738729114024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226.92307692307691</v>
      </c>
      <c r="DM53" s="13">
        <f>VLOOKUP(A53,'Données projet'!$A$165:$I$185,9,0)</f>
        <v>6.6666666666666687</v>
      </c>
      <c r="DN53" s="13">
        <f t="array" ref="DN53">INDEX(DM:DM,MIN(IF(ISNUMBER(DM53:DM249),ROW(DM53:DM249),"")))</f>
        <v>6.6666666666666687</v>
      </c>
      <c r="DO53" s="13">
        <f>IF('Données projet'!$A$166&gt;35,DO52+DN53-DW52,IF(A53&lt;'Données projet'!$A$166,$DL$205^A53,IF(A53='Données projet'!$A$166,'Données projet'!$B$166,DO52+DN53-DW52)))</f>
        <v>226.92307692307693</v>
      </c>
      <c r="DP53" s="18">
        <f>DO53*VLOOKUP('Données projet'!$B$14,Paramètres!$A$1:$I$89,3,0)*VLOOKUP('Données projet'!$B$14,Paramètres!$A$1:$I$89,5,0)</f>
        <v>152.22</v>
      </c>
      <c r="DQ53" s="14">
        <f t="shared" si="43"/>
        <v>39.082656403139858</v>
      </c>
      <c r="DR53" s="22">
        <f t="shared" si="16"/>
        <v>333.18545990213522</v>
      </c>
      <c r="DS53" s="62">
        <f t="shared" si="17"/>
        <v>626.51879323546859</v>
      </c>
      <c r="DT53" s="62">
        <f ca="1">AVERAGE(OFFSET($DS$3,0,0,'Données projet'!$E$14+1,1))-AVERAGE(OFFSET($H$3,0,0,'Données projet'!$E$14+1,1))</f>
        <v>343.33067866534634</v>
      </c>
      <c r="DU53" s="62">
        <f t="shared" si="44"/>
        <v>261.91036689641402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2">
        <f t="shared" si="0"/>
        <v>620.26096644164511</v>
      </c>
      <c r="S54" s="62">
        <f ca="1">AVERAGE(OFFSET($R$3,0,0,'Données projet'!$E$9+1,1))-AVERAGE(OFFSET($H$3,0,0,'Données projet'!$E$9+1,1))</f>
        <v>428.8489304403459</v>
      </c>
      <c r="T54" s="62">
        <f t="shared" si="34"/>
        <v>247.01165577562966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2">
        <f t="shared" si="5"/>
        <v>658.72976619125518</v>
      </c>
      <c r="AN54" s="62">
        <f ca="1">AVERAGE(OFFSET($AM$3,0,0,'Données projet'!$E$10+1,1))-AVERAGE(OFFSET($H$3,0,0,'Données projet'!$E$10+1,1))</f>
        <v>475.47920969424894</v>
      </c>
      <c r="AO54" s="62">
        <f t="shared" si="36"/>
        <v>271.73544012419364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159.58799999999999</v>
      </c>
      <c r="BF54" s="14">
        <f t="shared" si="37"/>
        <v>40.74957371668588</v>
      </c>
      <c r="BG54" s="22">
        <f t="shared" si="7"/>
        <v>348.92127422322784</v>
      </c>
      <c r="BH54" s="62">
        <f t="shared" si="8"/>
        <v>642.25460755656115</v>
      </c>
      <c r="BI54" s="62">
        <f ca="1">AVERAGE(OFFSET($BH$3,0,0,'Données projet'!$E$11+1,1))-AVERAGE(OFFSET($H$3,0,0,'Données projet'!$E$11+1,1))</f>
        <v>455.50822833641354</v>
      </c>
      <c r="BJ54" s="62">
        <f t="shared" si="38"/>
        <v>261.14722581688039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177.60599999999999</v>
      </c>
      <c r="CA54" s="14">
        <f t="shared" si="39"/>
        <v>44.789150937858665</v>
      </c>
      <c r="CB54" s="22">
        <f t="shared" si="10"/>
        <v>387.33822121677048</v>
      </c>
      <c r="CC54" s="62">
        <f t="shared" si="11"/>
        <v>680.67155455010379</v>
      </c>
      <c r="CD54" s="62">
        <f ca="1">AVERAGE(OFFSET($CC$3,0,0,'Données projet'!$E$12+1,1))-AVERAGE(OFFSET($H$3,0,0,'Données projet'!$E$12+1,1))</f>
        <v>502.07782026233912</v>
      </c>
      <c r="CE54" s="62">
        <f t="shared" si="40"/>
        <v>285.83623046025156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10.375</v>
      </c>
      <c r="CT54" s="13">
        <f>IF('Données projet'!$A$140&gt;35,CT53+CS54-DB53,IF(A54&lt;'Données projet'!$A$140,$CQ$205^A54,IF(A54='Données projet'!$A$140,'Données projet'!$B$140,CT53+CS54-DB53)))</f>
        <v>259.62499999999989</v>
      </c>
      <c r="CU54" s="18">
        <f>CT54*VLOOKUP('Données projet'!$B$13,Paramètres!$A$1:$I$89,3,0)*VLOOKUP('Données projet'!$B$13,Paramètres!$A$1:$I$89,5,0)</f>
        <v>202.50749999999991</v>
      </c>
      <c r="CV54" s="14">
        <f t="shared" si="41"/>
        <v>50.294840086606349</v>
      </c>
      <c r="CW54" s="22">
        <f t="shared" si="13"/>
        <v>440.29740898417253</v>
      </c>
      <c r="CX54" s="62">
        <f t="shared" si="14"/>
        <v>733.63074231750579</v>
      </c>
      <c r="CY54" s="62">
        <f ca="1">AVERAGE(OFFSET($CX$3,0,0,'Données projet'!$E$13+1,1))-AVERAGE(OFFSET($H$3,0,0,'Données projet'!$E$13+1,1))</f>
        <v>289.19475369871481</v>
      </c>
      <c r="CZ54" s="62">
        <f t="shared" si="42"/>
        <v>283.48738729114024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6.2820512820512819</v>
      </c>
      <c r="DO54" s="13">
        <f>IF('Données projet'!$A$166&gt;35,DO53+DN54-DW53,IF(A54&lt;'Données projet'!$A$166,$DL$205^A54,IF(A54='Données projet'!$A$166,'Données projet'!$B$166,DO53+DN54-DW53)))</f>
        <v>233.2051282051282</v>
      </c>
      <c r="DP54" s="18">
        <f>DO54*VLOOKUP('Données projet'!$B$14,Paramètres!$A$1:$I$89,3,0)*VLOOKUP('Données projet'!$B$14,Paramètres!$A$1:$I$89,5,0)</f>
        <v>156.434</v>
      </c>
      <c r="DQ54" s="14">
        <f t="shared" si="43"/>
        <v>40.037142084940008</v>
      </c>
      <c r="DR54" s="22">
        <f t="shared" si="16"/>
        <v>342.18723913127047</v>
      </c>
      <c r="DS54" s="62">
        <f t="shared" si="17"/>
        <v>635.52057246460379</v>
      </c>
      <c r="DT54" s="62">
        <f ca="1">AVERAGE(OFFSET($DS$3,0,0,'Données projet'!$E$14+1,1))-AVERAGE(OFFSET($H$3,0,0,'Données projet'!$E$14+1,1))</f>
        <v>343.33067866534634</v>
      </c>
      <c r="DU54" s="62">
        <f t="shared" si="44"/>
        <v>261.91036689641402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2">
        <f t="shared" si="0"/>
        <v>635.72643681712532</v>
      </c>
      <c r="S55" s="62">
        <f ca="1">AVERAGE(OFFSET($R$3,0,0,'Données projet'!$E$9+1,1))-AVERAGE(OFFSET($H$3,0,0,'Données projet'!$E$9+1,1))</f>
        <v>428.8489304403459</v>
      </c>
      <c r="T55" s="62">
        <f t="shared" si="34"/>
        <v>247.01165577562966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2">
        <f t="shared" si="5"/>
        <v>676.01954977643072</v>
      </c>
      <c r="AN55" s="62">
        <f ca="1">AVERAGE(OFFSET($AM$3,0,0,'Données projet'!$E$10+1,1))-AVERAGE(OFFSET($H$3,0,0,'Données projet'!$E$10+1,1))</f>
        <v>475.47920969424894</v>
      </c>
      <c r="AO55" s="62">
        <f t="shared" si="36"/>
        <v>271.73544012419364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167.32560000000001</v>
      </c>
      <c r="BF55" s="14">
        <f t="shared" si="37"/>
        <v>42.490495297127609</v>
      </c>
      <c r="BG55" s="22">
        <f t="shared" si="7"/>
        <v>365.42969930916388</v>
      </c>
      <c r="BH55" s="62">
        <f t="shared" si="8"/>
        <v>658.76303264249714</v>
      </c>
      <c r="BI55" s="62">
        <f ca="1">AVERAGE(OFFSET($BH$3,0,0,'Données projet'!$E$11+1,1))-AVERAGE(OFFSET($H$3,0,0,'Données projet'!$E$11+1,1))</f>
        <v>455.50822833641354</v>
      </c>
      <c r="BJ55" s="62">
        <f t="shared" si="38"/>
        <v>261.14722581688039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186.21719999999999</v>
      </c>
      <c r="CA55" s="14">
        <f t="shared" si="39"/>
        <v>46.702653149673253</v>
      </c>
      <c r="CB55" s="22">
        <f t="shared" si="10"/>
        <v>405.66874423568089</v>
      </c>
      <c r="CC55" s="62">
        <f t="shared" si="11"/>
        <v>699.0020775690142</v>
      </c>
      <c r="CD55" s="62">
        <f ca="1">AVERAGE(OFFSET($CC$3,0,0,'Données projet'!$E$12+1,1))-AVERAGE(OFFSET($H$3,0,0,'Données projet'!$E$12+1,1))</f>
        <v>502.07782026233912</v>
      </c>
      <c r="CE55" s="62">
        <f t="shared" si="40"/>
        <v>285.83623046025156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>
        <f>VLOOKUP(A55,'Données projet'!$A$139:$I$159,2,0)</f>
        <v>270</v>
      </c>
      <c r="CR55" s="13">
        <f>VLOOKUP(A55,'Données projet'!$A$139:$I$159,9,0)</f>
        <v>10.375</v>
      </c>
      <c r="CS55" s="13">
        <f t="array" ref="CS55">INDEX(CR:CR,MIN(IF(ISNUMBER(CR55:CR251),ROW(CR55:CR251),"")))</f>
        <v>10.375</v>
      </c>
      <c r="CT55" s="13">
        <f>IF('Données projet'!$A$140&gt;35,CT54+CS55-DB54,IF(A55&lt;'Données projet'!$A$140,$CQ$205^A55,IF(A55='Données projet'!$A$140,'Données projet'!$B$140,CT54+CS55-DB54)))</f>
        <v>269.99999999999989</v>
      </c>
      <c r="CU55" s="18">
        <f>CT55*VLOOKUP('Données projet'!$B$13,Paramètres!$A$1:$I$89,3,0)*VLOOKUP('Données projet'!$B$13,Paramètres!$A$1:$I$89,5,0)</f>
        <v>210.59999999999991</v>
      </c>
      <c r="CV55" s="14">
        <f t="shared" si="41"/>
        <v>52.066679014659961</v>
      </c>
      <c r="CW55" s="22">
        <f t="shared" si="13"/>
        <v>457.47779928386586</v>
      </c>
      <c r="CX55" s="62">
        <f t="shared" si="14"/>
        <v>750.81113261719918</v>
      </c>
      <c r="CY55" s="62">
        <f ca="1">AVERAGE(OFFSET($CX$3,0,0,'Données projet'!$E$13+1,1))-AVERAGE(OFFSET($H$3,0,0,'Données projet'!$E$13+1,1))</f>
        <v>289.19475369871481</v>
      </c>
      <c r="CZ55" s="62">
        <f t="shared" si="42"/>
        <v>283.48738729114024</v>
      </c>
      <c r="DA55" s="16">
        <f>IF(ISNA(VLOOKUP(A55,'Données projet'!$A$139:$I$159,3,0)),0,VLOOKUP(A55,'Données projet'!$A$139:$I$159,3,0))</f>
        <v>6</v>
      </c>
      <c r="DB55" s="16">
        <f>IF(ISNA(VLOOKUP(A55,'Données projet'!$A$139:$I$159,4,0)),0,VLOOKUP(A55,'Données projet'!$A$139:$I$159,4,0))</f>
        <v>48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6.2820512820512819</v>
      </c>
      <c r="DO55" s="13">
        <f>IF('Données projet'!$A$166&gt;35,DO54+DN55-DW54,IF(A55&lt;'Données projet'!$A$166,$DL$205^A55,IF(A55='Données projet'!$A$166,'Données projet'!$B$166,DO54+DN55-DW54)))</f>
        <v>239.48717948717947</v>
      </c>
      <c r="DP55" s="18">
        <f>DO55*VLOOKUP('Données projet'!$B$14,Paramètres!$A$1:$I$89,3,0)*VLOOKUP('Données projet'!$B$14,Paramètres!$A$1:$I$89,5,0)</f>
        <v>160.648</v>
      </c>
      <c r="DQ55" s="14">
        <f t="shared" si="43"/>
        <v>40.988639216339969</v>
      </c>
      <c r="DR55" s="22">
        <f t="shared" si="16"/>
        <v>351.1838133017921</v>
      </c>
      <c r="DS55" s="62">
        <f t="shared" si="17"/>
        <v>644.51714663512541</v>
      </c>
      <c r="DT55" s="62">
        <f ca="1">AVERAGE(OFFSET($DS$3,0,0,'Données projet'!$E$14+1,1))-AVERAGE(OFFSET($H$3,0,0,'Données projet'!$E$14+1,1))</f>
        <v>343.33067866534634</v>
      </c>
      <c r="DU55" s="62">
        <f t="shared" si="44"/>
        <v>261.91036689641402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2">
        <f t="shared" si="0"/>
        <v>651.17655593527957</v>
      </c>
      <c r="S56" s="62">
        <f ca="1">AVERAGE(OFFSET($R$3,0,0,'Données projet'!$E$9+1,1))-AVERAGE(OFFSET($H$3,0,0,'Données projet'!$E$9+1,1))</f>
        <v>428.8489304403459</v>
      </c>
      <c r="T56" s="62">
        <f t="shared" si="34"/>
        <v>247.01165577562966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2">
        <f t="shared" si="5"/>
        <v>693.29235603832899</v>
      </c>
      <c r="AN56" s="62">
        <f ca="1">AVERAGE(OFFSET($AM$3,0,0,'Données projet'!$E$10+1,1))-AVERAGE(OFFSET($H$3,0,0,'Données projet'!$E$10+1,1))</f>
        <v>475.47920969424894</v>
      </c>
      <c r="AO56" s="62">
        <f t="shared" si="36"/>
        <v>271.73544012419364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175.06319999999999</v>
      </c>
      <c r="BF56" s="14">
        <f t="shared" si="37"/>
        <v>44.22206774682472</v>
      </c>
      <c r="BG56" s="22">
        <f t="shared" si="7"/>
        <v>381.9218413257197</v>
      </c>
      <c r="BH56" s="62">
        <f t="shared" si="8"/>
        <v>675.25517465905295</v>
      </c>
      <c r="BI56" s="62">
        <f ca="1">AVERAGE(OFFSET($BH$3,0,0,'Données projet'!$E$11+1,1))-AVERAGE(OFFSET($H$3,0,0,'Données projet'!$E$11+1,1))</f>
        <v>455.50822833641354</v>
      </c>
      <c r="BJ56" s="62">
        <f t="shared" si="38"/>
        <v>261.14722581688039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194.82839999999999</v>
      </c>
      <c r="CA56" s="14">
        <f t="shared" si="39"/>
        <v>48.605879434898533</v>
      </c>
      <c r="CB56" s="22">
        <f t="shared" si="10"/>
        <v>423.98137001578152</v>
      </c>
      <c r="CC56" s="62">
        <f t="shared" si="11"/>
        <v>717.31470334911478</v>
      </c>
      <c r="CD56" s="62">
        <f ca="1">AVERAGE(OFFSET($CC$3,0,0,'Données projet'!$E$12+1,1))-AVERAGE(OFFSET($H$3,0,0,'Données projet'!$E$12+1,1))</f>
        <v>502.07782026233912</v>
      </c>
      <c r="CE56" s="62">
        <f t="shared" si="40"/>
        <v>285.83623046025156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9.375</v>
      </c>
      <c r="CT56" s="13">
        <f>IF('Données projet'!$A$140&gt;35,CT55+CS56-DB55,IF(A56&lt;'Données projet'!$A$140,$CQ$205^A56,IF(A56='Données projet'!$A$140,'Données projet'!$B$140,CT55+CS56-DB55)))</f>
        <v>231.37499999999989</v>
      </c>
      <c r="CU56" s="18">
        <f>CT56*VLOOKUP('Données projet'!$B$13,Paramètres!$A$1:$I$89,3,0)*VLOOKUP('Données projet'!$B$13,Paramètres!$A$1:$I$89,5,0)</f>
        <v>180.47249999999991</v>
      </c>
      <c r="CV56" s="14">
        <f t="shared" si="41"/>
        <v>45.427292666837829</v>
      </c>
      <c r="CW56" s="22">
        <f t="shared" si="13"/>
        <v>393.44213889474241</v>
      </c>
      <c r="CX56" s="62">
        <f t="shared" si="14"/>
        <v>686.77547222807573</v>
      </c>
      <c r="CY56" s="62">
        <f ca="1">AVERAGE(OFFSET($CX$3,0,0,'Données projet'!$E$13+1,1))-AVERAGE(OFFSET($H$3,0,0,'Données projet'!$E$13+1,1))</f>
        <v>289.19475369871481</v>
      </c>
      <c r="CZ56" s="62">
        <f t="shared" si="42"/>
        <v>283.48738729114024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6.2820512820512819</v>
      </c>
      <c r="DO56" s="13">
        <f>IF('Données projet'!$A$166&gt;35,DO55+DN56-DW55,IF(A56&lt;'Données projet'!$A$166,$DL$205^A56,IF(A56='Données projet'!$A$166,'Données projet'!$B$166,DO55+DN56-DW55)))</f>
        <v>245.76923076923075</v>
      </c>
      <c r="DP56" s="18">
        <f>DO56*VLOOKUP('Données projet'!$B$14,Paramètres!$A$1:$I$89,3,0)*VLOOKUP('Données projet'!$B$14,Paramètres!$A$1:$I$89,5,0)</f>
        <v>164.86199999999999</v>
      </c>
      <c r="DQ56" s="14">
        <f t="shared" si="43"/>
        <v>41.937235202605208</v>
      </c>
      <c r="DR56" s="22">
        <f t="shared" si="16"/>
        <v>360.17533464453732</v>
      </c>
      <c r="DS56" s="62">
        <f t="shared" si="17"/>
        <v>653.50866797787057</v>
      </c>
      <c r="DT56" s="62">
        <f ca="1">AVERAGE(OFFSET($DS$3,0,0,'Données projet'!$E$14+1,1))-AVERAGE(OFFSET($H$3,0,0,'Données projet'!$E$14+1,1))</f>
        <v>343.33067866534634</v>
      </c>
      <c r="DU56" s="62">
        <f t="shared" si="44"/>
        <v>261.91036689641402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2">
        <f t="shared" si="0"/>
        <v>666.61207984061377</v>
      </c>
      <c r="S57" s="62">
        <f ca="1">AVERAGE(OFFSET($R$3,0,0,'Données projet'!$E$9+1,1))-AVERAGE(OFFSET($H$3,0,0,'Données projet'!$E$9+1,1))</f>
        <v>428.8489304403459</v>
      </c>
      <c r="T57" s="62">
        <f t="shared" si="34"/>
        <v>247.01165577562966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2">
        <f t="shared" si="5"/>
        <v>710.54902110468288</v>
      </c>
      <c r="AN57" s="62">
        <f ca="1">AVERAGE(OFFSET($AM$3,0,0,'Données projet'!$E$10+1,1))-AVERAGE(OFFSET($H$3,0,0,'Données projet'!$E$10+1,1))</f>
        <v>475.47920969424894</v>
      </c>
      <c r="AO57" s="62">
        <f t="shared" si="36"/>
        <v>271.73544012419364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182.80079999999998</v>
      </c>
      <c r="BF57" s="14">
        <f t="shared" si="37"/>
        <v>45.944751507471658</v>
      </c>
      <c r="BG57" s="22">
        <f t="shared" si="7"/>
        <v>398.39850220884642</v>
      </c>
      <c r="BH57" s="62">
        <f t="shared" si="8"/>
        <v>691.73183554217974</v>
      </c>
      <c r="BI57" s="62">
        <f ca="1">AVERAGE(OFFSET($BH$3,0,0,'Données projet'!$E$11+1,1))-AVERAGE(OFFSET($H$3,0,0,'Données projet'!$E$11+1,1))</f>
        <v>455.50822833641354</v>
      </c>
      <c r="BJ57" s="62">
        <f t="shared" si="38"/>
        <v>261.14722581688039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203.43960000000001</v>
      </c>
      <c r="CA57" s="14">
        <f t="shared" si="39"/>
        <v>50.499335879627459</v>
      </c>
      <c r="CB57" s="22">
        <f t="shared" si="10"/>
        <v>442.27697999035109</v>
      </c>
      <c r="CC57" s="62">
        <f t="shared" si="11"/>
        <v>735.61031332368441</v>
      </c>
      <c r="CD57" s="62">
        <f ca="1">AVERAGE(OFFSET($CC$3,0,0,'Données projet'!$E$12+1,1))-AVERAGE(OFFSET($H$3,0,0,'Données projet'!$E$12+1,1))</f>
        <v>502.07782026233912</v>
      </c>
      <c r="CE57" s="62">
        <f t="shared" si="40"/>
        <v>285.83623046025156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9.375</v>
      </c>
      <c r="CT57" s="13">
        <f>IF('Données projet'!$A$140&gt;35,CT56+CS57-DB56,IF(A57&lt;'Données projet'!$A$140,$CQ$205^A57,IF(A57='Données projet'!$A$140,'Données projet'!$B$140,CT56+CS57-DB56)))</f>
        <v>240.74999999999989</v>
      </c>
      <c r="CU57" s="18">
        <f>CT57*VLOOKUP('Données projet'!$B$13,Paramètres!$A$1:$I$89,3,0)*VLOOKUP('Données projet'!$B$13,Paramètres!$A$1:$I$89,5,0)</f>
        <v>187.78499999999991</v>
      </c>
      <c r="CV57" s="14">
        <f t="shared" si="41"/>
        <v>47.049914090154054</v>
      </c>
      <c r="CW57" s="22">
        <f t="shared" si="13"/>
        <v>409.0041420403515</v>
      </c>
      <c r="CX57" s="62">
        <f t="shared" si="14"/>
        <v>702.33747537368481</v>
      </c>
      <c r="CY57" s="62">
        <f ca="1">AVERAGE(OFFSET($CX$3,0,0,'Données projet'!$E$13+1,1))-AVERAGE(OFFSET($H$3,0,0,'Données projet'!$E$13+1,1))</f>
        <v>289.19475369871481</v>
      </c>
      <c r="CZ57" s="62">
        <f t="shared" si="42"/>
        <v>283.48738729114024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6.2820512820512819</v>
      </c>
      <c r="DO57" s="13">
        <f>IF('Données projet'!$A$166&gt;35,DO56+DN57-DW56,IF(A57&lt;'Données projet'!$A$166,$DL$205^A57,IF(A57='Données projet'!$A$166,'Données projet'!$B$166,DO56+DN57-DW56)))</f>
        <v>252.05128205128202</v>
      </c>
      <c r="DP57" s="18">
        <f>DO57*VLOOKUP('Données projet'!$B$14,Paramètres!$A$1:$I$89,3,0)*VLOOKUP('Données projet'!$B$14,Paramètres!$A$1:$I$89,5,0)</f>
        <v>169.07599999999996</v>
      </c>
      <c r="DQ57" s="14">
        <f t="shared" si="43"/>
        <v>42.883012726130275</v>
      </c>
      <c r="DR57" s="22">
        <f t="shared" si="16"/>
        <v>369.1619471646768</v>
      </c>
      <c r="DS57" s="62">
        <f t="shared" si="17"/>
        <v>662.49528049801006</v>
      </c>
      <c r="DT57" s="62">
        <f ca="1">AVERAGE(OFFSET($DS$3,0,0,'Données projet'!$E$14+1,1))-AVERAGE(OFFSET($H$3,0,0,'Données projet'!$E$14+1,1))</f>
        <v>343.33067866534634</v>
      </c>
      <c r="DU57" s="62">
        <f t="shared" si="44"/>
        <v>261.91036689641402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2">
        <f t="shared" si="0"/>
        <v>682.03369695342735</v>
      </c>
      <c r="S58" s="62">
        <f ca="1">AVERAGE(OFFSET($R$3,0,0,'Données projet'!$E$9+1,1))-AVERAGE(OFFSET($H$3,0,0,'Données projet'!$E$9+1,1))</f>
        <v>428.8489304403459</v>
      </c>
      <c r="T58" s="62">
        <f t="shared" si="34"/>
        <v>247.01165577562966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2">
        <f t="shared" si="5"/>
        <v>727.79030631599562</v>
      </c>
      <c r="AN58" s="62">
        <f ca="1">AVERAGE(OFFSET($AM$3,0,0,'Données projet'!$E$10+1,1))-AVERAGE(OFFSET($H$3,0,0,'Données projet'!$E$10+1,1))</f>
        <v>475.47920969424894</v>
      </c>
      <c r="AO58" s="62">
        <f t="shared" si="36"/>
        <v>271.73544012419364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190.5384</v>
      </c>
      <c r="BF58" s="14">
        <f t="shared" si="37"/>
        <v>47.658965836673829</v>
      </c>
      <c r="BG58" s="22">
        <f t="shared" si="7"/>
        <v>414.86041216554025</v>
      </c>
      <c r="BH58" s="62">
        <f t="shared" si="8"/>
        <v>708.19374549887357</v>
      </c>
      <c r="BI58" s="62">
        <f ca="1">AVERAGE(OFFSET($BH$3,0,0,'Données projet'!$E$11+1,1))-AVERAGE(OFFSET($H$3,0,0,'Données projet'!$E$11+1,1))</f>
        <v>455.50822833641354</v>
      </c>
      <c r="BJ58" s="62">
        <f t="shared" si="38"/>
        <v>261.14722581688039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212.05079999999998</v>
      </c>
      <c r="CA58" s="14">
        <f t="shared" si="39"/>
        <v>52.383483303212302</v>
      </c>
      <c r="CB58" s="22">
        <f t="shared" si="10"/>
        <v>460.55637675309475</v>
      </c>
      <c r="CC58" s="62">
        <f t="shared" si="11"/>
        <v>753.88971008642807</v>
      </c>
      <c r="CD58" s="62">
        <f ca="1">AVERAGE(OFFSET($CC$3,0,0,'Données projet'!$E$12+1,1))-AVERAGE(OFFSET($H$3,0,0,'Données projet'!$E$12+1,1))</f>
        <v>502.07782026233912</v>
      </c>
      <c r="CE58" s="62">
        <f t="shared" si="40"/>
        <v>285.83623046025156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9.375</v>
      </c>
      <c r="CT58" s="13">
        <f>IF('Données projet'!$A$140&gt;35,CT57+CS58-DB57,IF(A58&lt;'Données projet'!$A$140,$CQ$205^A58,IF(A58='Données projet'!$A$140,'Données projet'!$B$140,CT57+CS58-DB57)))</f>
        <v>250.12499999999989</v>
      </c>
      <c r="CU58" s="18">
        <f>CT58*VLOOKUP('Données projet'!$B$13,Paramètres!$A$1:$I$89,3,0)*VLOOKUP('Données projet'!$B$13,Paramètres!$A$1:$I$89,5,0)</f>
        <v>195.09749999999991</v>
      </c>
      <c r="CV58" s="14">
        <f t="shared" si="41"/>
        <v>48.66519532492579</v>
      </c>
      <c r="CW58" s="22">
        <f t="shared" si="13"/>
        <v>424.55336102424553</v>
      </c>
      <c r="CX58" s="62">
        <f t="shared" si="14"/>
        <v>717.88669435757879</v>
      </c>
      <c r="CY58" s="62">
        <f ca="1">AVERAGE(OFFSET($CX$3,0,0,'Données projet'!$E$13+1,1))-AVERAGE(OFFSET($H$3,0,0,'Données projet'!$E$13+1,1))</f>
        <v>289.19475369871481</v>
      </c>
      <c r="CZ58" s="62">
        <f t="shared" si="42"/>
        <v>283.48738729114024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258.33333333333331</v>
      </c>
      <c r="DM58" s="13">
        <f>VLOOKUP(A58,'Données projet'!$A$165:$I$185,9,0)</f>
        <v>6.2820512820512819</v>
      </c>
      <c r="DN58" s="13">
        <f t="array" ref="DN58">INDEX(DM:DM,MIN(IF(ISNUMBER(DM58:DM254),ROW(DM58:DM254),"")))</f>
        <v>6.2820512820512819</v>
      </c>
      <c r="DO58" s="13">
        <f>IF('Données projet'!$A$166&gt;35,DO57+DN58-DW57,IF(A58&lt;'Données projet'!$A$166,$DL$205^A58,IF(A58='Données projet'!$A$166,'Données projet'!$B$166,DO57+DN58-DW57)))</f>
        <v>258.33333333333331</v>
      </c>
      <c r="DP58" s="18">
        <f>DO58*VLOOKUP('Données projet'!$B$14,Paramètres!$A$1:$I$89,3,0)*VLOOKUP('Données projet'!$B$14,Paramètres!$A$1:$I$89,5,0)</f>
        <v>173.29</v>
      </c>
      <c r="DQ58" s="14">
        <f t="shared" si="43"/>
        <v>43.826050112896013</v>
      </c>
      <c r="DR58" s="22">
        <f t="shared" si="16"/>
        <v>378.14378727996046</v>
      </c>
      <c r="DS58" s="62">
        <f t="shared" si="17"/>
        <v>671.47712061329378</v>
      </c>
      <c r="DT58" s="62">
        <f ca="1">AVERAGE(OFFSET($DS$3,0,0,'Données projet'!$E$14+1,1))-AVERAGE(OFFSET($H$3,0,0,'Données projet'!$E$14+1,1))</f>
        <v>343.33067866534634</v>
      </c>
      <c r="DU58" s="62">
        <f t="shared" si="44"/>
        <v>261.91036689641402</v>
      </c>
      <c r="DV58" s="16">
        <f>IF(ISNA(VLOOKUP(A58,'Données projet'!$A$165:$I$185,3,0)),0,VLOOKUP(A58,'Données projet'!$A$165:$I$185,3,0))</f>
        <v>5</v>
      </c>
      <c r="DW58" s="16">
        <f>IF(ISNA(VLOOKUP(A58,'Données projet'!$A$165:$I$185,4,0)),0,VLOOKUP(A58,'Données projet'!$A$165:$I$185,4,0))</f>
        <v>32.692307692307693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2">
        <f t="shared" si="0"/>
        <v>696.67192586439194</v>
      </c>
      <c r="S59" s="62">
        <f ca="1">AVERAGE(OFFSET($R$3,0,0,'Données projet'!$E$9+1,1))-AVERAGE(OFFSET($H$3,0,0,'Données projet'!$E$9+1,1))</f>
        <v>428.8489304403459</v>
      </c>
      <c r="T59" s="62">
        <f t="shared" si="34"/>
        <v>247.01165577562966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2">
        <f t="shared" si="5"/>
        <v>744.15591627769948</v>
      </c>
      <c r="AN59" s="62">
        <f ca="1">AVERAGE(OFFSET($AM$3,0,0,'Données projet'!$E$10+1,1))-AVERAGE(OFFSET($H$3,0,0,'Données projet'!$E$10+1,1))</f>
        <v>475.47920969424894</v>
      </c>
      <c r="AO59" s="62">
        <f t="shared" si="36"/>
        <v>271.73544012419364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197.88911999999999</v>
      </c>
      <c r="BF59" s="14">
        <f t="shared" si="37"/>
        <v>49.279974103179534</v>
      </c>
      <c r="BG59" s="22">
        <f t="shared" si="7"/>
        <v>430.48617222970438</v>
      </c>
      <c r="BH59" s="62">
        <f t="shared" si="8"/>
        <v>723.81950556303764</v>
      </c>
      <c r="BI59" s="62">
        <f ca="1">AVERAGE(OFFSET($BH$3,0,0,'Données projet'!$E$11+1,1))-AVERAGE(OFFSET($H$3,0,0,'Données projet'!$E$11+1,1))</f>
        <v>455.50822833641354</v>
      </c>
      <c r="BJ59" s="62">
        <f t="shared" si="38"/>
        <v>261.14722581688039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220.23143999999996</v>
      </c>
      <c r="CA59" s="14">
        <f t="shared" si="39"/>
        <v>54.165184982469711</v>
      </c>
      <c r="CB59" s="22">
        <f t="shared" si="10"/>
        <v>477.9074551778013</v>
      </c>
      <c r="CC59" s="62">
        <f t="shared" si="11"/>
        <v>771.24078851113461</v>
      </c>
      <c r="CD59" s="62">
        <f ca="1">AVERAGE(OFFSET($CC$3,0,0,'Données projet'!$E$12+1,1))-AVERAGE(OFFSET($H$3,0,0,'Données projet'!$E$12+1,1))</f>
        <v>502.07782026233912</v>
      </c>
      <c r="CE59" s="62">
        <f t="shared" si="40"/>
        <v>285.83623046025156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9.375</v>
      </c>
      <c r="CT59" s="13">
        <f>IF('Données projet'!$A$140&gt;35,CT58+CS59-DB58,IF(A59&lt;'Données projet'!$A$140,$CQ$205^A59,IF(A59='Données projet'!$A$140,'Données projet'!$B$140,CT58+CS59-DB58)))</f>
        <v>259.49999999999989</v>
      </c>
      <c r="CU59" s="18">
        <f>CT59*VLOOKUP('Données projet'!$B$13,Paramètres!$A$1:$I$89,3,0)*VLOOKUP('Données projet'!$B$13,Paramètres!$A$1:$I$89,5,0)</f>
        <v>202.40999999999991</v>
      </c>
      <c r="CV59" s="14">
        <f t="shared" si="41"/>
        <v>50.273442991661817</v>
      </c>
      <c r="CW59" s="22">
        <f t="shared" si="13"/>
        <v>440.09032987714414</v>
      </c>
      <c r="CX59" s="62">
        <f t="shared" si="14"/>
        <v>733.42366321047746</v>
      </c>
      <c r="CY59" s="62">
        <f ca="1">AVERAGE(OFFSET($CX$3,0,0,'Données projet'!$E$13+1,1))-AVERAGE(OFFSET($H$3,0,0,'Données projet'!$E$13+1,1))</f>
        <v>289.19475369871481</v>
      </c>
      <c r="CZ59" s="62">
        <f t="shared" si="42"/>
        <v>283.48738729114024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5.8974358974358951</v>
      </c>
      <c r="DO59" s="13">
        <f>IF('Données projet'!$A$166&gt;35,DO58+DN59-DW58,IF(A59&lt;'Données projet'!$A$166,$DL$205^A59,IF(A59='Données projet'!$A$166,'Données projet'!$B$166,DO58+DN59-DW58)))</f>
        <v>231.53846153846155</v>
      </c>
      <c r="DP59" s="18">
        <f>DO59*VLOOKUP('Données projet'!$B$14,Paramètres!$A$1:$I$89,3,0)*VLOOKUP('Données projet'!$B$14,Paramètres!$A$1:$I$89,5,0)</f>
        <v>155.316</v>
      </c>
      <c r="DQ59" s="14">
        <f t="shared" si="43"/>
        <v>39.784206160846679</v>
      </c>
      <c r="DR59" s="22">
        <f t="shared" si="16"/>
        <v>339.79952573014128</v>
      </c>
      <c r="DS59" s="62">
        <f t="shared" si="17"/>
        <v>633.1328590634746</v>
      </c>
      <c r="DT59" s="62">
        <f ca="1">AVERAGE(OFFSET($DS$3,0,0,'Données projet'!$E$14+1,1))-AVERAGE(OFFSET($H$3,0,0,'Données projet'!$E$14+1,1))</f>
        <v>343.33067866534634</v>
      </c>
      <c r="DU59" s="62">
        <f t="shared" si="44"/>
        <v>261.91036689641402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2">
        <f t="shared" si="0"/>
        <v>711.29866832489597</v>
      </c>
      <c r="S60" s="62">
        <f ca="1">AVERAGE(OFFSET($R$3,0,0,'Données projet'!$E$9+1,1))-AVERAGE(OFFSET($H$3,0,0,'Données projet'!$E$9+1,1))</f>
        <v>428.8489304403459</v>
      </c>
      <c r="T60" s="62">
        <f t="shared" si="34"/>
        <v>247.01165577562966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2">
        <f t="shared" si="5"/>
        <v>760.50882309863516</v>
      </c>
      <c r="AN60" s="62">
        <f ca="1">AVERAGE(OFFSET($AM$3,0,0,'Données projet'!$E$10+1,1))-AVERAGE(OFFSET($H$3,0,0,'Données projet'!$E$10+1,1))</f>
        <v>475.47920969424894</v>
      </c>
      <c r="AO60" s="62">
        <f t="shared" si="36"/>
        <v>271.73544012419364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205.23983999999999</v>
      </c>
      <c r="BF60" s="14">
        <f t="shared" si="37"/>
        <v>50.893986960458122</v>
      </c>
      <c r="BG60" s="22">
        <f t="shared" si="7"/>
        <v>446.0997486227979</v>
      </c>
      <c r="BH60" s="62">
        <f t="shared" si="8"/>
        <v>739.43308195613122</v>
      </c>
      <c r="BI60" s="62">
        <f ca="1">AVERAGE(OFFSET($BH$3,0,0,'Données projet'!$E$11+1,1))-AVERAGE(OFFSET($H$3,0,0,'Données projet'!$E$11+1,1))</f>
        <v>455.50822833641354</v>
      </c>
      <c r="BJ60" s="62">
        <f t="shared" si="38"/>
        <v>261.14722581688039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228.41207999999997</v>
      </c>
      <c r="CA60" s="14">
        <f t="shared" si="39"/>
        <v>55.939197785226767</v>
      </c>
      <c r="CB60" s="22">
        <f t="shared" si="10"/>
        <v>495.24514214260324</v>
      </c>
      <c r="CC60" s="62">
        <f t="shared" si="11"/>
        <v>788.57847547593656</v>
      </c>
      <c r="CD60" s="62">
        <f ca="1">AVERAGE(OFFSET($CC$3,0,0,'Données projet'!$E$12+1,1))-AVERAGE(OFFSET($H$3,0,0,'Données projet'!$E$12+1,1))</f>
        <v>502.07782026233912</v>
      </c>
      <c r="CE60" s="62">
        <f t="shared" si="40"/>
        <v>285.83623046025156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9.375</v>
      </c>
      <c r="CT60" s="13">
        <f>IF('Données projet'!$A$140&gt;35,CT59+CS60-DB59,IF(A60&lt;'Données projet'!$A$140,$CQ$205^A60,IF(A60='Données projet'!$A$140,'Données projet'!$B$140,CT59+CS60-DB59)))</f>
        <v>268.87499999999989</v>
      </c>
      <c r="CU60" s="18">
        <f>CT60*VLOOKUP('Données projet'!$B$13,Paramètres!$A$1:$I$89,3,0)*VLOOKUP('Données projet'!$B$13,Paramètres!$A$1:$I$89,5,0)</f>
        <v>209.72249999999991</v>
      </c>
      <c r="CV60" s="14">
        <f t="shared" si="41"/>
        <v>51.874940300502246</v>
      </c>
      <c r="CW60" s="22">
        <f t="shared" si="13"/>
        <v>455.61554185670792</v>
      </c>
      <c r="CX60" s="62">
        <f t="shared" si="14"/>
        <v>748.94887519004124</v>
      </c>
      <c r="CY60" s="62">
        <f ca="1">AVERAGE(OFFSET($CX$3,0,0,'Données projet'!$E$13+1,1))-AVERAGE(OFFSET($H$3,0,0,'Données projet'!$E$13+1,1))</f>
        <v>289.19475369871481</v>
      </c>
      <c r="CZ60" s="62">
        <f t="shared" si="42"/>
        <v>283.48738729114024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5.8974358974358951</v>
      </c>
      <c r="DO60" s="13">
        <f>IF('Données projet'!$A$166&gt;35,DO59+DN60-DW59,IF(A60&lt;'Données projet'!$A$166,$DL$205^A60,IF(A60='Données projet'!$A$166,'Données projet'!$B$166,DO59+DN60-DW59)))</f>
        <v>237.43589743589743</v>
      </c>
      <c r="DP60" s="18">
        <f>DO60*VLOOKUP('Données projet'!$B$14,Paramètres!$A$1:$I$89,3,0)*VLOOKUP('Données projet'!$B$14,Paramètres!$A$1:$I$89,5,0)</f>
        <v>159.27200000000002</v>
      </c>
      <c r="DQ60" s="14">
        <f t="shared" si="43"/>
        <v>40.678269418356507</v>
      </c>
      <c r="DR60" s="22">
        <f t="shared" si="16"/>
        <v>348.24671923697093</v>
      </c>
      <c r="DS60" s="62">
        <f t="shared" si="17"/>
        <v>641.58005257030425</v>
      </c>
      <c r="DT60" s="62">
        <f ca="1">AVERAGE(OFFSET($DS$3,0,0,'Données projet'!$E$14+1,1))-AVERAGE(OFFSET($H$3,0,0,'Données projet'!$E$14+1,1))</f>
        <v>343.33067866534634</v>
      </c>
      <c r="DU60" s="62">
        <f t="shared" si="44"/>
        <v>261.91036689641402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2">
        <f t="shared" si="0"/>
        <v>725.91438285442098</v>
      </c>
      <c r="S61" s="62">
        <f ca="1">AVERAGE(OFFSET($R$3,0,0,'Données projet'!$E$9+1,1))-AVERAGE(OFFSET($H$3,0,0,'Données projet'!$E$9+1,1))</f>
        <v>428.8489304403459</v>
      </c>
      <c r="T61" s="62">
        <f t="shared" si="34"/>
        <v>247.01165577562966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2">
        <f t="shared" si="5"/>
        <v>776.84953386648317</v>
      </c>
      <c r="AN61" s="62">
        <f ca="1">AVERAGE(OFFSET($AM$3,0,0,'Données projet'!$E$10+1,1))-AVERAGE(OFFSET($H$3,0,0,'Données projet'!$E$10+1,1))</f>
        <v>475.47920969424894</v>
      </c>
      <c r="AO61" s="62">
        <f t="shared" si="36"/>
        <v>271.73544012419364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212.59055999999998</v>
      </c>
      <c r="BF61" s="14">
        <f t="shared" si="37"/>
        <v>52.501283653296404</v>
      </c>
      <c r="BG61" s="22">
        <f t="shared" si="7"/>
        <v>461.70162769615786</v>
      </c>
      <c r="BH61" s="62">
        <f t="shared" si="8"/>
        <v>755.03496102949111</v>
      </c>
      <c r="BI61" s="62">
        <f ca="1">AVERAGE(OFFSET($BH$3,0,0,'Données projet'!$E$11+1,1))-AVERAGE(OFFSET($H$3,0,0,'Données projet'!$E$11+1,1))</f>
        <v>455.50822833641354</v>
      </c>
      <c r="BJ61" s="62">
        <f t="shared" si="38"/>
        <v>261.14722581688039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236.59271999999999</v>
      </c>
      <c r="CA61" s="14">
        <f t="shared" si="39"/>
        <v>57.705828638299394</v>
      </c>
      <c r="CB61" s="22">
        <f t="shared" si="10"/>
        <v>512.56997221170479</v>
      </c>
      <c r="CC61" s="62">
        <f t="shared" si="11"/>
        <v>805.90330554503817</v>
      </c>
      <c r="CD61" s="62">
        <f ca="1">AVERAGE(OFFSET($CC$3,0,0,'Données projet'!$E$12+1,1))-AVERAGE(OFFSET($H$3,0,0,'Données projet'!$E$12+1,1))</f>
        <v>502.07782026233912</v>
      </c>
      <c r="CE61" s="62">
        <f t="shared" si="40"/>
        <v>285.83623046025156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9.375</v>
      </c>
      <c r="CT61" s="13">
        <f>IF('Données projet'!$A$140&gt;35,CT60+CS61-DB60,IF(A61&lt;'Données projet'!$A$140,$CQ$205^A61,IF(A61='Données projet'!$A$140,'Données projet'!$B$140,CT60+CS61-DB60)))</f>
        <v>278.24999999999989</v>
      </c>
      <c r="CU61" s="18">
        <f>CT61*VLOOKUP('Données projet'!$B$13,Paramètres!$A$1:$I$89,3,0)*VLOOKUP('Données projet'!$B$13,Paramètres!$A$1:$I$89,5,0)</f>
        <v>217.03499999999991</v>
      </c>
      <c r="CV61" s="14">
        <f t="shared" si="41"/>
        <v>53.469949591969474</v>
      </c>
      <c r="CW61" s="22">
        <f t="shared" si="13"/>
        <v>471.12945387267996</v>
      </c>
      <c r="CX61" s="62">
        <f t="shared" si="14"/>
        <v>764.46278720601322</v>
      </c>
      <c r="CY61" s="62">
        <f ca="1">AVERAGE(OFFSET($CX$3,0,0,'Données projet'!$E$13+1,1))-AVERAGE(OFFSET($H$3,0,0,'Données projet'!$E$13+1,1))</f>
        <v>289.19475369871481</v>
      </c>
      <c r="CZ61" s="62">
        <f t="shared" si="42"/>
        <v>283.48738729114024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5.8974358974358951</v>
      </c>
      <c r="DO61" s="13">
        <f>IF('Données projet'!$A$166&gt;35,DO60+DN61-DW60,IF(A61&lt;'Données projet'!$A$166,$DL$205^A61,IF(A61='Données projet'!$A$166,'Données projet'!$B$166,DO60+DN61-DW60)))</f>
        <v>243.33333333333331</v>
      </c>
      <c r="DP61" s="18">
        <f>DO61*VLOOKUP('Données projet'!$B$14,Paramètres!$A$1:$I$89,3,0)*VLOOKUP('Données projet'!$B$14,Paramètres!$A$1:$I$89,5,0)</f>
        <v>163.22799999999998</v>
      </c>
      <c r="DQ61" s="14">
        <f t="shared" si="43"/>
        <v>41.569751262115432</v>
      </c>
      <c r="DR61" s="22">
        <f t="shared" si="16"/>
        <v>356.68941678151765</v>
      </c>
      <c r="DS61" s="62">
        <f t="shared" si="17"/>
        <v>650.02275011485096</v>
      </c>
      <c r="DT61" s="62">
        <f ca="1">AVERAGE(OFFSET($DS$3,0,0,'Données projet'!$E$14+1,1))-AVERAGE(OFFSET($H$3,0,0,'Données projet'!$E$14+1,1))</f>
        <v>343.33067866534634</v>
      </c>
      <c r="DU61" s="62">
        <f t="shared" si="44"/>
        <v>261.91036689641402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2">
        <f t="shared" si="0"/>
        <v>740.51949446577237</v>
      </c>
      <c r="S62" s="62">
        <f ca="1">AVERAGE(OFFSET($R$3,0,0,'Données projet'!$E$9+1,1))-AVERAGE(OFFSET($H$3,0,0,'Données projet'!$E$9+1,1))</f>
        <v>428.8489304403459</v>
      </c>
      <c r="T62" s="62">
        <f t="shared" si="34"/>
        <v>247.01165577562966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2">
        <f t="shared" si="5"/>
        <v>793.17851861308782</v>
      </c>
      <c r="AN62" s="62">
        <f ca="1">AVERAGE(OFFSET($AM$3,0,0,'Données projet'!$E$10+1,1))-AVERAGE(OFFSET($H$3,0,0,'Données projet'!$E$10+1,1))</f>
        <v>475.47920969424894</v>
      </c>
      <c r="AO62" s="62">
        <f t="shared" si="36"/>
        <v>271.73544012419364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219.94127999999995</v>
      </c>
      <c r="BF62" s="14">
        <f t="shared" si="37"/>
        <v>54.102123020446285</v>
      </c>
      <c r="BG62" s="22">
        <f t="shared" si="7"/>
        <v>477.29226026061059</v>
      </c>
      <c r="BH62" s="62">
        <f t="shared" si="8"/>
        <v>770.6255935939439</v>
      </c>
      <c r="BI62" s="62">
        <f ca="1">AVERAGE(OFFSET($BH$3,0,0,'Données projet'!$E$11+1,1))-AVERAGE(OFFSET($H$3,0,0,'Données projet'!$E$11+1,1))</f>
        <v>455.50822833641354</v>
      </c>
      <c r="BJ62" s="62">
        <f t="shared" si="38"/>
        <v>261.14722581688039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244.77335999999997</v>
      </c>
      <c r="CA62" s="14">
        <f t="shared" si="39"/>
        <v>59.465362039582196</v>
      </c>
      <c r="CB62" s="22">
        <f t="shared" si="10"/>
        <v>529.88244088560566</v>
      </c>
      <c r="CC62" s="62">
        <f t="shared" si="11"/>
        <v>823.21577421893903</v>
      </c>
      <c r="CD62" s="62">
        <f ca="1">AVERAGE(OFFSET($CC$3,0,0,'Données projet'!$E$12+1,1))-AVERAGE(OFFSET($H$3,0,0,'Données projet'!$E$12+1,1))</f>
        <v>502.07782026233912</v>
      </c>
      <c r="CE62" s="62">
        <f t="shared" si="40"/>
        <v>285.83623046025156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9.375</v>
      </c>
      <c r="CT62" s="13">
        <f>IF('Données projet'!$A$140&gt;35,CT61+CS62-DB61,IF(A62&lt;'Données projet'!$A$140,$CQ$205^A62,IF(A62='Données projet'!$A$140,'Données projet'!$B$140,CT61+CS62-DB61)))</f>
        <v>287.62499999999989</v>
      </c>
      <c r="CU62" s="18">
        <f>CT62*VLOOKUP('Données projet'!$B$13,Paramètres!$A$1:$I$89,3,0)*VLOOKUP('Données projet'!$B$13,Paramètres!$A$1:$I$89,5,0)</f>
        <v>224.34749999999991</v>
      </c>
      <c r="CV62" s="14">
        <f t="shared" si="41"/>
        <v>55.058714525680429</v>
      </c>
      <c r="CW62" s="22">
        <f t="shared" si="13"/>
        <v>486.63249029889329</v>
      </c>
      <c r="CX62" s="62">
        <f t="shared" si="14"/>
        <v>779.9658236322266</v>
      </c>
      <c r="CY62" s="62">
        <f ca="1">AVERAGE(OFFSET($CX$3,0,0,'Données projet'!$E$13+1,1))-AVERAGE(OFFSET($H$3,0,0,'Données projet'!$E$13+1,1))</f>
        <v>289.19475369871481</v>
      </c>
      <c r="CZ62" s="62">
        <f t="shared" si="42"/>
        <v>283.48738729114024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5.8974358974358951</v>
      </c>
      <c r="DO62" s="13">
        <f>IF('Données projet'!$A$166&gt;35,DO61+DN62-DW61,IF(A62&lt;'Données projet'!$A$166,$DL$205^A62,IF(A62='Données projet'!$A$166,'Données projet'!$B$166,DO61+DN62-DW61)))</f>
        <v>249.2307692307692</v>
      </c>
      <c r="DP62" s="18">
        <f>DO62*VLOOKUP('Données projet'!$B$14,Paramètres!$A$1:$I$89,3,0)*VLOOKUP('Données projet'!$B$14,Paramètres!$A$1:$I$89,5,0)</f>
        <v>167.18399999999997</v>
      </c>
      <c r="DQ62" s="14">
        <f t="shared" si="43"/>
        <v>42.458721453110179</v>
      </c>
      <c r="DR62" s="22">
        <f t="shared" si="16"/>
        <v>365.12773986416681</v>
      </c>
      <c r="DS62" s="62">
        <f t="shared" si="17"/>
        <v>658.46107319750013</v>
      </c>
      <c r="DT62" s="62">
        <f ca="1">AVERAGE(OFFSET($DS$3,0,0,'Données projet'!$E$14+1,1))-AVERAGE(OFFSET($H$3,0,0,'Données projet'!$E$14+1,1))</f>
        <v>343.33067866534634</v>
      </c>
      <c r="DU62" s="62">
        <f t="shared" si="44"/>
        <v>261.91036689641402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2">
        <f t="shared" si="0"/>
        <v>755.11439815081053</v>
      </c>
      <c r="S63" s="62">
        <f ca="1">AVERAGE(OFFSET($R$3,0,0,'Données projet'!$E$9+1,1))-AVERAGE(OFFSET($H$3,0,0,'Données projet'!$E$9+1,1))</f>
        <v>428.8489304403459</v>
      </c>
      <c r="T63" s="62">
        <f t="shared" si="34"/>
        <v>247.01165577562966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2">
        <f t="shared" si="5"/>
        <v>809.49621416941091</v>
      </c>
      <c r="AN63" s="62">
        <f ca="1">AVERAGE(OFFSET($AM$3,0,0,'Données projet'!$E$10+1,1))-AVERAGE(OFFSET($H$3,0,0,'Données projet'!$E$10+1,1))</f>
        <v>475.47920969424894</v>
      </c>
      <c r="AO63" s="62">
        <f t="shared" si="36"/>
        <v>271.73544012419364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227.292</v>
      </c>
      <c r="BF63" s="14">
        <f t="shared" si="37"/>
        <v>55.6967456174837</v>
      </c>
      <c r="BG63" s="22">
        <f t="shared" si="7"/>
        <v>492.87206528378402</v>
      </c>
      <c r="BH63" s="62">
        <f t="shared" si="8"/>
        <v>786.20539861711734</v>
      </c>
      <c r="BI63" s="62">
        <f ca="1">AVERAGE(OFFSET($BH$3,0,0,'Données projet'!$E$11+1,1))-AVERAGE(OFFSET($H$3,0,0,'Données projet'!$E$11+1,1))</f>
        <v>455.50822833641354</v>
      </c>
      <c r="BJ63" s="62">
        <f t="shared" si="38"/>
        <v>261.14722581688039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252.95399999999998</v>
      </c>
      <c r="CA63" s="14">
        <f t="shared" si="39"/>
        <v>61.218062391350081</v>
      </c>
      <c r="CB63" s="22">
        <f t="shared" si="10"/>
        <v>547.18300866493462</v>
      </c>
      <c r="CC63" s="62">
        <f t="shared" si="11"/>
        <v>840.51634199826799</v>
      </c>
      <c r="CD63" s="62">
        <f ca="1">AVERAGE(OFFSET($CC$3,0,0,'Données projet'!$E$12+1,1))-AVERAGE(OFFSET($H$3,0,0,'Données projet'!$E$12+1,1))</f>
        <v>502.07782026233912</v>
      </c>
      <c r="CE63" s="62">
        <f t="shared" si="40"/>
        <v>285.83623046025156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297</v>
      </c>
      <c r="CR63" s="13">
        <f>VLOOKUP(A63,'Données projet'!$A$139:$I$159,9,0)</f>
        <v>9.375</v>
      </c>
      <c r="CS63" s="13">
        <f t="array" ref="CS63">INDEX(CR:CR,MIN(IF(ISNUMBER(CR63:CR259),ROW(CR63:CR259),"")))</f>
        <v>9.375</v>
      </c>
      <c r="CT63" s="13">
        <f>IF('Données projet'!$A$140&gt;35,CT62+CS63-DB62,IF(A63&lt;'Données projet'!$A$140,$CQ$205^A63,IF(A63='Données projet'!$A$140,'Données projet'!$B$140,CT62+CS63-DB62)))</f>
        <v>296.99999999999989</v>
      </c>
      <c r="CU63" s="18">
        <f>CT63*VLOOKUP('Données projet'!$B$13,Paramètres!$A$1:$I$89,3,0)*VLOOKUP('Données projet'!$B$13,Paramètres!$A$1:$I$89,5,0)</f>
        <v>231.65999999999991</v>
      </c>
      <c r="CV63" s="14">
        <f t="shared" si="41"/>
        <v>56.641461975682766</v>
      </c>
      <c r="CW63" s="22">
        <f t="shared" si="13"/>
        <v>502.125046274314</v>
      </c>
      <c r="CX63" s="62">
        <f t="shared" si="14"/>
        <v>795.45837960764732</v>
      </c>
      <c r="CY63" s="62">
        <f ca="1">AVERAGE(OFFSET($CX$3,0,0,'Données projet'!$E$13+1,1))-AVERAGE(OFFSET($H$3,0,0,'Données projet'!$E$13+1,1))</f>
        <v>289.19475369871481</v>
      </c>
      <c r="CZ63" s="62">
        <f t="shared" si="42"/>
        <v>283.48738729114024</v>
      </c>
      <c r="DA63" s="16">
        <f>IF(ISNA(VLOOKUP(A63,'Données projet'!$A$139:$I$159,3,0)),0,VLOOKUP(A63,'Données projet'!$A$139:$I$159,3,0))</f>
        <v>7</v>
      </c>
      <c r="DB63" s="16">
        <f>IF(ISNA(VLOOKUP(A63,'Données projet'!$A$139:$I$159,4,0)),0,VLOOKUP(A63,'Données projet'!$A$139:$I$159,4,0))</f>
        <v>47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255.12820512820511</v>
      </c>
      <c r="DM63" s="13">
        <f>VLOOKUP(A63,'Données projet'!$A$165:$I$185,9,0)</f>
        <v>5.8974358974358951</v>
      </c>
      <c r="DN63" s="13">
        <f t="array" ref="DN63">INDEX(DM:DM,MIN(IF(ISNUMBER(DM63:DM259),ROW(DM63:DM259),"")))</f>
        <v>5.8974358974358951</v>
      </c>
      <c r="DO63" s="13">
        <f>IF('Données projet'!$A$166&gt;35,DO62+DN63-DW62,IF(A63&lt;'Données projet'!$A$166,$DL$205^A63,IF(A63='Données projet'!$A$166,'Données projet'!$B$166,DO62+DN63-DW62)))</f>
        <v>255.12820512820508</v>
      </c>
      <c r="DP63" s="18">
        <f>DO63*VLOOKUP('Données projet'!$B$14,Paramètres!$A$1:$I$89,3,0)*VLOOKUP('Données projet'!$B$14,Paramètres!$A$1:$I$89,5,0)</f>
        <v>171.14</v>
      </c>
      <c r="DQ63" s="14">
        <f t="shared" si="43"/>
        <v>43.345246262563791</v>
      </c>
      <c r="DR63" s="22">
        <f t="shared" si="16"/>
        <v>373.56180390729855</v>
      </c>
      <c r="DS63" s="62">
        <f t="shared" si="17"/>
        <v>666.89513724063181</v>
      </c>
      <c r="DT63" s="62">
        <f ca="1">AVERAGE(OFFSET($DS$3,0,0,'Données projet'!$E$14+1,1))-AVERAGE(OFFSET($H$3,0,0,'Données projet'!$E$14+1,1))</f>
        <v>343.33067866534634</v>
      </c>
      <c r="DU63" s="62">
        <f t="shared" si="44"/>
        <v>261.91036689641402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2">
        <f t="shared" si="0"/>
        <v>688.19859268339724</v>
      </c>
      <c r="S64" s="62">
        <f ca="1">AVERAGE(OFFSET($R$3,0,0,'Données projet'!$E$9+1,1))-AVERAGE(OFFSET($H$3,0,0,'Données projet'!$E$9+1,1))</f>
        <v>428.8489304403459</v>
      </c>
      <c r="T64" s="62">
        <f t="shared" si="34"/>
        <v>247.01165577562966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2">
        <f t="shared" si="5"/>
        <v>734.68267195239741</v>
      </c>
      <c r="AN64" s="62">
        <f ca="1">AVERAGE(OFFSET($AM$3,0,0,'Données projet'!$E$10+1,1))-AVERAGE(OFFSET($H$3,0,0,'Données projet'!$E$10+1,1))</f>
        <v>475.47920969424894</v>
      </c>
      <c r="AO64" s="62">
        <f t="shared" si="36"/>
        <v>271.73544012419364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193.63343999999998</v>
      </c>
      <c r="BF64" s="14">
        <f t="shared" si="37"/>
        <v>48.342367086681229</v>
      </c>
      <c r="BG64" s="22">
        <f t="shared" si="7"/>
        <v>421.44119734263637</v>
      </c>
      <c r="BH64" s="62">
        <f t="shared" si="8"/>
        <v>714.77453067596969</v>
      </c>
      <c r="BI64" s="62">
        <f ca="1">AVERAGE(OFFSET($BH$3,0,0,'Données projet'!$E$11+1,1))-AVERAGE(OFFSET($H$3,0,0,'Données projet'!$E$11+1,1))</f>
        <v>455.50822833641354</v>
      </c>
      <c r="BJ64" s="62">
        <f t="shared" si="38"/>
        <v>261.14722581688039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215.49527999999992</v>
      </c>
      <c r="CA64" s="14">
        <f t="shared" si="39"/>
        <v>53.134631326269272</v>
      </c>
      <c r="CB64" s="22">
        <f t="shared" si="10"/>
        <v>467.86376222658549</v>
      </c>
      <c r="CC64" s="62">
        <f t="shared" si="11"/>
        <v>761.19709555991881</v>
      </c>
      <c r="CD64" s="62">
        <f ca="1">AVERAGE(OFFSET($CC$3,0,0,'Données projet'!$E$12+1,1))-AVERAGE(OFFSET($H$3,0,0,'Données projet'!$E$12+1,1))</f>
        <v>502.07782026233912</v>
      </c>
      <c r="CE64" s="62">
        <f t="shared" si="40"/>
        <v>285.83623046025156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8.6666666666666661</v>
      </c>
      <c r="CT64" s="13">
        <f>IF('Données projet'!$A$140&gt;35,CT63+CS64-DB63,IF(A64&lt;'Données projet'!$A$140,$CQ$205^A64,IF(A64='Données projet'!$A$140,'Données projet'!$B$140,CT63+CS64-DB63)))</f>
        <v>258.66666666666657</v>
      </c>
      <c r="CU64" s="18">
        <f>CT64*VLOOKUP('Données projet'!$B$13,Paramètres!$A$1:$I$89,3,0)*VLOOKUP('Données projet'!$B$13,Paramètres!$A$1:$I$89,5,0)</f>
        <v>201.75999999999993</v>
      </c>
      <c r="CV64" s="14">
        <f t="shared" si="41"/>
        <v>50.130765000424169</v>
      </c>
      <c r="CW64" s="22">
        <f t="shared" si="13"/>
        <v>438.70974904240529</v>
      </c>
      <c r="CX64" s="62">
        <f t="shared" si="14"/>
        <v>732.04308237573855</v>
      </c>
      <c r="CY64" s="62">
        <f ca="1">AVERAGE(OFFSET($CX$3,0,0,'Données projet'!$E$13+1,1))-AVERAGE(OFFSET($H$3,0,0,'Données projet'!$E$13+1,1))</f>
        <v>289.19475369871481</v>
      </c>
      <c r="CZ64" s="62">
        <f t="shared" si="42"/>
        <v>283.48738729114024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5.3846153846153868</v>
      </c>
      <c r="DO64" s="13">
        <f>IF('Données projet'!$A$166&gt;35,DO63+DN64-DW63,IF(A64&lt;'Données projet'!$A$166,$DL$205^A64,IF(A64='Données projet'!$A$166,'Données projet'!$B$166,DO63+DN64-DW63)))</f>
        <v>260.51282051282044</v>
      </c>
      <c r="DP64" s="18">
        <f>DO64*VLOOKUP('Données projet'!$B$14,Paramètres!$A$1:$I$89,3,0)*VLOOKUP('Données projet'!$B$14,Paramètres!$A$1:$I$89,5,0)</f>
        <v>174.75199999999995</v>
      </c>
      <c r="DQ64" s="14">
        <f t="shared" si="43"/>
        <v>44.15259980412263</v>
      </c>
      <c r="DR64" s="22">
        <f t="shared" si="16"/>
        <v>381.25884465884684</v>
      </c>
      <c r="DS64" s="62">
        <f t="shared" si="17"/>
        <v>674.59217799218015</v>
      </c>
      <c r="DT64" s="62">
        <f ca="1">AVERAGE(OFFSET($DS$3,0,0,'Données projet'!$E$14+1,1))-AVERAGE(OFFSET($H$3,0,0,'Données projet'!$E$14+1,1))</f>
        <v>343.33067866534634</v>
      </c>
      <c r="DU64" s="62">
        <f t="shared" si="44"/>
        <v>261.91036689641402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2">
        <f t="shared" si="0"/>
        <v>702.06203699024263</v>
      </c>
      <c r="S65" s="62">
        <f ca="1">AVERAGE(OFFSET($R$3,0,0,'Données projet'!$E$9+1,1))-AVERAGE(OFFSET($H$3,0,0,'Données projet'!$E$9+1,1))</f>
        <v>428.8489304403459</v>
      </c>
      <c r="T65" s="62">
        <f t="shared" si="34"/>
        <v>247.01165577562966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2">
        <f t="shared" si="5"/>
        <v>750.18212158935489</v>
      </c>
      <c r="AN65" s="62">
        <f ca="1">AVERAGE(OFFSET($AM$3,0,0,'Données projet'!$E$10+1,1))-AVERAGE(OFFSET($H$3,0,0,'Données projet'!$E$10+1,1))</f>
        <v>475.47920969424894</v>
      </c>
      <c r="AO65" s="62">
        <f t="shared" si="36"/>
        <v>271.73544012419364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200.59727999999996</v>
      </c>
      <c r="BF65" s="14">
        <f t="shared" si="37"/>
        <v>49.875409002022977</v>
      </c>
      <c r="BG65" s="22">
        <f t="shared" si="7"/>
        <v>436.23993334518991</v>
      </c>
      <c r="BH65" s="62">
        <f t="shared" si="8"/>
        <v>729.57326667852317</v>
      </c>
      <c r="BI65" s="62">
        <f ca="1">AVERAGE(OFFSET($BH$3,0,0,'Données projet'!$E$11+1,1))-AVERAGE(OFFSET($H$3,0,0,'Données projet'!$E$11+1,1))</f>
        <v>455.50822833641354</v>
      </c>
      <c r="BJ65" s="62">
        <f t="shared" si="38"/>
        <v>261.14722581688039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223.24535999999995</v>
      </c>
      <c r="CA65" s="14">
        <f t="shared" si="39"/>
        <v>54.819646394591118</v>
      </c>
      <c r="CB65" s="22">
        <f t="shared" si="10"/>
        <v>484.29655280391279</v>
      </c>
      <c r="CC65" s="62">
        <f t="shared" si="11"/>
        <v>777.6298861372461</v>
      </c>
      <c r="CD65" s="62">
        <f ca="1">AVERAGE(OFFSET($CC$3,0,0,'Données projet'!$E$12+1,1))-AVERAGE(OFFSET($H$3,0,0,'Données projet'!$E$12+1,1))</f>
        <v>502.07782026233912</v>
      </c>
      <c r="CE65" s="62">
        <f t="shared" si="40"/>
        <v>285.83623046025156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8.6666666666666661</v>
      </c>
      <c r="CT65" s="13">
        <f>IF('Données projet'!$A$140&gt;35,CT64+CS65-DB64,IF(A65&lt;'Données projet'!$A$140,$CQ$205^A65,IF(A65='Données projet'!$A$140,'Données projet'!$B$140,CT64+CS65-DB64)))</f>
        <v>267.33333333333326</v>
      </c>
      <c r="CU65" s="18">
        <f>CT65*VLOOKUP('Données projet'!$B$13,Paramètres!$A$1:$I$89,3,0)*VLOOKUP('Données projet'!$B$13,Paramètres!$A$1:$I$89,5,0)</f>
        <v>208.51999999999995</v>
      </c>
      <c r="CV65" s="14">
        <f t="shared" si="41"/>
        <v>51.612035456318459</v>
      </c>
      <c r="CW65" s="22">
        <f t="shared" si="13"/>
        <v>453.06329508642119</v>
      </c>
      <c r="CX65" s="62">
        <f t="shared" si="14"/>
        <v>746.39662841975451</v>
      </c>
      <c r="CY65" s="62">
        <f ca="1">AVERAGE(OFFSET($CX$3,0,0,'Données projet'!$E$13+1,1))-AVERAGE(OFFSET($H$3,0,0,'Données projet'!$E$13+1,1))</f>
        <v>289.19475369871481</v>
      </c>
      <c r="CZ65" s="62">
        <f t="shared" si="42"/>
        <v>283.48738729114024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5.3846153846153868</v>
      </c>
      <c r="DO65" s="13">
        <f>IF('Données projet'!$A$166&gt;35,DO64+DN65-DW64,IF(A65&lt;'Données projet'!$A$166,$DL$205^A65,IF(A65='Données projet'!$A$166,'Données projet'!$B$166,DO64+DN65-DW64)))</f>
        <v>265.8974358974358</v>
      </c>
      <c r="DP65" s="18">
        <f>DO65*VLOOKUP('Données projet'!$B$14,Paramètres!$A$1:$I$89,3,0)*VLOOKUP('Données projet'!$B$14,Paramètres!$A$1:$I$89,5,0)</f>
        <v>178.36399999999995</v>
      </c>
      <c r="DQ65" s="14">
        <f t="shared" si="43"/>
        <v>44.958013118077915</v>
      </c>
      <c r="DR65" s="22">
        <f t="shared" si="16"/>
        <v>388.95250618065228</v>
      </c>
      <c r="DS65" s="62">
        <f t="shared" si="17"/>
        <v>682.28583951398559</v>
      </c>
      <c r="DT65" s="62">
        <f ca="1">AVERAGE(OFFSET($DS$3,0,0,'Données projet'!$E$14+1,1))-AVERAGE(OFFSET($H$3,0,0,'Données projet'!$E$14+1,1))</f>
        <v>343.33067866534634</v>
      </c>
      <c r="DU65" s="62">
        <f t="shared" si="44"/>
        <v>261.91036689641402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2">
        <f t="shared" si="0"/>
        <v>715.91532773426115</v>
      </c>
      <c r="S66" s="62">
        <f ca="1">AVERAGE(OFFSET($R$3,0,0,'Données projet'!$E$9+1,1))-AVERAGE(OFFSET($H$3,0,0,'Données projet'!$E$9+1,1))</f>
        <v>428.8489304403459</v>
      </c>
      <c r="T66" s="62">
        <f t="shared" si="34"/>
        <v>247.01165577562966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2">
        <f t="shared" si="5"/>
        <v>765.67034215791341</v>
      </c>
      <c r="AN66" s="62">
        <f ca="1">AVERAGE(OFFSET($AM$3,0,0,'Données projet'!$E$10+1,1))-AVERAGE(OFFSET($H$3,0,0,'Données projet'!$E$10+1,1))</f>
        <v>475.47920969424894</v>
      </c>
      <c r="AO66" s="62">
        <f t="shared" si="36"/>
        <v>271.73544012419364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207.56111999999996</v>
      </c>
      <c r="BF66" s="14">
        <f t="shared" si="37"/>
        <v>51.40226725537714</v>
      </c>
      <c r="BG66" s="22">
        <f t="shared" si="7"/>
        <v>451.02789946978169</v>
      </c>
      <c r="BH66" s="62">
        <f t="shared" si="8"/>
        <v>744.36123280311494</v>
      </c>
      <c r="BI66" s="62">
        <f ca="1">AVERAGE(OFFSET($BH$3,0,0,'Données projet'!$E$11+1,1))-AVERAGE(OFFSET($H$3,0,0,'Données projet'!$E$11+1,1))</f>
        <v>455.50822833641354</v>
      </c>
      <c r="BJ66" s="62">
        <f t="shared" si="38"/>
        <v>261.14722581688039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230.99543999999995</v>
      </c>
      <c r="CA66" s="14">
        <f t="shared" si="39"/>
        <v>56.497864803589785</v>
      </c>
      <c r="CB66" s="22">
        <f t="shared" si="10"/>
        <v>500.71750586625211</v>
      </c>
      <c r="CC66" s="62">
        <f t="shared" si="11"/>
        <v>794.05083919958543</v>
      </c>
      <c r="CD66" s="62">
        <f ca="1">AVERAGE(OFFSET($CC$3,0,0,'Données projet'!$E$12+1,1))-AVERAGE(OFFSET($H$3,0,0,'Données projet'!$E$12+1,1))</f>
        <v>502.07782026233912</v>
      </c>
      <c r="CE66" s="62">
        <f t="shared" si="40"/>
        <v>285.83623046025156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8.6666666666666661</v>
      </c>
      <c r="CT66" s="13">
        <f>IF('Données projet'!$A$140&gt;35,CT65+CS66-DB65,IF(A66&lt;'Données projet'!$A$140,$CQ$205^A66,IF(A66='Données projet'!$A$140,'Données projet'!$B$140,CT65+CS66-DB65)))</f>
        <v>275.99999999999994</v>
      </c>
      <c r="CU66" s="18">
        <f>CT66*VLOOKUP('Données projet'!$B$13,Paramètres!$A$1:$I$89,3,0)*VLOOKUP('Données projet'!$B$13,Paramètres!$A$1:$I$89,5,0)</f>
        <v>215.27999999999997</v>
      </c>
      <c r="CV66" s="14">
        <f t="shared" si="41"/>
        <v>53.087725740853138</v>
      </c>
      <c r="CW66" s="22">
        <f t="shared" si="13"/>
        <v>467.40712233198587</v>
      </c>
      <c r="CX66" s="62">
        <f t="shared" si="14"/>
        <v>760.74045566531913</v>
      </c>
      <c r="CY66" s="62">
        <f ca="1">AVERAGE(OFFSET($CX$3,0,0,'Données projet'!$E$13+1,1))-AVERAGE(OFFSET($H$3,0,0,'Données projet'!$E$13+1,1))</f>
        <v>289.19475369871481</v>
      </c>
      <c r="CZ66" s="62">
        <f t="shared" si="42"/>
        <v>283.48738729114024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5.3846153846153868</v>
      </c>
      <c r="DO66" s="13">
        <f>IF('Données projet'!$A$166&gt;35,DO65+DN66-DW65,IF(A66&lt;'Données projet'!$A$166,$DL$205^A66,IF(A66='Données projet'!$A$166,'Données projet'!$B$166,DO65+DN66-DW65)))</f>
        <v>271.28205128205116</v>
      </c>
      <c r="DP66" s="18">
        <f>DO66*VLOOKUP('Données projet'!$B$14,Paramètres!$A$1:$I$89,3,0)*VLOOKUP('Données projet'!$B$14,Paramètres!$A$1:$I$89,5,0)</f>
        <v>181.97599999999991</v>
      </c>
      <c r="DQ66" s="14">
        <f t="shared" si="43"/>
        <v>45.761530023303195</v>
      </c>
      <c r="DR66" s="22">
        <f t="shared" si="16"/>
        <v>396.6428647905862</v>
      </c>
      <c r="DS66" s="62">
        <f t="shared" si="17"/>
        <v>689.97619812391952</v>
      </c>
      <c r="DT66" s="62">
        <f ca="1">AVERAGE(OFFSET($DS$3,0,0,'Données projet'!$E$14+1,1))-AVERAGE(OFFSET($H$3,0,0,'Données projet'!$E$14+1,1))</f>
        <v>343.33067866534634</v>
      </c>
      <c r="DU66" s="62">
        <f t="shared" si="44"/>
        <v>261.91036689641402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2">
        <f t="shared" ref="R67:R130" si="55">Q67+(I67+J67)*44/12</f>
        <v>729.75884463141938</v>
      </c>
      <c r="S67" s="62">
        <f ca="1">AVERAGE(OFFSET($R$3,0,0,'Données projet'!$E$9+1,1))-AVERAGE(OFFSET($H$3,0,0,'Données projet'!$E$9+1,1))</f>
        <v>428.8489304403459</v>
      </c>
      <c r="T67" s="62">
        <f t="shared" si="34"/>
        <v>247.01165577562966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2">
        <f t="shared" si="5"/>
        <v>781.14775359505757</v>
      </c>
      <c r="AN67" s="62">
        <f ca="1">AVERAGE(OFFSET($AM$3,0,0,'Données projet'!$E$10+1,1))-AVERAGE(OFFSET($H$3,0,0,'Données projet'!$E$10+1,1))</f>
        <v>475.47920969424894</v>
      </c>
      <c r="AO67" s="62">
        <f t="shared" si="36"/>
        <v>271.73544012419364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214.52495999999994</v>
      </c>
      <c r="BF67" s="14">
        <f t="shared" si="37"/>
        <v>52.923173099085716</v>
      </c>
      <c r="BG67" s="22">
        <f t="shared" si="7"/>
        <v>465.80549848090754</v>
      </c>
      <c r="BH67" s="62">
        <f t="shared" si="8"/>
        <v>759.1388318142408</v>
      </c>
      <c r="BI67" s="62">
        <f ca="1">AVERAGE(OFFSET($BH$3,0,0,'Données projet'!$E$11+1,1))-AVERAGE(OFFSET($H$3,0,0,'Données projet'!$E$11+1,1))</f>
        <v>455.50822833641354</v>
      </c>
      <c r="BJ67" s="62">
        <f t="shared" si="38"/>
        <v>261.14722581688039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238.74551999999991</v>
      </c>
      <c r="CA67" s="14">
        <f t="shared" si="39"/>
        <v>58.169540730060781</v>
      </c>
      <c r="CB67" s="22">
        <f t="shared" si="10"/>
        <v>517.12706410485578</v>
      </c>
      <c r="CC67" s="62">
        <f t="shared" si="11"/>
        <v>810.46039743818915</v>
      </c>
      <c r="CD67" s="62">
        <f ca="1">AVERAGE(OFFSET($CC$3,0,0,'Données projet'!$E$12+1,1))-AVERAGE(OFFSET($H$3,0,0,'Données projet'!$E$12+1,1))</f>
        <v>502.07782026233912</v>
      </c>
      <c r="CE67" s="62">
        <f t="shared" si="40"/>
        <v>285.83623046025156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8.6666666666666661</v>
      </c>
      <c r="CT67" s="13">
        <f>IF('Données projet'!$A$140&gt;35,CT66+CS67-DB66,IF(A67&lt;'Données projet'!$A$140,$CQ$205^A67,IF(A67='Données projet'!$A$140,'Données projet'!$B$140,CT66+CS67-DB66)))</f>
        <v>284.66666666666663</v>
      </c>
      <c r="CU67" s="18">
        <f>CT67*VLOOKUP('Données projet'!$B$13,Paramètres!$A$1:$I$89,3,0)*VLOOKUP('Données projet'!$B$13,Paramètres!$A$1:$I$89,5,0)</f>
        <v>222.04</v>
      </c>
      <c r="CV67" s="14">
        <f t="shared" si="41"/>
        <v>54.558031180803546</v>
      </c>
      <c r="CW67" s="22">
        <f t="shared" si="13"/>
        <v>481.74157097323285</v>
      </c>
      <c r="CX67" s="62">
        <f t="shared" si="14"/>
        <v>775.07490430656617</v>
      </c>
      <c r="CY67" s="62">
        <f ca="1">AVERAGE(OFFSET($CX$3,0,0,'Données projet'!$E$13+1,1))-AVERAGE(OFFSET($H$3,0,0,'Données projet'!$E$13+1,1))</f>
        <v>289.19475369871481</v>
      </c>
      <c r="CZ67" s="62">
        <f t="shared" si="42"/>
        <v>283.48738729114024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5.3846153846153868</v>
      </c>
      <c r="DO67" s="13">
        <f>IF('Données projet'!$A$166&gt;35,DO66+DN67-DW66,IF(A67&lt;'Données projet'!$A$166,$DL$205^A67,IF(A67='Données projet'!$A$166,'Données projet'!$B$166,DO66+DN67-DW66)))</f>
        <v>276.66666666666652</v>
      </c>
      <c r="DP67" s="18">
        <f>DO67*VLOOKUP('Données projet'!$B$14,Paramètres!$A$1:$I$89,3,0)*VLOOKUP('Données projet'!$B$14,Paramètres!$A$1:$I$89,5,0)</f>
        <v>185.58799999999991</v>
      </c>
      <c r="DQ67" s="14">
        <f t="shared" si="43"/>
        <v>46.563192499694225</v>
      </c>
      <c r="DR67" s="22">
        <f t="shared" si="16"/>
        <v>404.32999360363391</v>
      </c>
      <c r="DS67" s="62">
        <f t="shared" si="17"/>
        <v>697.66332693696722</v>
      </c>
      <c r="DT67" s="62">
        <f ca="1">AVERAGE(OFFSET($DS$3,0,0,'Données projet'!$E$14+1,1))-AVERAGE(OFFSET($H$3,0,0,'Données projet'!$E$14+1,1))</f>
        <v>343.33067866534634</v>
      </c>
      <c r="DU67" s="62">
        <f t="shared" si="44"/>
        <v>261.91036689641402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2">
        <f t="shared" si="55"/>
        <v>743.59294134580057</v>
      </c>
      <c r="S68" s="62">
        <f ca="1">AVERAGE(OFFSET($R$3,0,0,'Données projet'!$E$9+1,1))-AVERAGE(OFFSET($H$3,0,0,'Données projet'!$E$9+1,1))</f>
        <v>428.8489304403459</v>
      </c>
      <c r="T68" s="62">
        <f t="shared" si="34"/>
        <v>247.01165577562966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2">
        <f t="shared" ref="AM68:AM131" si="59">AL68+(AD68+AE68)*44/12</f>
        <v>796.61474702637031</v>
      </c>
      <c r="AN68" s="62">
        <f ca="1">AVERAGE(OFFSET($AM$3,0,0,'Données projet'!$E$10+1,1))-AVERAGE(OFFSET($H$3,0,0,'Données projet'!$E$10+1,1))</f>
        <v>475.47920969424894</v>
      </c>
      <c r="AO68" s="62">
        <f t="shared" si="36"/>
        <v>271.73544012419364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221.48879999999991</v>
      </c>
      <c r="BF68" s="14">
        <f t="shared" si="37"/>
        <v>54.43834191952984</v>
      </c>
      <c r="BG68" s="22">
        <f t="shared" ref="BG68:BG131" si="61">(BE68+BF68)*0.475*44/12</f>
        <v>480.57310550984766</v>
      </c>
      <c r="BH68" s="62">
        <f t="shared" ref="BH68:BH131" si="62">BG68+(AY68+AZ68)*44/12</f>
        <v>773.90643884318092</v>
      </c>
      <c r="BI68" s="62">
        <f ca="1">AVERAGE(OFFSET($BH$3,0,0,'Données projet'!$E$11+1,1))-AVERAGE(OFFSET($H$3,0,0,'Données projet'!$E$11+1,1))</f>
        <v>455.50822833641354</v>
      </c>
      <c r="BJ68" s="62">
        <f t="shared" si="38"/>
        <v>261.14722581688039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246.49559999999991</v>
      </c>
      <c r="CA68" s="14">
        <f t="shared" si="39"/>
        <v>59.834910912017278</v>
      </c>
      <c r="CB68" s="22">
        <f t="shared" ref="CB68:CB131" si="64">(BZ68+CA68)*0.475*44/12</f>
        <v>533.52563983842992</v>
      </c>
      <c r="CC68" s="62">
        <f t="shared" ref="CC68:CC131" si="65">CB68+(BT68+BU68)*44/12</f>
        <v>826.85897317176318</v>
      </c>
      <c r="CD68" s="62">
        <f ca="1">AVERAGE(OFFSET($CC$3,0,0,'Données projet'!$E$12+1,1))-AVERAGE(OFFSET($H$3,0,0,'Données projet'!$E$12+1,1))</f>
        <v>502.07782026233912</v>
      </c>
      <c r="CE68" s="62">
        <f t="shared" si="40"/>
        <v>285.83623046025156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8.6666666666666661</v>
      </c>
      <c r="CT68" s="13">
        <f>IF('Données projet'!$A$140&gt;35,CT67+CS68-DB67,IF(A68&lt;'Données projet'!$A$140,$CQ$205^A68,IF(A68='Données projet'!$A$140,'Données projet'!$B$140,CT67+CS68-DB67)))</f>
        <v>293.33333333333331</v>
      </c>
      <c r="CU68" s="18">
        <f>CT68*VLOOKUP('Données projet'!$B$13,Paramètres!$A$1:$I$89,3,0)*VLOOKUP('Données projet'!$B$13,Paramètres!$A$1:$I$89,5,0)</f>
        <v>228.79999999999998</v>
      </c>
      <c r="CV68" s="14">
        <f t="shared" si="41"/>
        <v>56.023134533701196</v>
      </c>
      <c r="CW68" s="22">
        <f t="shared" ref="CW68:CW131" si="67">(CU68+CV68)*0.475*44/12</f>
        <v>496.06695931286293</v>
      </c>
      <c r="CX68" s="62">
        <f t="shared" ref="CX68:CX131" si="68">CW68+(CO68+CP68)*44/12</f>
        <v>789.40029264619625</v>
      </c>
      <c r="CY68" s="62">
        <f ca="1">AVERAGE(OFFSET($CX$3,0,0,'Données projet'!$E$13+1,1))-AVERAGE(OFFSET($H$3,0,0,'Données projet'!$E$13+1,1))</f>
        <v>289.19475369871481</v>
      </c>
      <c r="CZ68" s="62">
        <f t="shared" si="42"/>
        <v>283.48738729114024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282.05128205128204</v>
      </c>
      <c r="DM68" s="13">
        <f>VLOOKUP(A68,'Données projet'!$A$165:$I$185,9,0)</f>
        <v>5.3846153846153868</v>
      </c>
      <c r="DN68" s="13">
        <f t="array" ref="DN68">INDEX(DM:DM,MIN(IF(ISNUMBER(DM68:DM264),ROW(DM68:DM264),"")))</f>
        <v>5.3846153846153868</v>
      </c>
      <c r="DO68" s="13">
        <f>IF('Données projet'!$A$166&gt;35,DO67+DN68-DW67,IF(A68&lt;'Données projet'!$A$166,$DL$205^A68,IF(A68='Données projet'!$A$166,'Données projet'!$B$166,DO67+DN68-DW67)))</f>
        <v>282.05128205128187</v>
      </c>
      <c r="DP68" s="18">
        <f>DO68*VLOOKUP('Données projet'!$B$14,Paramètres!$A$1:$I$89,3,0)*VLOOKUP('Données projet'!$B$14,Paramètres!$A$1:$I$89,5,0)</f>
        <v>189.19999999999987</v>
      </c>
      <c r="DQ68" s="14">
        <f t="shared" si="43"/>
        <v>47.363040799609699</v>
      </c>
      <c r="DR68" s="22">
        <f t="shared" ref="DR68:DR131" si="70">(DP68+DQ68)*0.475*44/12</f>
        <v>412.01396272598663</v>
      </c>
      <c r="DS68" s="62">
        <f t="shared" ref="DS68:DS131" si="71">DR68+(DJ68+DK68)*44/12</f>
        <v>705.34729605931989</v>
      </c>
      <c r="DT68" s="62">
        <f ca="1">AVERAGE(OFFSET($DS$3,0,0,'Données projet'!$E$14+1,1))-AVERAGE(OFFSET($H$3,0,0,'Données projet'!$E$14+1,1))</f>
        <v>343.33067866534634</v>
      </c>
      <c r="DU68" s="62">
        <f t="shared" si="44"/>
        <v>261.91036689641402</v>
      </c>
      <c r="DV68" s="16">
        <f>IF(ISNA(VLOOKUP(A68,'Données projet'!$A$165:$I$185,3,0)),0,VLOOKUP(A68,'Données projet'!$A$165:$I$185,3,0))</f>
        <v>6</v>
      </c>
      <c r="DW68" s="16">
        <f>IF(ISNA(VLOOKUP(A68,'Données projet'!$A$165:$I$185,4,0)),0,VLOOKUP(A68,'Données projet'!$A$165:$I$185,4,0))</f>
        <v>31.410256410256409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2">
        <f t="shared" si="55"/>
        <v>756.65012524226813</v>
      </c>
      <c r="S69" s="62">
        <f ca="1">AVERAGE(OFFSET($R$3,0,0,'Données projet'!$E$9+1,1))-AVERAGE(OFFSET($H$3,0,0,'Données projet'!$E$9+1,1))</f>
        <v>428.8489304403459</v>
      </c>
      <c r="T69" s="62">
        <f t="shared" ref="T69:T132" si="88">$T$3</f>
        <v>247.01165577562966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2">
        <f t="shared" si="59"/>
        <v>811.21322649031208</v>
      </c>
      <c r="AN69" s="62">
        <f ca="1">AVERAGE(OFFSET($AM$3,0,0,'Données projet'!$E$10+1,1))-AVERAGE(OFFSET($H$3,0,0,'Données projet'!$E$10+1,1))</f>
        <v>475.47920969424894</v>
      </c>
      <c r="AO69" s="62">
        <f t="shared" ref="AO69:AO132" si="90">$AO$3</f>
        <v>271.73544012419364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228.06575999999993</v>
      </c>
      <c r="BF69" s="14">
        <f t="shared" ref="BF69:BF132" si="91">EXP(-1.0587+0.8836*LN(BE69)+0.284)</f>
        <v>55.864248276798108</v>
      </c>
      <c r="BG69" s="22">
        <f t="shared" si="61"/>
        <v>494.51143108208981</v>
      </c>
      <c r="BH69" s="62">
        <f t="shared" si="62"/>
        <v>787.84476441542313</v>
      </c>
      <c r="BI69" s="62">
        <f ca="1">AVERAGE(OFFSET($BH$3,0,0,'Données projet'!$E$11+1,1))-AVERAGE(OFFSET($H$3,0,0,'Données projet'!$E$11+1,1))</f>
        <v>455.50822833641354</v>
      </c>
      <c r="BJ69" s="62">
        <f t="shared" ref="BJ69:BJ132" si="92">$BJ$3</f>
        <v>261.14722581688039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253.81511999999992</v>
      </c>
      <c r="CA69" s="14">
        <f t="shared" ref="CA69:CA132" si="93">EXP(-1.0587+0.8836*LN(BZ69)+0.284)</f>
        <v>61.402169885153235</v>
      </c>
      <c r="CB69" s="22">
        <f t="shared" si="64"/>
        <v>549.00344654997514</v>
      </c>
      <c r="CC69" s="62">
        <f t="shared" si="65"/>
        <v>842.33677988330851</v>
      </c>
      <c r="CD69" s="62">
        <f ca="1">AVERAGE(OFFSET($CC$3,0,0,'Données projet'!$E$12+1,1))-AVERAGE(OFFSET($H$3,0,0,'Données projet'!$E$12+1,1))</f>
        <v>502.07782026233912</v>
      </c>
      <c r="CE69" s="62">
        <f t="shared" ref="CE69:CE132" si="94">$CE$3</f>
        <v>285.83623046025156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8.6666666666666661</v>
      </c>
      <c r="CT69" s="13">
        <f>IF('Données projet'!$A$140&gt;35,CT68+CS69-DB68,IF(A69&lt;'Données projet'!$A$140,$CQ$205^A69,IF(A69='Données projet'!$A$140,'Données projet'!$B$140,CT68+CS69-DB68)))</f>
        <v>302</v>
      </c>
      <c r="CU69" s="18">
        <f>CT69*VLOOKUP('Données projet'!$B$13,Paramètres!$A$1:$I$89,3,0)*VLOOKUP('Données projet'!$B$13,Paramètres!$A$1:$I$89,5,0)</f>
        <v>235.56</v>
      </c>
      <c r="CV69" s="14">
        <f t="shared" ref="CV69:CV132" si="95">EXP(-1.0587+0.8836*LN(CU69)+0.284)</f>
        <v>57.483207143847721</v>
      </c>
      <c r="CW69" s="22">
        <f t="shared" si="67"/>
        <v>510.38358577553481</v>
      </c>
      <c r="CX69" s="62">
        <f t="shared" si="68"/>
        <v>803.71691910886807</v>
      </c>
      <c r="CY69" s="62">
        <f ca="1">AVERAGE(OFFSET($CX$3,0,0,'Données projet'!$E$13+1,1))-AVERAGE(OFFSET($H$3,0,0,'Données projet'!$E$13+1,1))</f>
        <v>289.19475369871481</v>
      </c>
      <c r="CZ69" s="62">
        <f t="shared" ref="CZ69:CZ132" si="96">$CZ$3</f>
        <v>283.48738729114024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5.1282051282051269</v>
      </c>
      <c r="DO69" s="13">
        <f>IF('Données projet'!$A$166&gt;35,DO68+DN69-DW68,IF(A69&lt;'Données projet'!$A$166,$DL$205^A69,IF(A69='Données projet'!$A$166,'Données projet'!$B$166,DO68+DN69-DW68)))</f>
        <v>255.7692307692306</v>
      </c>
      <c r="DP69" s="18">
        <f>DO69*VLOOKUP('Données projet'!$B$14,Paramètres!$A$1:$I$89,3,0)*VLOOKUP('Données projet'!$B$14,Paramètres!$A$1:$I$89,5,0)</f>
        <v>171.56999999999988</v>
      </c>
      <c r="DQ69" s="14">
        <f t="shared" ref="DQ69:DQ132" si="97">EXP(-1.0587+0.8836*LN(DP69)+0.284)</f>
        <v>43.441463006771166</v>
      </c>
      <c r="DR69" s="22">
        <f t="shared" si="70"/>
        <v>374.47829807012619</v>
      </c>
      <c r="DS69" s="62">
        <f t="shared" si="71"/>
        <v>667.8116314034595</v>
      </c>
      <c r="DT69" s="62">
        <f ca="1">AVERAGE(OFFSET($DS$3,0,0,'Données projet'!$E$14+1,1))-AVERAGE(OFFSET($H$3,0,0,'Données projet'!$E$14+1,1))</f>
        <v>343.33067866534634</v>
      </c>
      <c r="DU69" s="62">
        <f t="shared" ref="DU69:DU132" si="98">$DU$3</f>
        <v>261.91036689641402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2">
        <f t="shared" si="55"/>
        <v>769.69946190259475</v>
      </c>
      <c r="S70" s="62">
        <f ca="1">AVERAGE(OFFSET($R$3,0,0,'Données projet'!$E$9+1,1))-AVERAGE(OFFSET($H$3,0,0,'Données projet'!$E$9+1,1))</f>
        <v>428.8489304403459</v>
      </c>
      <c r="T70" s="62">
        <f t="shared" si="88"/>
        <v>247.01165577562966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2">
        <f t="shared" si="59"/>
        <v>825.80302750779379</v>
      </c>
      <c r="AN70" s="62">
        <f ca="1">AVERAGE(OFFSET($AM$3,0,0,'Données projet'!$E$10+1,1))-AVERAGE(OFFSET($H$3,0,0,'Données projet'!$E$10+1,1))</f>
        <v>475.47920969424894</v>
      </c>
      <c r="AO70" s="62">
        <f t="shared" si="90"/>
        <v>271.73544012419364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234.64271999999994</v>
      </c>
      <c r="BF70" s="14">
        <f t="shared" si="91"/>
        <v>57.285375557336316</v>
      </c>
      <c r="BG70" s="22">
        <f t="shared" si="61"/>
        <v>508.44143309569387</v>
      </c>
      <c r="BH70" s="62">
        <f t="shared" si="62"/>
        <v>801.77476642902718</v>
      </c>
      <c r="BI70" s="62">
        <f ca="1">AVERAGE(OFFSET($BH$3,0,0,'Données projet'!$E$11+1,1))-AVERAGE(OFFSET($H$3,0,0,'Données projet'!$E$11+1,1))</f>
        <v>455.50822833641354</v>
      </c>
      <c r="BJ70" s="62">
        <f t="shared" si="92"/>
        <v>261.14722581688039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261.13463999999993</v>
      </c>
      <c r="CA70" s="14">
        <f t="shared" si="93"/>
        <v>62.964176023241265</v>
      </c>
      <c r="CB70" s="22">
        <f t="shared" si="64"/>
        <v>564.47210457381163</v>
      </c>
      <c r="CC70" s="62">
        <f t="shared" si="65"/>
        <v>857.80543790714501</v>
      </c>
      <c r="CD70" s="62">
        <f ca="1">AVERAGE(OFFSET($CC$3,0,0,'Données projet'!$E$12+1,1))-AVERAGE(OFFSET($H$3,0,0,'Données projet'!$E$12+1,1))</f>
        <v>502.07782026233912</v>
      </c>
      <c r="CE70" s="62">
        <f t="shared" si="94"/>
        <v>285.83623046025156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8.6666666666666661</v>
      </c>
      <c r="CT70" s="13">
        <f>IF('Données projet'!$A$140&gt;35,CT69+CS70-DB69,IF(A70&lt;'Données projet'!$A$140,$CQ$205^A70,IF(A70='Données projet'!$A$140,'Données projet'!$B$140,CT69+CS70-DB69)))</f>
        <v>310.66666666666669</v>
      </c>
      <c r="CU70" s="18">
        <f>CT70*VLOOKUP('Données projet'!$B$13,Paramètres!$A$1:$I$89,3,0)*VLOOKUP('Données projet'!$B$13,Paramètres!$A$1:$I$89,5,0)</f>
        <v>242.32000000000002</v>
      </c>
      <c r="CV70" s="14">
        <f t="shared" si="95"/>
        <v>58.938409961900859</v>
      </c>
      <c r="CW70" s="22">
        <f t="shared" si="67"/>
        <v>524.69173068364398</v>
      </c>
      <c r="CX70" s="62">
        <f t="shared" si="68"/>
        <v>818.02506401697724</v>
      </c>
      <c r="CY70" s="62">
        <f ca="1">AVERAGE(OFFSET($CX$3,0,0,'Données projet'!$E$13+1,1))-AVERAGE(OFFSET($H$3,0,0,'Données projet'!$E$13+1,1))</f>
        <v>289.19475369871481</v>
      </c>
      <c r="CZ70" s="62">
        <f t="shared" si="96"/>
        <v>283.48738729114024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5.1282051282051269</v>
      </c>
      <c r="DO70" s="13">
        <f>IF('Données projet'!$A$166&gt;35,DO69+DN70-DW69,IF(A70&lt;'Données projet'!$A$166,$DL$205^A70,IF(A70='Données projet'!$A$166,'Données projet'!$B$166,DO69+DN70-DW69)))</f>
        <v>260.89743589743574</v>
      </c>
      <c r="DP70" s="18">
        <f>DO70*VLOOKUP('Données projet'!$B$14,Paramètres!$A$1:$I$89,3,0)*VLOOKUP('Données projet'!$B$14,Paramètres!$A$1:$I$89,5,0)</f>
        <v>175.00999999999991</v>
      </c>
      <c r="DQ70" s="14">
        <f t="shared" si="97"/>
        <v>44.210193140944149</v>
      </c>
      <c r="DR70" s="22">
        <f t="shared" si="70"/>
        <v>381.80850305381085</v>
      </c>
      <c r="DS70" s="62">
        <f t="shared" si="71"/>
        <v>675.14183638714417</v>
      </c>
      <c r="DT70" s="62">
        <f ca="1">AVERAGE(OFFSET($DS$3,0,0,'Données projet'!$E$14+1,1))-AVERAGE(OFFSET($H$3,0,0,'Données projet'!$E$14+1,1))</f>
        <v>343.33067866534634</v>
      </c>
      <c r="DU70" s="62">
        <f t="shared" si="98"/>
        <v>261.91036689641402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2">
        <f t="shared" si="55"/>
        <v>782.74119655001107</v>
      </c>
      <c r="S71" s="62">
        <f ca="1">AVERAGE(OFFSET($R$3,0,0,'Données projet'!$E$9+1,1))-AVERAGE(OFFSET($H$3,0,0,'Données projet'!$E$9+1,1))</f>
        <v>428.8489304403459</v>
      </c>
      <c r="T71" s="62">
        <f t="shared" si="88"/>
        <v>247.01165577562966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2">
        <f t="shared" si="59"/>
        <v>840.38442127706139</v>
      </c>
      <c r="AN71" s="62">
        <f ca="1">AVERAGE(OFFSET($AM$3,0,0,'Données projet'!$E$10+1,1))-AVERAGE(OFFSET($H$3,0,0,'Données projet'!$E$10+1,1))</f>
        <v>475.47920969424894</v>
      </c>
      <c r="AO71" s="62">
        <f t="shared" si="90"/>
        <v>271.73544012419364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241.21967999999995</v>
      </c>
      <c r="BF71" s="14">
        <f t="shared" si="91"/>
        <v>58.701873105526744</v>
      </c>
      <c r="BG71" s="22">
        <f t="shared" si="61"/>
        <v>522.36337165879229</v>
      </c>
      <c r="BH71" s="62">
        <f t="shared" si="62"/>
        <v>815.69670499212566</v>
      </c>
      <c r="BI71" s="62">
        <f ca="1">AVERAGE(OFFSET($BH$3,0,0,'Données projet'!$E$11+1,1))-AVERAGE(OFFSET($H$3,0,0,'Données projet'!$E$11+1,1))</f>
        <v>455.50822833641354</v>
      </c>
      <c r="BJ71" s="62">
        <f t="shared" si="92"/>
        <v>261.14722581688039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268.45415999999994</v>
      </c>
      <c r="CA71" s="14">
        <f t="shared" si="93"/>
        <v>64.521093475436089</v>
      </c>
      <c r="CB71" s="22">
        <f t="shared" si="64"/>
        <v>579.93189980305101</v>
      </c>
      <c r="CC71" s="62">
        <f t="shared" si="65"/>
        <v>873.26523313638427</v>
      </c>
      <c r="CD71" s="62">
        <f ca="1">AVERAGE(OFFSET($CC$3,0,0,'Données projet'!$E$12+1,1))-AVERAGE(OFFSET($H$3,0,0,'Données projet'!$E$12+1,1))</f>
        <v>502.07782026233912</v>
      </c>
      <c r="CE71" s="62">
        <f t="shared" si="94"/>
        <v>285.83623046025156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8.6666666666666661</v>
      </c>
      <c r="CT71" s="13">
        <f>IF('Données projet'!$A$140&gt;35,CT70+CS71-DB70,IF(A71&lt;'Données projet'!$A$140,$CQ$205^A71,IF(A71='Données projet'!$A$140,'Données projet'!$B$140,CT70+CS71-DB70)))</f>
        <v>319.33333333333337</v>
      </c>
      <c r="CU71" s="18">
        <f>CT71*VLOOKUP('Données projet'!$B$13,Paramètres!$A$1:$I$89,3,0)*VLOOKUP('Données projet'!$B$13,Paramètres!$A$1:$I$89,5,0)</f>
        <v>249.08000000000004</v>
      </c>
      <c r="CV71" s="14">
        <f t="shared" si="95"/>
        <v>60.388894447487807</v>
      </c>
      <c r="CW71" s="22">
        <f t="shared" si="67"/>
        <v>538.99165782937473</v>
      </c>
      <c r="CX71" s="62">
        <f t="shared" si="68"/>
        <v>832.3249911627081</v>
      </c>
      <c r="CY71" s="62">
        <f ca="1">AVERAGE(OFFSET($CX$3,0,0,'Données projet'!$E$13+1,1))-AVERAGE(OFFSET($H$3,0,0,'Données projet'!$E$13+1,1))</f>
        <v>289.19475369871481</v>
      </c>
      <c r="CZ71" s="62">
        <f t="shared" si="96"/>
        <v>283.48738729114024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5.1282051282051269</v>
      </c>
      <c r="DO71" s="13">
        <f>IF('Données projet'!$A$166&gt;35,DO70+DN71-DW70,IF(A71&lt;'Données projet'!$A$166,$DL$205^A71,IF(A71='Données projet'!$A$166,'Données projet'!$B$166,DO70+DN71-DW70)))</f>
        <v>266.02564102564088</v>
      </c>
      <c r="DP71" s="18">
        <f>DO71*VLOOKUP('Données projet'!$B$14,Paramètres!$A$1:$I$89,3,0)*VLOOKUP('Données projet'!$B$14,Paramètres!$A$1:$I$89,5,0)</f>
        <v>178.4499999999999</v>
      </c>
      <c r="DQ71" s="14">
        <f t="shared" si="97"/>
        <v>44.9771663417241</v>
      </c>
      <c r="DR71" s="22">
        <f t="shared" si="70"/>
        <v>389.13564804516926</v>
      </c>
      <c r="DS71" s="62">
        <f t="shared" si="71"/>
        <v>682.46898137850258</v>
      </c>
      <c r="DT71" s="62">
        <f ca="1">AVERAGE(OFFSET($DS$3,0,0,'Données projet'!$E$14+1,1))-AVERAGE(OFFSET($H$3,0,0,'Données projet'!$E$14+1,1))</f>
        <v>343.33067866534634</v>
      </c>
      <c r="DU71" s="62">
        <f t="shared" si="98"/>
        <v>261.91036689641402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2">
        <f t="shared" si="55"/>
        <v>795.77556027438573</v>
      </c>
      <c r="S72" s="62">
        <f ca="1">AVERAGE(OFFSET($R$3,0,0,'Données projet'!$E$9+1,1))-AVERAGE(OFFSET($H$3,0,0,'Données projet'!$E$9+1,1))</f>
        <v>428.8489304403459</v>
      </c>
      <c r="T72" s="62">
        <f t="shared" si="88"/>
        <v>247.01165577562966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2">
        <f t="shared" si="59"/>
        <v>854.95766336593738</v>
      </c>
      <c r="AN72" s="62">
        <f ca="1">AVERAGE(OFFSET($AM$3,0,0,'Données projet'!$E$10+1,1))-AVERAGE(OFFSET($H$3,0,0,'Données projet'!$E$10+1,1))</f>
        <v>475.47920969424894</v>
      </c>
      <c r="AO72" s="62">
        <f t="shared" si="90"/>
        <v>271.73544012419364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247.79663999999997</v>
      </c>
      <c r="BF72" s="14">
        <f t="shared" si="91"/>
        <v>60.113881658336368</v>
      </c>
      <c r="BG72" s="22">
        <f t="shared" si="61"/>
        <v>536.27749188826908</v>
      </c>
      <c r="BH72" s="62">
        <f t="shared" si="62"/>
        <v>829.61082522160245</v>
      </c>
      <c r="BI72" s="62">
        <f ca="1">AVERAGE(OFFSET($BH$3,0,0,'Données projet'!$E$11+1,1))-AVERAGE(OFFSET($H$3,0,0,'Données projet'!$E$11+1,1))</f>
        <v>455.50822833641354</v>
      </c>
      <c r="BJ72" s="62">
        <f t="shared" si="92"/>
        <v>261.14722581688039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275.7736799999999</v>
      </c>
      <c r="CA72" s="14">
        <f t="shared" si="93"/>
        <v>66.073076930208813</v>
      </c>
      <c r="CB72" s="22">
        <f t="shared" si="64"/>
        <v>595.38310165344672</v>
      </c>
      <c r="CC72" s="62">
        <f t="shared" si="65"/>
        <v>888.71643498678009</v>
      </c>
      <c r="CD72" s="62">
        <f ca="1">AVERAGE(OFFSET($CC$3,0,0,'Données projet'!$E$12+1,1))-AVERAGE(OFFSET($H$3,0,0,'Données projet'!$E$12+1,1))</f>
        <v>502.07782026233912</v>
      </c>
      <c r="CE72" s="62">
        <f t="shared" si="94"/>
        <v>285.83623046025156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>
        <f>VLOOKUP(A72,'Données projet'!$A$139:$I$159,2,0)</f>
        <v>328</v>
      </c>
      <c r="CR72" s="13">
        <f>VLOOKUP(A72,'Données projet'!$A$139:$I$159,9,0)</f>
        <v>8.6666666666666661</v>
      </c>
      <c r="CS72" s="13">
        <f t="array" ref="CS72">INDEX(CR:CR,MIN(IF(ISNUMBER(CR72:CR268),ROW(CR72:CR268),"")))</f>
        <v>8.6666666666666661</v>
      </c>
      <c r="CT72" s="13">
        <f>IF('Données projet'!$A$140&gt;35,CT71+CS72-DB71,IF(A72&lt;'Données projet'!$A$140,$CQ$205^A72,IF(A72='Données projet'!$A$140,'Données projet'!$B$140,CT71+CS72-DB71)))</f>
        <v>328.00000000000006</v>
      </c>
      <c r="CU72" s="18">
        <f>CT72*VLOOKUP('Données projet'!$B$13,Paramètres!$A$1:$I$89,3,0)*VLOOKUP('Données projet'!$B$13,Paramètres!$A$1:$I$89,5,0)</f>
        <v>255.84000000000006</v>
      </c>
      <c r="CV72" s="14">
        <f t="shared" si="95"/>
        <v>61.834803371075836</v>
      </c>
      <c r="CW72" s="22">
        <f t="shared" si="67"/>
        <v>553.28361587129041</v>
      </c>
      <c r="CX72" s="62">
        <f t="shared" si="68"/>
        <v>846.61694920462378</v>
      </c>
      <c r="CY72" s="62">
        <f ca="1">AVERAGE(OFFSET($CX$3,0,0,'Données projet'!$E$13+1,1))-AVERAGE(OFFSET($H$3,0,0,'Données projet'!$E$13+1,1))</f>
        <v>289.19475369871481</v>
      </c>
      <c r="CZ72" s="62">
        <f t="shared" si="96"/>
        <v>283.48738729114024</v>
      </c>
      <c r="DA72" s="16">
        <f>IF(ISNA(VLOOKUP(A72,'Données projet'!$A$139:$I$159,3,0)),0,VLOOKUP(A72,'Données projet'!$A$139:$I$159,3,0))</f>
        <v>8</v>
      </c>
      <c r="DB72" s="16">
        <f>IF(ISNA(VLOOKUP(A72,'Données projet'!$A$139:$I$159,4,0)),0,VLOOKUP(A72,'Données projet'!$A$139:$I$159,4,0))</f>
        <v>328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5.1282051282051269</v>
      </c>
      <c r="DO72" s="13">
        <f>IF('Données projet'!$A$166&gt;35,DO71+DN72-DW71,IF(A72&lt;'Données projet'!$A$166,$DL$205^A72,IF(A72='Données projet'!$A$166,'Données projet'!$B$166,DO71+DN72-DW71)))</f>
        <v>271.15384615384602</v>
      </c>
      <c r="DP72" s="18">
        <f>DO72*VLOOKUP('Données projet'!$B$14,Paramètres!$A$1:$I$89,3,0)*VLOOKUP('Données projet'!$B$14,Paramètres!$A$1:$I$89,5,0)</f>
        <v>181.8899999999999</v>
      </c>
      <c r="DQ72" s="14">
        <f t="shared" si="97"/>
        <v>45.742420382341599</v>
      </c>
      <c r="DR72" s="22">
        <f t="shared" si="70"/>
        <v>396.45979883257809</v>
      </c>
      <c r="DS72" s="62">
        <f t="shared" si="71"/>
        <v>689.7931321659114</v>
      </c>
      <c r="DT72" s="62">
        <f ca="1">AVERAGE(OFFSET($DS$3,0,0,'Données projet'!$E$14+1,1))-AVERAGE(OFFSET($H$3,0,0,'Données projet'!$E$14+1,1))</f>
        <v>343.33067866534634</v>
      </c>
      <c r="DU72" s="62">
        <f t="shared" si="98"/>
        <v>261.91036689641402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2">
        <f t="shared" si="55"/>
        <v>808.80277120001347</v>
      </c>
      <c r="S73" s="62">
        <f ca="1">AVERAGE(OFFSET($R$3,0,0,'Données projet'!$E$9+1,1))-AVERAGE(OFFSET($H$3,0,0,'Données projet'!$E$9+1,1))</f>
        <v>428.8489304403459</v>
      </c>
      <c r="T73" s="62">
        <f t="shared" si="88"/>
        <v>247.01165577562966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2">
        <f t="shared" si="59"/>
        <v>869.52299500330537</v>
      </c>
      <c r="AN73" s="62">
        <f ca="1">AVERAGE(OFFSET($AM$3,0,0,'Données projet'!$E$10+1,1))-AVERAGE(OFFSET($H$3,0,0,'Données projet'!$E$10+1,1))</f>
        <v>475.47920969424894</v>
      </c>
      <c r="AO73" s="62">
        <f t="shared" si="90"/>
        <v>271.73544012419364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254.37359999999998</v>
      </c>
      <c r="BF73" s="14">
        <f t="shared" si="91"/>
        <v>61.521534056516209</v>
      </c>
      <c r="BG73" s="22">
        <f t="shared" si="61"/>
        <v>550.1840251484324</v>
      </c>
      <c r="BH73" s="62">
        <f t="shared" si="62"/>
        <v>843.51735848176577</v>
      </c>
      <c r="BI73" s="62">
        <f ca="1">AVERAGE(OFFSET($BH$3,0,0,'Données projet'!$E$11+1,1))-AVERAGE(OFFSET($H$3,0,0,'Données projet'!$E$11+1,1))</f>
        <v>455.50822833641354</v>
      </c>
      <c r="BJ73" s="62">
        <f t="shared" si="92"/>
        <v>261.14722581688039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283.09319999999991</v>
      </c>
      <c r="CA73" s="14">
        <f t="shared" si="93"/>
        <v>67.620272397048666</v>
      </c>
      <c r="CB73" s="22">
        <f t="shared" si="64"/>
        <v>610.82596442485954</v>
      </c>
      <c r="CC73" s="62">
        <f t="shared" si="65"/>
        <v>904.15929775819291</v>
      </c>
      <c r="CD73" s="62">
        <f ca="1">AVERAGE(OFFSET($CC$3,0,0,'Données projet'!$E$12+1,1))-AVERAGE(OFFSET($H$3,0,0,'Données projet'!$E$12+1,1))</f>
        <v>502.07782026233912</v>
      </c>
      <c r="CE73" s="62">
        <f t="shared" si="94"/>
        <v>285.83623046025156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5.6843418860808015E-14</v>
      </c>
      <c r="CU73" s="18">
        <f>CT73*VLOOKUP('Données projet'!$B$13,Paramètres!$A$1:$I$89,3,0)*VLOOKUP('Données projet'!$B$13,Paramètres!$A$1:$I$89,5,0)</f>
        <v>4.4337866711430253E-14</v>
      </c>
      <c r="CV73" s="14">
        <f t="shared" si="95"/>
        <v>7.3222115536967035E-13</v>
      </c>
      <c r="CW73" s="22">
        <f t="shared" si="67"/>
        <v>1.3525069634579169E-12</v>
      </c>
      <c r="CX73" s="62">
        <f t="shared" si="68"/>
        <v>293.33333333333468</v>
      </c>
      <c r="CY73" s="62">
        <f ca="1">AVERAGE(OFFSET($CX$3,0,0,'Données projet'!$E$13+1,1))-AVERAGE(OFFSET($H$3,0,0,'Données projet'!$E$13+1,1))</f>
        <v>289.19475369871481</v>
      </c>
      <c r="CZ73" s="62">
        <f t="shared" si="96"/>
        <v>283.48738729114024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276.28205128205127</v>
      </c>
      <c r="DM73" s="13">
        <f>VLOOKUP(A73,'Données projet'!$A$165:$I$185,9,0)</f>
        <v>5.1282051282051269</v>
      </c>
      <c r="DN73" s="13">
        <f t="array" ref="DN73">INDEX(DM:DM,MIN(IF(ISNUMBER(DM73:DM269),ROW(DM73:DM269),"")))</f>
        <v>5.1282051282051269</v>
      </c>
      <c r="DO73" s="13">
        <f>IF('Données projet'!$A$166&gt;35,DO72+DN73-DW72,IF(A73&lt;'Données projet'!$A$166,$DL$205^A73,IF(A73='Données projet'!$A$166,'Données projet'!$B$166,DO72+DN73-DW72)))</f>
        <v>276.28205128205116</v>
      </c>
      <c r="DP73" s="18">
        <f>DO73*VLOOKUP('Données projet'!$B$14,Paramètres!$A$1:$I$89,3,0)*VLOOKUP('Données projet'!$B$14,Paramètres!$A$1:$I$89,5,0)</f>
        <v>185.32999999999993</v>
      </c>
      <c r="DQ73" s="14">
        <f t="shared" si="97"/>
        <v>46.505991525491268</v>
      </c>
      <c r="DR73" s="22">
        <f t="shared" si="70"/>
        <v>403.78101857356381</v>
      </c>
      <c r="DS73" s="62">
        <f t="shared" si="71"/>
        <v>697.11435190689713</v>
      </c>
      <c r="DT73" s="62">
        <f ca="1">AVERAGE(OFFSET($DS$3,0,0,'Données projet'!$E$14+1,1))-AVERAGE(OFFSET($H$3,0,0,'Données projet'!$E$14+1,1))</f>
        <v>343.33067866534634</v>
      </c>
      <c r="DU73" s="62">
        <f t="shared" si="98"/>
        <v>261.91036689641402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2">
        <f t="shared" si="55"/>
        <v>740.13528187395309</v>
      </c>
      <c r="S74" s="62">
        <f ca="1">AVERAGE(OFFSET($R$3,0,0,'Données projet'!$E$9+1,1))-AVERAGE(OFFSET($H$3,0,0,'Données projet'!$E$9+1,1))</f>
        <v>428.8489304403459</v>
      </c>
      <c r="T74" s="62">
        <f t="shared" si="88"/>
        <v>247.01165577562966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2">
        <f t="shared" si="59"/>
        <v>792.74895496845193</v>
      </c>
      <c r="AN74" s="62">
        <f ca="1">AVERAGE(OFFSET($AM$3,0,0,'Données projet'!$E$10+1,1))-AVERAGE(OFFSET($H$3,0,0,'Données projet'!$E$10+1,1))</f>
        <v>475.47920969424894</v>
      </c>
      <c r="AO74" s="62">
        <f t="shared" si="90"/>
        <v>271.73544012419364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219.74783999999994</v>
      </c>
      <c r="BF74" s="14">
        <f t="shared" si="91"/>
        <v>54.060076332940561</v>
      </c>
      <c r="BG74" s="22">
        <f t="shared" si="61"/>
        <v>476.88212094653812</v>
      </c>
      <c r="BH74" s="62">
        <f t="shared" si="62"/>
        <v>770.21545427987144</v>
      </c>
      <c r="BI74" s="62">
        <f ca="1">AVERAGE(OFFSET($BH$3,0,0,'Données projet'!$E$11+1,1))-AVERAGE(OFFSET($H$3,0,0,'Données projet'!$E$11+1,1))</f>
        <v>455.50822833641354</v>
      </c>
      <c r="BJ74" s="62">
        <f t="shared" si="92"/>
        <v>261.14722581688039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244.55807999999993</v>
      </c>
      <c r="CA74" s="14">
        <f t="shared" si="93"/>
        <v>59.419147189674156</v>
      </c>
      <c r="CB74" s="22">
        <f t="shared" si="64"/>
        <v>529.42700402201569</v>
      </c>
      <c r="CC74" s="62">
        <f t="shared" si="65"/>
        <v>822.76033735534907</v>
      </c>
      <c r="CD74" s="62">
        <f ca="1">AVERAGE(OFFSET($CC$3,0,0,'Données projet'!$E$12+1,1))-AVERAGE(OFFSET($H$3,0,0,'Données projet'!$E$12+1,1))</f>
        <v>502.07782026233912</v>
      </c>
      <c r="CE74" s="62">
        <f t="shared" si="94"/>
        <v>285.83623046025156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5.6843418860808015E-14</v>
      </c>
      <c r="CU74" s="18">
        <f>CT74*VLOOKUP('Données projet'!$B$13,Paramètres!$A$1:$I$89,3,0)*VLOOKUP('Données projet'!$B$13,Paramètres!$A$1:$I$89,5,0)</f>
        <v>4.4337866711430253E-14</v>
      </c>
      <c r="CV74" s="14">
        <f t="shared" si="95"/>
        <v>7.3222115536967035E-13</v>
      </c>
      <c r="CW74" s="22">
        <f t="shared" si="67"/>
        <v>1.3525069634579169E-12</v>
      </c>
      <c r="CX74" s="62">
        <f t="shared" si="68"/>
        <v>293.33333333333468</v>
      </c>
      <c r="CY74" s="62">
        <f ca="1">AVERAGE(OFFSET($CX$3,0,0,'Données projet'!$E$13+1,1))-AVERAGE(OFFSET($H$3,0,0,'Données projet'!$E$13+1,1))</f>
        <v>289.19475369871481</v>
      </c>
      <c r="CZ74" s="62">
        <f t="shared" si="96"/>
        <v>283.48738729114024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4.8717948717948731</v>
      </c>
      <c r="DO74" s="13">
        <f>IF('Données projet'!$A$166&gt;35,DO73+DN74-DW73,IF(A74&lt;'Données projet'!$A$166,$DL$205^A74,IF(A74='Données projet'!$A$166,'Données projet'!$B$166,DO73+DN74-DW73)))</f>
        <v>281.15384615384602</v>
      </c>
      <c r="DP74" s="18">
        <f>DO74*VLOOKUP('Données projet'!$B$14,Paramètres!$A$1:$I$89,3,0)*VLOOKUP('Données projet'!$B$14,Paramètres!$A$1:$I$89,5,0)</f>
        <v>188.5979999999999</v>
      </c>
      <c r="DQ74" s="14">
        <f t="shared" si="97"/>
        <v>47.229857075388068</v>
      </c>
      <c r="DR74" s="22">
        <f t="shared" si="70"/>
        <v>410.73351773963401</v>
      </c>
      <c r="DS74" s="62">
        <f t="shared" si="71"/>
        <v>704.06685107296732</v>
      </c>
      <c r="DT74" s="62">
        <f ca="1">AVERAGE(OFFSET($DS$3,0,0,'Données projet'!$E$14+1,1))-AVERAGE(OFFSET($H$3,0,0,'Données projet'!$E$14+1,1))</f>
        <v>343.33067866534634</v>
      </c>
      <c r="DU74" s="62">
        <f t="shared" si="98"/>
        <v>261.91036689641402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2">
        <f t="shared" si="55"/>
        <v>752.04261652954642</v>
      </c>
      <c r="S75" s="62">
        <f ca="1">AVERAGE(OFFSET($R$3,0,0,'Données projet'!$E$9+1,1))-AVERAGE(OFFSET($H$3,0,0,'Données projet'!$E$9+1,1))</f>
        <v>428.8489304403459</v>
      </c>
      <c r="T75" s="62">
        <f t="shared" si="88"/>
        <v>247.01165577562966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2">
        <f t="shared" si="59"/>
        <v>806.06182740569329</v>
      </c>
      <c r="AN75" s="62">
        <f ca="1">AVERAGE(OFFSET($AM$3,0,0,'Données projet'!$E$10+1,1))-AVERAGE(OFFSET($H$3,0,0,'Données projet'!$E$10+1,1))</f>
        <v>475.47920969424894</v>
      </c>
      <c r="AO75" s="62">
        <f t="shared" si="90"/>
        <v>271.73544012419364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225.74447999999992</v>
      </c>
      <c r="BF75" s="14">
        <f t="shared" si="91"/>
        <v>55.36154088431374</v>
      </c>
      <c r="BG75" s="22">
        <f t="shared" si="61"/>
        <v>489.59298637351299</v>
      </c>
      <c r="BH75" s="62">
        <f t="shared" si="62"/>
        <v>782.92631970684624</v>
      </c>
      <c r="BI75" s="62">
        <f ca="1">AVERAGE(OFFSET($BH$3,0,0,'Données projet'!$E$11+1,1))-AVERAGE(OFFSET($H$3,0,0,'Données projet'!$E$11+1,1))</f>
        <v>455.50822833641354</v>
      </c>
      <c r="BJ75" s="62">
        <f t="shared" si="92"/>
        <v>261.14722581688039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251.23175999999989</v>
      </c>
      <c r="CA75" s="14">
        <f t="shared" si="93"/>
        <v>60.849628220886878</v>
      </c>
      <c r="CB75" s="22">
        <f t="shared" si="64"/>
        <v>543.54175115137775</v>
      </c>
      <c r="CC75" s="62">
        <f t="shared" si="65"/>
        <v>836.87508448471112</v>
      </c>
      <c r="CD75" s="62">
        <f ca="1">AVERAGE(OFFSET($CC$3,0,0,'Données projet'!$E$12+1,1))-AVERAGE(OFFSET($H$3,0,0,'Données projet'!$E$12+1,1))</f>
        <v>502.07782026233912</v>
      </c>
      <c r="CE75" s="62">
        <f t="shared" si="94"/>
        <v>285.83623046025156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5.6843418860808015E-14</v>
      </c>
      <c r="CU75" s="18">
        <f>CT75*VLOOKUP('Données projet'!$B$13,Paramètres!$A$1:$I$89,3,0)*VLOOKUP('Données projet'!$B$13,Paramètres!$A$1:$I$89,5,0)</f>
        <v>4.4337866711430253E-14</v>
      </c>
      <c r="CV75" s="14">
        <f t="shared" si="95"/>
        <v>7.3222115536967035E-13</v>
      </c>
      <c r="CW75" s="22">
        <f t="shared" si="67"/>
        <v>1.3525069634579169E-12</v>
      </c>
      <c r="CX75" s="62">
        <f t="shared" si="68"/>
        <v>293.33333333333468</v>
      </c>
      <c r="CY75" s="62">
        <f ca="1">AVERAGE(OFFSET($CX$3,0,0,'Données projet'!$E$13+1,1))-AVERAGE(OFFSET($H$3,0,0,'Données projet'!$E$13+1,1))</f>
        <v>289.19475369871481</v>
      </c>
      <c r="CZ75" s="62">
        <f t="shared" si="96"/>
        <v>283.48738729114024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4.8717948717948731</v>
      </c>
      <c r="DO75" s="13">
        <f>IF('Données projet'!$A$166&gt;35,DO74+DN75-DW74,IF(A75&lt;'Données projet'!$A$166,$DL$205^A75,IF(A75='Données projet'!$A$166,'Données projet'!$B$166,DO74+DN75-DW74)))</f>
        <v>286.02564102564088</v>
      </c>
      <c r="DP75" s="18">
        <f>DO75*VLOOKUP('Données projet'!$B$14,Paramètres!$A$1:$I$89,3,0)*VLOOKUP('Données projet'!$B$14,Paramètres!$A$1:$I$89,5,0)</f>
        <v>191.8659999999999</v>
      </c>
      <c r="DQ75" s="14">
        <f t="shared" si="97"/>
        <v>47.952264009442324</v>
      </c>
      <c r="DR75" s="22">
        <f t="shared" si="70"/>
        <v>417.68347648311186</v>
      </c>
      <c r="DS75" s="62">
        <f t="shared" si="71"/>
        <v>711.01680981644517</v>
      </c>
      <c r="DT75" s="62">
        <f ca="1">AVERAGE(OFFSET($DS$3,0,0,'Données projet'!$E$14+1,1))-AVERAGE(OFFSET($H$3,0,0,'Données projet'!$E$14+1,1))</f>
        <v>343.33067866534634</v>
      </c>
      <c r="DU75" s="62">
        <f t="shared" si="98"/>
        <v>261.91036689641402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2">
        <f t="shared" si="55"/>
        <v>763.94335289202195</v>
      </c>
      <c r="S76" s="62">
        <f ca="1">AVERAGE(OFFSET($R$3,0,0,'Données projet'!$E$9+1,1))-AVERAGE(OFFSET($H$3,0,0,'Données projet'!$E$9+1,1))</f>
        <v>428.8489304403459</v>
      </c>
      <c r="T76" s="62">
        <f t="shared" si="88"/>
        <v>247.01165577562966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2">
        <f t="shared" si="59"/>
        <v>819.36740263248726</v>
      </c>
      <c r="AN76" s="62">
        <f ca="1">AVERAGE(OFFSET($AM$3,0,0,'Données projet'!$E$10+1,1))-AVERAGE(OFFSET($H$3,0,0,'Données projet'!$E$10+1,1))</f>
        <v>475.47920969424894</v>
      </c>
      <c r="AO76" s="62">
        <f t="shared" si="90"/>
        <v>271.73544012419364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231.74111999999991</v>
      </c>
      <c r="BF76" s="14">
        <f t="shared" si="91"/>
        <v>56.658986982752438</v>
      </c>
      <c r="BG76" s="22">
        <f t="shared" si="61"/>
        <v>502.29685299496032</v>
      </c>
      <c r="BH76" s="62">
        <f t="shared" si="62"/>
        <v>795.63018632829358</v>
      </c>
      <c r="BI76" s="62">
        <f ca="1">AVERAGE(OFFSET($BH$3,0,0,'Données projet'!$E$11+1,1))-AVERAGE(OFFSET($H$3,0,0,'Données projet'!$E$11+1,1))</f>
        <v>455.50822833641354</v>
      </c>
      <c r="BJ76" s="62">
        <f t="shared" si="92"/>
        <v>261.14722581688039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257.90543999999989</v>
      </c>
      <c r="CA76" s="14">
        <f t="shared" si="93"/>
        <v>62.275692442827719</v>
      </c>
      <c r="CB76" s="22">
        <f t="shared" si="64"/>
        <v>557.64880567125817</v>
      </c>
      <c r="CC76" s="62">
        <f t="shared" si="65"/>
        <v>850.98213900459155</v>
      </c>
      <c r="CD76" s="62">
        <f ca="1">AVERAGE(OFFSET($CC$3,0,0,'Données projet'!$E$12+1,1))-AVERAGE(OFFSET($H$3,0,0,'Données projet'!$E$12+1,1))</f>
        <v>502.07782026233912</v>
      </c>
      <c r="CE76" s="62">
        <f t="shared" si="94"/>
        <v>285.83623046025156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5.6843418860808015E-14</v>
      </c>
      <c r="CU76" s="18">
        <f>CT76*VLOOKUP('Données projet'!$B$13,Paramètres!$A$1:$I$89,3,0)*VLOOKUP('Données projet'!$B$13,Paramètres!$A$1:$I$89,5,0)</f>
        <v>4.4337866711430253E-14</v>
      </c>
      <c r="CV76" s="14">
        <f t="shared" si="95"/>
        <v>7.3222115536967035E-13</v>
      </c>
      <c r="CW76" s="22">
        <f t="shared" si="67"/>
        <v>1.3525069634579169E-12</v>
      </c>
      <c r="CX76" s="62">
        <f t="shared" si="68"/>
        <v>293.33333333333468</v>
      </c>
      <c r="CY76" s="62">
        <f ca="1">AVERAGE(OFFSET($CX$3,0,0,'Données projet'!$E$13+1,1))-AVERAGE(OFFSET($H$3,0,0,'Données projet'!$E$13+1,1))</f>
        <v>289.19475369871481</v>
      </c>
      <c r="CZ76" s="62">
        <f t="shared" si="96"/>
        <v>283.48738729114024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4.8717948717948731</v>
      </c>
      <c r="DO76" s="13">
        <f>IF('Données projet'!$A$166&gt;35,DO75+DN76-DW75,IF(A76&lt;'Données projet'!$A$166,$DL$205^A76,IF(A76='Données projet'!$A$166,'Données projet'!$B$166,DO75+DN76-DW75)))</f>
        <v>290.89743589743574</v>
      </c>
      <c r="DP76" s="18">
        <f>DO76*VLOOKUP('Données projet'!$B$14,Paramètres!$A$1:$I$89,3,0)*VLOOKUP('Données projet'!$B$14,Paramètres!$A$1:$I$89,5,0)</f>
        <v>195.1339999999999</v>
      </c>
      <c r="DQ76" s="14">
        <f t="shared" si="97"/>
        <v>48.673240038938658</v>
      </c>
      <c r="DR76" s="22">
        <f t="shared" si="70"/>
        <v>424.63094306781801</v>
      </c>
      <c r="DS76" s="62">
        <f t="shared" si="71"/>
        <v>717.96427640115132</v>
      </c>
      <c r="DT76" s="62">
        <f ca="1">AVERAGE(OFFSET($DS$3,0,0,'Données projet'!$E$14+1,1))-AVERAGE(OFFSET($H$3,0,0,'Données projet'!$E$14+1,1))</f>
        <v>343.33067866534634</v>
      </c>
      <c r="DU76" s="62">
        <f t="shared" si="98"/>
        <v>261.91036689641402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2">
        <f t="shared" si="55"/>
        <v>775.83768133226158</v>
      </c>
      <c r="S77" s="62">
        <f ca="1">AVERAGE(OFFSET($R$3,0,0,'Données projet'!$E$9+1,1))-AVERAGE(OFFSET($H$3,0,0,'Données projet'!$E$9+1,1))</f>
        <v>428.8489304403459</v>
      </c>
      <c r="T77" s="62">
        <f t="shared" si="88"/>
        <v>247.01165577562966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2">
        <f t="shared" si="59"/>
        <v>832.66589118455317</v>
      </c>
      <c r="AN77" s="62">
        <f ca="1">AVERAGE(OFFSET($AM$3,0,0,'Données projet'!$E$10+1,1))-AVERAGE(OFFSET($H$3,0,0,'Données projet'!$E$10+1,1))</f>
        <v>475.47920969424894</v>
      </c>
      <c r="AO77" s="62">
        <f t="shared" si="90"/>
        <v>271.73544012419364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237.73775999999989</v>
      </c>
      <c r="BF77" s="14">
        <f t="shared" si="91"/>
        <v>57.952530566790166</v>
      </c>
      <c r="BG77" s="22">
        <f t="shared" si="61"/>
        <v>514.99392273715932</v>
      </c>
      <c r="BH77" s="62">
        <f t="shared" si="62"/>
        <v>808.32725607049269</v>
      </c>
      <c r="BI77" s="62">
        <f ca="1">AVERAGE(OFFSET($BH$3,0,0,'Données projet'!$E$11+1,1))-AVERAGE(OFFSET($H$3,0,0,'Données projet'!$E$11+1,1))</f>
        <v>455.50822833641354</v>
      </c>
      <c r="BJ77" s="62">
        <f t="shared" si="92"/>
        <v>261.14722581688039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264.57911999999988</v>
      </c>
      <c r="CA77" s="14">
        <f t="shared" si="93"/>
        <v>63.697467287221869</v>
      </c>
      <c r="CB77" s="22">
        <f t="shared" si="64"/>
        <v>571.74838952524453</v>
      </c>
      <c r="CC77" s="62">
        <f t="shared" si="65"/>
        <v>865.0817228585779</v>
      </c>
      <c r="CD77" s="62">
        <f ca="1">AVERAGE(OFFSET($CC$3,0,0,'Données projet'!$E$12+1,1))-AVERAGE(OFFSET($H$3,0,0,'Données projet'!$E$12+1,1))</f>
        <v>502.07782026233912</v>
      </c>
      <c r="CE77" s="62">
        <f t="shared" si="94"/>
        <v>285.83623046025156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5.6843418860808015E-14</v>
      </c>
      <c r="CU77" s="18">
        <f>CT77*VLOOKUP('Données projet'!$B$13,Paramètres!$A$1:$I$89,3,0)*VLOOKUP('Données projet'!$B$13,Paramètres!$A$1:$I$89,5,0)</f>
        <v>4.4337866711430253E-14</v>
      </c>
      <c r="CV77" s="14">
        <f t="shared" si="95"/>
        <v>7.3222115536967035E-13</v>
      </c>
      <c r="CW77" s="22">
        <f t="shared" si="67"/>
        <v>1.3525069634579169E-12</v>
      </c>
      <c r="CX77" s="62">
        <f t="shared" si="68"/>
        <v>293.33333333333468</v>
      </c>
      <c r="CY77" s="62">
        <f ca="1">AVERAGE(OFFSET($CX$3,0,0,'Données projet'!$E$13+1,1))-AVERAGE(OFFSET($H$3,0,0,'Données projet'!$E$13+1,1))</f>
        <v>289.19475369871481</v>
      </c>
      <c r="CZ77" s="62">
        <f t="shared" si="96"/>
        <v>283.48738729114024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4.8717948717948731</v>
      </c>
      <c r="DO77" s="13">
        <f>IF('Données projet'!$A$166&gt;35,DO76+DN77-DW76,IF(A77&lt;'Données projet'!$A$166,$DL$205^A77,IF(A77='Données projet'!$A$166,'Données projet'!$B$166,DO76+DN77-DW76)))</f>
        <v>295.7692307692306</v>
      </c>
      <c r="DP77" s="18">
        <f>DO77*VLOOKUP('Données projet'!$B$14,Paramètres!$A$1:$I$89,3,0)*VLOOKUP('Données projet'!$B$14,Paramètres!$A$1:$I$89,5,0)</f>
        <v>198.4019999999999</v>
      </c>
      <c r="DQ77" s="14">
        <f t="shared" si="97"/>
        <v>49.392811893773114</v>
      </c>
      <c r="DR77" s="22">
        <f t="shared" si="70"/>
        <v>431.57596404832128</v>
      </c>
      <c r="DS77" s="62">
        <f t="shared" si="71"/>
        <v>724.9092973816546</v>
      </c>
      <c r="DT77" s="62">
        <f ca="1">AVERAGE(OFFSET($DS$3,0,0,'Données projet'!$E$14+1,1))-AVERAGE(OFFSET($H$3,0,0,'Données projet'!$E$14+1,1))</f>
        <v>343.33067866534634</v>
      </c>
      <c r="DU77" s="62">
        <f t="shared" si="98"/>
        <v>261.91036689641402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2">
        <f t="shared" si="55"/>
        <v>787.72578207012918</v>
      </c>
      <c r="S78" s="62">
        <f ca="1">AVERAGE(OFFSET($R$3,0,0,'Données projet'!$E$9+1,1))-AVERAGE(OFFSET($H$3,0,0,'Données projet'!$E$9+1,1))</f>
        <v>428.8489304403459</v>
      </c>
      <c r="T78" s="62">
        <f t="shared" si="88"/>
        <v>247.01165577562966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2">
        <f t="shared" si="59"/>
        <v>845.95749237135647</v>
      </c>
      <c r="AN78" s="62">
        <f ca="1">AVERAGE(OFFSET($AM$3,0,0,'Données projet'!$E$10+1,1))-AVERAGE(OFFSET($H$3,0,0,'Données projet'!$E$10+1,1))</f>
        <v>475.47920969424894</v>
      </c>
      <c r="AO78" s="62">
        <f t="shared" si="90"/>
        <v>271.73544012419364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243.73439999999988</v>
      </c>
      <c r="BF78" s="14">
        <f t="shared" si="91"/>
        <v>59.242281392848767</v>
      </c>
      <c r="BG78" s="22">
        <f t="shared" si="61"/>
        <v>527.68438675921141</v>
      </c>
      <c r="BH78" s="62">
        <f t="shared" si="62"/>
        <v>821.01772009254478</v>
      </c>
      <c r="BI78" s="62">
        <f ca="1">AVERAGE(OFFSET($BH$3,0,0,'Données projet'!$E$11+1,1))-AVERAGE(OFFSET($H$3,0,0,'Données projet'!$E$11+1,1))</f>
        <v>455.50822833641354</v>
      </c>
      <c r="BJ78" s="62">
        <f t="shared" si="92"/>
        <v>261.14722581688039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271.25279999999987</v>
      </c>
      <c r="CA78" s="14">
        <f t="shared" si="93"/>
        <v>65.115073390838859</v>
      </c>
      <c r="CB78" s="22">
        <f t="shared" si="64"/>
        <v>585.84071282237744</v>
      </c>
      <c r="CC78" s="62">
        <f t="shared" si="65"/>
        <v>879.17404615571081</v>
      </c>
      <c r="CD78" s="62">
        <f ca="1">AVERAGE(OFFSET($CC$3,0,0,'Données projet'!$E$12+1,1))-AVERAGE(OFFSET($H$3,0,0,'Données projet'!$E$12+1,1))</f>
        <v>502.07782026233912</v>
      </c>
      <c r="CE78" s="62">
        <f t="shared" si="94"/>
        <v>285.83623046025156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5.6843418860808015E-14</v>
      </c>
      <c r="CU78" s="18">
        <f>CT78*VLOOKUP('Données projet'!$B$13,Paramètres!$A$1:$I$89,3,0)*VLOOKUP('Données projet'!$B$13,Paramètres!$A$1:$I$89,5,0)</f>
        <v>4.4337866711430253E-14</v>
      </c>
      <c r="CV78" s="14">
        <f t="shared" si="95"/>
        <v>7.3222115536967035E-13</v>
      </c>
      <c r="CW78" s="22">
        <f t="shared" si="67"/>
        <v>1.3525069634579169E-12</v>
      </c>
      <c r="CX78" s="62">
        <f t="shared" si="68"/>
        <v>293.33333333333468</v>
      </c>
      <c r="CY78" s="62">
        <f ca="1">AVERAGE(OFFSET($CX$3,0,0,'Données projet'!$E$13+1,1))-AVERAGE(OFFSET($H$3,0,0,'Données projet'!$E$13+1,1))</f>
        <v>289.19475369871481</v>
      </c>
      <c r="CZ78" s="62">
        <f t="shared" si="96"/>
        <v>283.48738729114024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300.64102564102564</v>
      </c>
      <c r="DM78" s="13">
        <f>VLOOKUP(A78,'Données projet'!$A$165:$I$185,9,0)</f>
        <v>4.8717948717948731</v>
      </c>
      <c r="DN78" s="13">
        <f t="array" ref="DN78">INDEX(DM:DM,MIN(IF(ISNUMBER(DM78:DM274),ROW(DM78:DM274),"")))</f>
        <v>4.8717948717948731</v>
      </c>
      <c r="DO78" s="13">
        <f>IF('Données projet'!$A$166&gt;35,DO77+DN78-DW77,IF(A78&lt;'Données projet'!$A$166,$DL$205^A78,IF(A78='Données projet'!$A$166,'Données projet'!$B$166,DO77+DN78-DW77)))</f>
        <v>300.64102564102546</v>
      </c>
      <c r="DP78" s="18">
        <f>DO78*VLOOKUP('Données projet'!$B$14,Paramètres!$A$1:$I$89,3,0)*VLOOKUP('Données projet'!$B$14,Paramètres!$A$1:$I$89,5,0)</f>
        <v>201.66999999999987</v>
      </c>
      <c r="DQ78" s="14">
        <f t="shared" si="97"/>
        <v>50.111005372790743</v>
      </c>
      <c r="DR78" s="22">
        <f t="shared" si="70"/>
        <v>438.51858435761028</v>
      </c>
      <c r="DS78" s="62">
        <f t="shared" si="71"/>
        <v>731.85191769094354</v>
      </c>
      <c r="DT78" s="62">
        <f ca="1">AVERAGE(OFFSET($DS$3,0,0,'Données projet'!$E$14+1,1))-AVERAGE(OFFSET($H$3,0,0,'Données projet'!$E$14+1,1))</f>
        <v>343.33067866534634</v>
      </c>
      <c r="DU78" s="62">
        <f t="shared" si="98"/>
        <v>261.91036689641402</v>
      </c>
      <c r="DV78" s="16">
        <f>IF(ISNA(VLOOKUP(A78,'Données projet'!$A$165:$I$185,3,0)),0,VLOOKUP(A78,'Données projet'!$A$165:$I$185,3,0))</f>
        <v>7</v>
      </c>
      <c r="DW78" s="16">
        <f>IF(ISNA(VLOOKUP(A78,'Données projet'!$A$165:$I$185,4,0)),0,VLOOKUP(A78,'Données projet'!$A$165:$I$185,4,0))</f>
        <v>28.846153846153847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2">
        <f t="shared" si="55"/>
        <v>799.22462707153909</v>
      </c>
      <c r="S79" s="62">
        <f ca="1">AVERAGE(OFFSET($R$3,0,0,'Données projet'!$E$9+1,1))-AVERAGE(OFFSET($H$3,0,0,'Données projet'!$E$9+1,1))</f>
        <v>428.8489304403459</v>
      </c>
      <c r="T79" s="62">
        <f t="shared" si="88"/>
        <v>247.01165577562966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2">
        <f t="shared" si="59"/>
        <v>858.81395257903955</v>
      </c>
      <c r="AN79" s="62">
        <f ca="1">AVERAGE(OFFSET($AM$3,0,0,'Données projet'!$E$10+1,1))-AVERAGE(OFFSET($H$3,0,0,'Données projet'!$E$10+1,1))</f>
        <v>475.47920969424894</v>
      </c>
      <c r="AO79" s="62">
        <f t="shared" si="90"/>
        <v>271.73544012419364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249.53759999999988</v>
      </c>
      <c r="BF79" s="14">
        <f t="shared" si="91"/>
        <v>60.486914185674671</v>
      </c>
      <c r="BG79" s="22">
        <f t="shared" si="61"/>
        <v>539.95936220671649</v>
      </c>
      <c r="BH79" s="62">
        <f t="shared" si="62"/>
        <v>833.29269554004986</v>
      </c>
      <c r="BI79" s="62">
        <f ca="1">AVERAGE(OFFSET($BH$3,0,0,'Données projet'!$E$11+1,1))-AVERAGE(OFFSET($H$3,0,0,'Données projet'!$E$11+1,1))</f>
        <v>455.50822833641354</v>
      </c>
      <c r="BJ79" s="62">
        <f t="shared" si="92"/>
        <v>261.14722581688039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277.71119999999985</v>
      </c>
      <c r="CA79" s="14">
        <f t="shared" si="93"/>
        <v>66.483088830893976</v>
      </c>
      <c r="CB79" s="22">
        <f t="shared" si="64"/>
        <v>599.47171971380669</v>
      </c>
      <c r="CC79" s="62">
        <f t="shared" si="65"/>
        <v>892.80505304714006</v>
      </c>
      <c r="CD79" s="62">
        <f ca="1">AVERAGE(OFFSET($CC$3,0,0,'Données projet'!$E$12+1,1))-AVERAGE(OFFSET($H$3,0,0,'Données projet'!$E$12+1,1))</f>
        <v>502.07782026233912</v>
      </c>
      <c r="CE79" s="62">
        <f t="shared" si="94"/>
        <v>285.83623046025156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5.6843418860808015E-14</v>
      </c>
      <c r="CU79" s="18">
        <f>CT79*VLOOKUP('Données projet'!$B$13,Paramètres!$A$1:$I$89,3,0)*VLOOKUP('Données projet'!$B$13,Paramètres!$A$1:$I$89,5,0)</f>
        <v>4.4337866711430253E-14</v>
      </c>
      <c r="CV79" s="14">
        <f t="shared" si="95"/>
        <v>7.3222115536967035E-13</v>
      </c>
      <c r="CW79" s="22">
        <f t="shared" si="67"/>
        <v>1.3525069634579169E-12</v>
      </c>
      <c r="CX79" s="62">
        <f t="shared" si="68"/>
        <v>293.33333333333468</v>
      </c>
      <c r="CY79" s="62">
        <f ca="1">AVERAGE(OFFSET($CX$3,0,0,'Données projet'!$E$13+1,1))-AVERAGE(OFFSET($H$3,0,0,'Données projet'!$E$13+1,1))</f>
        <v>289.19475369871481</v>
      </c>
      <c r="CZ79" s="62">
        <f t="shared" si="96"/>
        <v>283.48738729114024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4.4871794871794917</v>
      </c>
      <c r="DO79" s="13">
        <f>IF('Données projet'!$A$166&gt;35,DO78+DN79-DW78,IF(A79&lt;'Données projet'!$A$166,$DL$205^A79,IF(A79='Données projet'!$A$166,'Données projet'!$B$166,DO78+DN79-DW78)))</f>
        <v>276.2820512820511</v>
      </c>
      <c r="DP79" s="18">
        <f>DO79*VLOOKUP('Données projet'!$B$14,Paramètres!$A$1:$I$89,3,0)*VLOOKUP('Données projet'!$B$14,Paramètres!$A$1:$I$89,5,0)</f>
        <v>185.32999999999987</v>
      </c>
      <c r="DQ79" s="14">
        <f t="shared" si="97"/>
        <v>46.505991525491268</v>
      </c>
      <c r="DR79" s="22">
        <f t="shared" si="70"/>
        <v>403.7810185735637</v>
      </c>
      <c r="DS79" s="62">
        <f t="shared" si="71"/>
        <v>697.11435190689701</v>
      </c>
      <c r="DT79" s="62">
        <f ca="1">AVERAGE(OFFSET($DS$3,0,0,'Données projet'!$E$14+1,1))-AVERAGE(OFFSET($H$3,0,0,'Données projet'!$E$14+1,1))</f>
        <v>343.33067866534634</v>
      </c>
      <c r="DU79" s="62">
        <f t="shared" si="98"/>
        <v>261.91036689641402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2">
        <f t="shared" si="55"/>
        <v>810.71794681982283</v>
      </c>
      <c r="S80" s="62">
        <f ca="1">AVERAGE(OFFSET($R$3,0,0,'Données projet'!$E$9+1,1))-AVERAGE(OFFSET($H$3,0,0,'Données projet'!$E$9+1,1))</f>
        <v>428.8489304403459</v>
      </c>
      <c r="T80" s="62">
        <f t="shared" si="88"/>
        <v>247.01165577562966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2">
        <f t="shared" si="59"/>
        <v>871.66430227691103</v>
      </c>
      <c r="AN80" s="62">
        <f ca="1">AVERAGE(OFFSET($AM$3,0,0,'Données projet'!$E$10+1,1))-AVERAGE(OFFSET($H$3,0,0,'Données projet'!$E$10+1,1))</f>
        <v>475.47920969424894</v>
      </c>
      <c r="AO80" s="62">
        <f t="shared" si="90"/>
        <v>271.73544012419364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255.34079999999989</v>
      </c>
      <c r="BF80" s="14">
        <f t="shared" si="91"/>
        <v>61.728182021951895</v>
      </c>
      <c r="BG80" s="22">
        <f t="shared" si="61"/>
        <v>552.22847702156594</v>
      </c>
      <c r="BH80" s="62">
        <f t="shared" si="62"/>
        <v>845.56181035489931</v>
      </c>
      <c r="BI80" s="62">
        <f ca="1">AVERAGE(OFFSET($BH$3,0,0,'Données projet'!$E$11+1,1))-AVERAGE(OFFSET($H$3,0,0,'Données projet'!$E$11+1,1))</f>
        <v>455.50822833641354</v>
      </c>
      <c r="BJ80" s="62">
        <f t="shared" si="92"/>
        <v>261.14722581688039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284.16959999999989</v>
      </c>
      <c r="CA80" s="14">
        <f t="shared" si="93"/>
        <v>67.847405740313874</v>
      </c>
      <c r="CB80" s="22">
        <f t="shared" si="64"/>
        <v>613.09628499771316</v>
      </c>
      <c r="CC80" s="62">
        <f t="shared" si="65"/>
        <v>906.42961833104641</v>
      </c>
      <c r="CD80" s="62">
        <f ca="1">AVERAGE(OFFSET($CC$3,0,0,'Données projet'!$E$12+1,1))-AVERAGE(OFFSET($H$3,0,0,'Données projet'!$E$12+1,1))</f>
        <v>502.07782026233912</v>
      </c>
      <c r="CE80" s="62">
        <f t="shared" si="94"/>
        <v>285.83623046025156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5.6843418860808015E-14</v>
      </c>
      <c r="CU80" s="18">
        <f>CT80*VLOOKUP('Données projet'!$B$13,Paramètres!$A$1:$I$89,3,0)*VLOOKUP('Données projet'!$B$13,Paramètres!$A$1:$I$89,5,0)</f>
        <v>4.4337866711430253E-14</v>
      </c>
      <c r="CV80" s="14">
        <f t="shared" si="95"/>
        <v>7.3222115536967035E-13</v>
      </c>
      <c r="CW80" s="22">
        <f t="shared" si="67"/>
        <v>1.3525069634579169E-12</v>
      </c>
      <c r="CX80" s="62">
        <f t="shared" si="68"/>
        <v>293.33333333333468</v>
      </c>
      <c r="CY80" s="62">
        <f ca="1">AVERAGE(OFFSET($CX$3,0,0,'Données projet'!$E$13+1,1))-AVERAGE(OFFSET($H$3,0,0,'Données projet'!$E$13+1,1))</f>
        <v>289.19475369871481</v>
      </c>
      <c r="CZ80" s="62">
        <f t="shared" si="96"/>
        <v>283.48738729114024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4.4871794871794917</v>
      </c>
      <c r="DO80" s="13">
        <f>IF('Données projet'!$A$166&gt;35,DO79+DN80-DW79,IF(A80&lt;'Données projet'!$A$166,$DL$205^A80,IF(A80='Données projet'!$A$166,'Données projet'!$B$166,DO79+DN80-DW79)))</f>
        <v>280.7692307692306</v>
      </c>
      <c r="DP80" s="18">
        <f>DO80*VLOOKUP('Données projet'!$B$14,Paramètres!$A$1:$I$89,3,0)*VLOOKUP('Données projet'!$B$14,Paramètres!$A$1:$I$89,5,0)</f>
        <v>188.33999999999989</v>
      </c>
      <c r="DQ80" s="14">
        <f t="shared" si="97"/>
        <v>47.172763195766144</v>
      </c>
      <c r="DR80" s="22">
        <f t="shared" si="70"/>
        <v>410.18472923262584</v>
      </c>
      <c r="DS80" s="62">
        <f t="shared" si="71"/>
        <v>703.5180625659591</v>
      </c>
      <c r="DT80" s="62">
        <f ca="1">AVERAGE(OFFSET($DS$3,0,0,'Données projet'!$E$14+1,1))-AVERAGE(OFFSET($H$3,0,0,'Données projet'!$E$14+1,1))</f>
        <v>343.33067866534634</v>
      </c>
      <c r="DU80" s="62">
        <f t="shared" si="98"/>
        <v>261.91036689641402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2">
        <f t="shared" si="55"/>
        <v>822.20588134481159</v>
      </c>
      <c r="S81" s="62">
        <f ca="1">AVERAGE(OFFSET($R$3,0,0,'Données projet'!$E$9+1,1))-AVERAGE(OFFSET($H$3,0,0,'Données projet'!$E$9+1,1))</f>
        <v>428.8489304403459</v>
      </c>
      <c r="T81" s="62">
        <f t="shared" si="88"/>
        <v>247.01165577562966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2">
        <f t="shared" si="59"/>
        <v>884.50869632731633</v>
      </c>
      <c r="AN81" s="62">
        <f ca="1">AVERAGE(OFFSET($AM$3,0,0,'Données projet'!$E$10+1,1))-AVERAGE(OFFSET($H$3,0,0,'Données projet'!$E$10+1,1))</f>
        <v>475.47920969424894</v>
      </c>
      <c r="AO81" s="62">
        <f t="shared" si="90"/>
        <v>271.73544012419364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261.14399999999989</v>
      </c>
      <c r="BF81" s="14">
        <f t="shared" si="91"/>
        <v>62.966170181808813</v>
      </c>
      <c r="BG81" s="22">
        <f t="shared" si="61"/>
        <v>564.49187973331675</v>
      </c>
      <c r="BH81" s="62">
        <f t="shared" si="62"/>
        <v>857.82521306665012</v>
      </c>
      <c r="BI81" s="62">
        <f ca="1">AVERAGE(OFFSET($BH$3,0,0,'Données projet'!$E$11+1,1))-AVERAGE(OFFSET($H$3,0,0,'Données projet'!$E$11+1,1))</f>
        <v>455.50822833641354</v>
      </c>
      <c r="BJ81" s="62">
        <f t="shared" si="92"/>
        <v>261.14722581688039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290.62799999999987</v>
      </c>
      <c r="CA81" s="14">
        <f t="shared" si="93"/>
        <v>69.208117853196882</v>
      </c>
      <c r="CB81" s="22">
        <f t="shared" si="64"/>
        <v>626.71457192765104</v>
      </c>
      <c r="CC81" s="62">
        <f t="shared" si="65"/>
        <v>920.04790526098441</v>
      </c>
      <c r="CD81" s="62">
        <f ca="1">AVERAGE(OFFSET($CC$3,0,0,'Données projet'!$E$12+1,1))-AVERAGE(OFFSET($H$3,0,0,'Données projet'!$E$12+1,1))</f>
        <v>502.07782026233912</v>
      </c>
      <c r="CE81" s="62">
        <f t="shared" si="94"/>
        <v>285.83623046025156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5.6843418860808015E-14</v>
      </c>
      <c r="CU81" s="18">
        <f>CT81*VLOOKUP('Données projet'!$B$13,Paramètres!$A$1:$I$89,3,0)*VLOOKUP('Données projet'!$B$13,Paramètres!$A$1:$I$89,5,0)</f>
        <v>4.4337866711430253E-14</v>
      </c>
      <c r="CV81" s="14">
        <f t="shared" si="95"/>
        <v>7.3222115536967035E-13</v>
      </c>
      <c r="CW81" s="22">
        <f t="shared" si="67"/>
        <v>1.3525069634579169E-12</v>
      </c>
      <c r="CX81" s="62">
        <f t="shared" si="68"/>
        <v>293.33333333333468</v>
      </c>
      <c r="CY81" s="62">
        <f ca="1">AVERAGE(OFFSET($CX$3,0,0,'Données projet'!$E$13+1,1))-AVERAGE(OFFSET($H$3,0,0,'Données projet'!$E$13+1,1))</f>
        <v>289.19475369871481</v>
      </c>
      <c r="CZ81" s="62">
        <f t="shared" si="96"/>
        <v>283.48738729114024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4.4871794871794917</v>
      </c>
      <c r="DO81" s="13">
        <f>IF('Données projet'!$A$166&gt;35,DO80+DN81-DW80,IF(A81&lt;'Données projet'!$A$166,$DL$205^A81,IF(A81='Données projet'!$A$166,'Données projet'!$B$166,DO80+DN81-DW80)))</f>
        <v>285.25641025641011</v>
      </c>
      <c r="DP81" s="18">
        <f>DO81*VLOOKUP('Données projet'!$B$14,Paramètres!$A$1:$I$89,3,0)*VLOOKUP('Données projet'!$B$14,Paramètres!$A$1:$I$89,5,0)</f>
        <v>191.34999999999988</v>
      </c>
      <c r="DQ81" s="14">
        <f t="shared" si="97"/>
        <v>47.838295585286282</v>
      </c>
      <c r="DR81" s="22">
        <f t="shared" si="70"/>
        <v>416.58628147770673</v>
      </c>
      <c r="DS81" s="62">
        <f t="shared" si="71"/>
        <v>709.91961481103999</v>
      </c>
      <c r="DT81" s="62">
        <f ca="1">AVERAGE(OFFSET($DS$3,0,0,'Données projet'!$E$14+1,1))-AVERAGE(OFFSET($H$3,0,0,'Données projet'!$E$14+1,1))</f>
        <v>343.33067866534634</v>
      </c>
      <c r="DU81" s="62">
        <f t="shared" si="98"/>
        <v>261.91036689641402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2">
        <f t="shared" si="55"/>
        <v>833.68856409746058</v>
      </c>
      <c r="S82" s="62">
        <f ca="1">AVERAGE(OFFSET($R$3,0,0,'Données projet'!$E$9+1,1))-AVERAGE(OFFSET($H$3,0,0,'Données projet'!$E$9+1,1))</f>
        <v>428.8489304403459</v>
      </c>
      <c r="T82" s="62">
        <f t="shared" si="88"/>
        <v>247.01165577562966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2">
        <f t="shared" si="59"/>
        <v>897.34728231686381</v>
      </c>
      <c r="AN82" s="62">
        <f ca="1">AVERAGE(OFFSET($AM$3,0,0,'Données projet'!$E$10+1,1))-AVERAGE(OFFSET($H$3,0,0,'Données projet'!$E$10+1,1))</f>
        <v>475.47920969424894</v>
      </c>
      <c r="AO82" s="62">
        <f t="shared" si="90"/>
        <v>271.73544012419364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266.9471999999999</v>
      </c>
      <c r="BF82" s="14">
        <f t="shared" si="91"/>
        <v>64.200959938746379</v>
      </c>
      <c r="BG82" s="22">
        <f t="shared" si="61"/>
        <v>576.74971189331643</v>
      </c>
      <c r="BH82" s="62">
        <f t="shared" si="62"/>
        <v>870.0830452266498</v>
      </c>
      <c r="BI82" s="62">
        <f ca="1">AVERAGE(OFFSET($BH$3,0,0,'Données projet'!$E$11+1,1))-AVERAGE(OFFSET($H$3,0,0,'Données projet'!$E$11+1,1))</f>
        <v>455.50822833641354</v>
      </c>
      <c r="BJ82" s="62">
        <f t="shared" si="92"/>
        <v>261.14722581688039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297.08639999999986</v>
      </c>
      <c r="CA82" s="14">
        <f t="shared" si="93"/>
        <v>70.565314499829583</v>
      </c>
      <c r="CB82" s="22">
        <f t="shared" si="64"/>
        <v>640.3267360872029</v>
      </c>
      <c r="CC82" s="62">
        <f t="shared" si="65"/>
        <v>933.66006942053627</v>
      </c>
      <c r="CD82" s="62">
        <f ca="1">AVERAGE(OFFSET($CC$3,0,0,'Données projet'!$E$12+1,1))-AVERAGE(OFFSET($H$3,0,0,'Données projet'!$E$12+1,1))</f>
        <v>502.07782026233912</v>
      </c>
      <c r="CE82" s="62">
        <f t="shared" si="94"/>
        <v>285.83623046025156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5.6843418860808015E-14</v>
      </c>
      <c r="CU82" s="18">
        <f>CT82*VLOOKUP('Données projet'!$B$13,Paramètres!$A$1:$I$89,3,0)*VLOOKUP('Données projet'!$B$13,Paramètres!$A$1:$I$89,5,0)</f>
        <v>4.4337866711430253E-14</v>
      </c>
      <c r="CV82" s="14">
        <f t="shared" si="95"/>
        <v>7.3222115536967035E-13</v>
      </c>
      <c r="CW82" s="22">
        <f t="shared" si="67"/>
        <v>1.3525069634579169E-12</v>
      </c>
      <c r="CX82" s="62">
        <f t="shared" si="68"/>
        <v>293.33333333333468</v>
      </c>
      <c r="CY82" s="62">
        <f ca="1">AVERAGE(OFFSET($CX$3,0,0,'Données projet'!$E$13+1,1))-AVERAGE(OFFSET($H$3,0,0,'Données projet'!$E$13+1,1))</f>
        <v>289.19475369871481</v>
      </c>
      <c r="CZ82" s="62">
        <f t="shared" si="96"/>
        <v>283.48738729114024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4.4871794871794917</v>
      </c>
      <c r="DO82" s="13">
        <f>IF('Données projet'!$A$166&gt;35,DO81+DN82-DW81,IF(A82&lt;'Données projet'!$A$166,$DL$205^A82,IF(A82='Données projet'!$A$166,'Données projet'!$B$166,DO81+DN82-DW81)))</f>
        <v>289.74358974358961</v>
      </c>
      <c r="DP82" s="18">
        <f>DO82*VLOOKUP('Données projet'!$B$14,Paramètres!$A$1:$I$89,3,0)*VLOOKUP('Données projet'!$B$14,Paramètres!$A$1:$I$89,5,0)</f>
        <v>194.35999999999993</v>
      </c>
      <c r="DQ82" s="14">
        <f t="shared" si="97"/>
        <v>48.502610439386629</v>
      </c>
      <c r="DR82" s="22">
        <f t="shared" si="70"/>
        <v>422.98571318193154</v>
      </c>
      <c r="DS82" s="62">
        <f t="shared" si="71"/>
        <v>716.31904651526486</v>
      </c>
      <c r="DT82" s="62">
        <f ca="1">AVERAGE(OFFSET($DS$3,0,0,'Données projet'!$E$14+1,1))-AVERAGE(OFFSET($H$3,0,0,'Données projet'!$E$14+1,1))</f>
        <v>343.33067866534634</v>
      </c>
      <c r="DU82" s="62">
        <f t="shared" si="98"/>
        <v>261.91036689641402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2">
        <f t="shared" si="55"/>
        <v>845.16612239513029</v>
      </c>
      <c r="S83" s="62">
        <f ca="1">AVERAGE(OFFSET($R$3,0,0,'Données projet'!$E$9+1,1))-AVERAGE(OFFSET($H$3,0,0,'Données projet'!$E$9+1,1))</f>
        <v>428.8489304403459</v>
      </c>
      <c r="T83" s="62">
        <f t="shared" si="88"/>
        <v>247.01165577562966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2">
        <f t="shared" si="59"/>
        <v>910.18020104887296</v>
      </c>
      <c r="AN83" s="62">
        <f ca="1">AVERAGE(OFFSET($AM$3,0,0,'Données projet'!$E$10+1,1))-AVERAGE(OFFSET($H$3,0,0,'Données projet'!$E$10+1,1))</f>
        <v>475.47920969424894</v>
      </c>
      <c r="AO83" s="62">
        <f t="shared" si="90"/>
        <v>271.73544012419364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272.7503999999999</v>
      </c>
      <c r="BF83" s="14">
        <f t="shared" si="91"/>
        <v>65.432628830820633</v>
      </c>
      <c r="BG83" s="22">
        <f t="shared" si="61"/>
        <v>589.00210854701243</v>
      </c>
      <c r="BH83" s="62">
        <f t="shared" si="62"/>
        <v>882.3354418803458</v>
      </c>
      <c r="BI83" s="62">
        <f ca="1">AVERAGE(OFFSET($BH$3,0,0,'Données projet'!$E$11+1,1))-AVERAGE(OFFSET($H$3,0,0,'Données projet'!$E$11+1,1))</f>
        <v>455.50822833641354</v>
      </c>
      <c r="BJ83" s="62">
        <f t="shared" si="92"/>
        <v>261.14722581688039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303.54479999999984</v>
      </c>
      <c r="CA83" s="14">
        <f t="shared" si="93"/>
        <v>71.919080904752505</v>
      </c>
      <c r="CB83" s="22">
        <f t="shared" si="64"/>
        <v>653.93292590911028</v>
      </c>
      <c r="CC83" s="62">
        <f t="shared" si="65"/>
        <v>947.26625924244354</v>
      </c>
      <c r="CD83" s="62">
        <f ca="1">AVERAGE(OFFSET($CC$3,0,0,'Données projet'!$E$12+1,1))-AVERAGE(OFFSET($H$3,0,0,'Données projet'!$E$12+1,1))</f>
        <v>502.07782026233912</v>
      </c>
      <c r="CE83" s="62">
        <f t="shared" si="94"/>
        <v>285.83623046025156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5.6843418860808015E-14</v>
      </c>
      <c r="CU83" s="18">
        <f>CT83*VLOOKUP('Données projet'!$B$13,Paramètres!$A$1:$I$89,3,0)*VLOOKUP('Données projet'!$B$13,Paramètres!$A$1:$I$89,5,0)</f>
        <v>4.4337866711430253E-14</v>
      </c>
      <c r="CV83" s="14">
        <f t="shared" si="95"/>
        <v>7.3222115536967035E-13</v>
      </c>
      <c r="CW83" s="22">
        <f t="shared" si="67"/>
        <v>1.3525069634579169E-12</v>
      </c>
      <c r="CX83" s="62">
        <f t="shared" si="68"/>
        <v>293.33333333333468</v>
      </c>
      <c r="CY83" s="62">
        <f ca="1">AVERAGE(OFFSET($CX$3,0,0,'Données projet'!$E$13+1,1))-AVERAGE(OFFSET($H$3,0,0,'Données projet'!$E$13+1,1))</f>
        <v>289.19475369871481</v>
      </c>
      <c r="CZ83" s="62">
        <f t="shared" si="96"/>
        <v>283.48738729114024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294.23076923076923</v>
      </c>
      <c r="DM83" s="13">
        <f>VLOOKUP(A83,'Données projet'!$A$165:$I$185,9,0)</f>
        <v>4.4871794871794917</v>
      </c>
      <c r="DN83" s="13">
        <f t="array" ref="DN83">INDEX(DM:DM,MIN(IF(ISNUMBER(DM83:DM279),ROW(DM83:DM279),"")))</f>
        <v>4.4871794871794917</v>
      </c>
      <c r="DO83" s="13">
        <f>IF('Données projet'!$A$166&gt;35,DO82+DN83-DW82,IF(A83&lt;'Données projet'!$A$166,$DL$205^A83,IF(A83='Données projet'!$A$166,'Données projet'!$B$166,DO82+DN83-DW82)))</f>
        <v>294.23076923076911</v>
      </c>
      <c r="DP83" s="18">
        <f>DO83*VLOOKUP('Données projet'!$B$14,Paramètres!$A$1:$I$89,3,0)*VLOOKUP('Données projet'!$B$14,Paramètres!$A$1:$I$89,5,0)</f>
        <v>197.36999999999992</v>
      </c>
      <c r="DQ83" s="14">
        <f t="shared" si="97"/>
        <v>49.165728791231707</v>
      </c>
      <c r="DR83" s="22">
        <f t="shared" si="70"/>
        <v>429.38306097806168</v>
      </c>
      <c r="DS83" s="62">
        <f t="shared" si="71"/>
        <v>722.71639431139499</v>
      </c>
      <c r="DT83" s="62">
        <f ca="1">AVERAGE(OFFSET($DS$3,0,0,'Données projet'!$E$14+1,1))-AVERAGE(OFFSET($H$3,0,0,'Données projet'!$E$14+1,1))</f>
        <v>343.33067866534634</v>
      </c>
      <c r="DU83" s="62">
        <f t="shared" si="98"/>
        <v>261.91036689641402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2">
        <f t="shared" si="55"/>
        <v>775.45409146701161</v>
      </c>
      <c r="S84" s="62">
        <f ca="1">AVERAGE(OFFSET($R$3,0,0,'Données projet'!$E$9+1,1))-AVERAGE(OFFSET($H$3,0,0,'Données projet'!$E$9+1,1))</f>
        <v>428.8489304403459</v>
      </c>
      <c r="T84" s="62">
        <f t="shared" si="88"/>
        <v>247.01165577562966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2">
        <f t="shared" si="59"/>
        <v>832.2370162281502</v>
      </c>
      <c r="AN84" s="62">
        <f ca="1">AVERAGE(OFFSET($AM$3,0,0,'Données projet'!$E$10+1,1))-AVERAGE(OFFSET($H$3,0,0,'Données projet'!$E$10+1,1))</f>
        <v>475.47920969424894</v>
      </c>
      <c r="AO84" s="62">
        <f t="shared" si="90"/>
        <v>271.73544012419364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237.54431999999991</v>
      </c>
      <c r="BF84" s="14">
        <f t="shared" si="91"/>
        <v>57.910863128487989</v>
      </c>
      <c r="BG84" s="22">
        <f t="shared" si="61"/>
        <v>514.58444394878302</v>
      </c>
      <c r="BH84" s="62">
        <f t="shared" si="62"/>
        <v>807.91777728211628</v>
      </c>
      <c r="BI84" s="62">
        <f ca="1">AVERAGE(OFFSET($BH$3,0,0,'Données projet'!$E$11+1,1))-AVERAGE(OFFSET($H$3,0,0,'Données projet'!$E$11+1,1))</f>
        <v>455.50822833641354</v>
      </c>
      <c r="BJ84" s="62">
        <f t="shared" si="92"/>
        <v>261.14722581688039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264.36383999999987</v>
      </c>
      <c r="CA84" s="14">
        <f t="shared" si="93"/>
        <v>63.651669282160768</v>
      </c>
      <c r="CB84" s="22">
        <f t="shared" si="64"/>
        <v>571.29367866642974</v>
      </c>
      <c r="CC84" s="62">
        <f t="shared" si="65"/>
        <v>864.627011999763</v>
      </c>
      <c r="CD84" s="62">
        <f ca="1">AVERAGE(OFFSET($CC$3,0,0,'Données projet'!$E$12+1,1))-AVERAGE(OFFSET($H$3,0,0,'Données projet'!$E$12+1,1))</f>
        <v>502.07782026233912</v>
      </c>
      <c r="CE84" s="62">
        <f t="shared" si="94"/>
        <v>285.83623046025156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5.6843418860808015E-14</v>
      </c>
      <c r="CU84" s="18">
        <f>CT84*VLOOKUP('Données projet'!$B$13,Paramètres!$A$1:$I$89,3,0)*VLOOKUP('Données projet'!$B$13,Paramètres!$A$1:$I$89,5,0)</f>
        <v>4.4337866711430253E-14</v>
      </c>
      <c r="CV84" s="14">
        <f t="shared" si="95"/>
        <v>7.3222115536967035E-13</v>
      </c>
      <c r="CW84" s="22">
        <f t="shared" si="67"/>
        <v>1.3525069634579169E-12</v>
      </c>
      <c r="CX84" s="62">
        <f t="shared" si="68"/>
        <v>293.33333333333468</v>
      </c>
      <c r="CY84" s="62">
        <f ca="1">AVERAGE(OFFSET($CX$3,0,0,'Données projet'!$E$13+1,1))-AVERAGE(OFFSET($H$3,0,0,'Données projet'!$E$13+1,1))</f>
        <v>289.19475369871481</v>
      </c>
      <c r="CZ84" s="62">
        <f t="shared" si="96"/>
        <v>283.48738729114024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4.4871794871794801</v>
      </c>
      <c r="DO84" s="13">
        <f>IF('Données projet'!$A$166&gt;35,DO83+DN84-DW83,IF(A84&lt;'Données projet'!$A$166,$DL$205^A84,IF(A84='Données projet'!$A$166,'Données projet'!$B$166,DO83+DN84-DW83)))</f>
        <v>298.71794871794862</v>
      </c>
      <c r="DP84" s="18">
        <f>DO84*VLOOKUP('Données projet'!$B$14,Paramètres!$A$1:$I$89,3,0)*VLOOKUP('Données projet'!$B$14,Paramètres!$A$1:$I$89,5,0)</f>
        <v>200.37999999999994</v>
      </c>
      <c r="DQ84" s="14">
        <f t="shared" si="97"/>
        <v>49.827670995638123</v>
      </c>
      <c r="DR84" s="22">
        <f t="shared" si="70"/>
        <v>435.77836031740293</v>
      </c>
      <c r="DS84" s="62">
        <f t="shared" si="71"/>
        <v>729.11169365073624</v>
      </c>
      <c r="DT84" s="62">
        <f ca="1">AVERAGE(OFFSET($DS$3,0,0,'Données projet'!$E$14+1,1))-AVERAGE(OFFSET($H$3,0,0,'Données projet'!$E$14+1,1))</f>
        <v>343.33067866534634</v>
      </c>
      <c r="DU84" s="62">
        <f t="shared" si="98"/>
        <v>261.91036689641402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2">
        <f t="shared" si="55"/>
        <v>786.19217745579931</v>
      </c>
      <c r="S85" s="62">
        <f ca="1">AVERAGE(OFFSET($R$3,0,0,'Données projet'!$E$9+1,1))-AVERAGE(OFFSET($H$3,0,0,'Données projet'!$E$9+1,1))</f>
        <v>428.8489304403459</v>
      </c>
      <c r="T85" s="62">
        <f t="shared" si="88"/>
        <v>247.01165577562966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2">
        <f t="shared" si="59"/>
        <v>844.24282734876306</v>
      </c>
      <c r="AN85" s="62">
        <f ca="1">AVERAGE(OFFSET($AM$3,0,0,'Données projet'!$E$10+1,1))-AVERAGE(OFFSET($H$3,0,0,'Données projet'!$E$10+1,1))</f>
        <v>475.47920969424894</v>
      </c>
      <c r="AO85" s="62">
        <f t="shared" si="90"/>
        <v>271.73544012419364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242.96063999999993</v>
      </c>
      <c r="BF85" s="14">
        <f t="shared" si="91"/>
        <v>59.076071351835715</v>
      </c>
      <c r="BG85" s="22">
        <f t="shared" si="61"/>
        <v>526.04727227111368</v>
      </c>
      <c r="BH85" s="62">
        <f t="shared" si="62"/>
        <v>819.38060560444706</v>
      </c>
      <c r="BI85" s="62">
        <f ca="1">AVERAGE(OFFSET($BH$3,0,0,'Données projet'!$E$11+1,1))-AVERAGE(OFFSET($H$3,0,0,'Données projet'!$E$11+1,1))</f>
        <v>455.50822833641354</v>
      </c>
      <c r="BJ85" s="62">
        <f t="shared" si="92"/>
        <v>261.14722581688039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270.39167999999989</v>
      </c>
      <c r="CA85" s="14">
        <f t="shared" si="93"/>
        <v>64.932386654872516</v>
      </c>
      <c r="CB85" s="22">
        <f t="shared" si="64"/>
        <v>584.02274942390272</v>
      </c>
      <c r="CC85" s="62">
        <f t="shared" si="65"/>
        <v>877.35608275723598</v>
      </c>
      <c r="CD85" s="62">
        <f ca="1">AVERAGE(OFFSET($CC$3,0,0,'Données projet'!$E$12+1,1))-AVERAGE(OFFSET($H$3,0,0,'Données projet'!$E$12+1,1))</f>
        <v>502.07782026233912</v>
      </c>
      <c r="CE85" s="62">
        <f t="shared" si="94"/>
        <v>285.83623046025156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5.6843418860808015E-14</v>
      </c>
      <c r="CU85" s="18">
        <f>CT85*VLOOKUP('Données projet'!$B$13,Paramètres!$A$1:$I$89,3,0)*VLOOKUP('Données projet'!$B$13,Paramètres!$A$1:$I$89,5,0)</f>
        <v>4.4337866711430253E-14</v>
      </c>
      <c r="CV85" s="14">
        <f t="shared" si="95"/>
        <v>7.3222115536967035E-13</v>
      </c>
      <c r="CW85" s="22">
        <f t="shared" si="67"/>
        <v>1.3525069634579169E-12</v>
      </c>
      <c r="CX85" s="62">
        <f t="shared" si="68"/>
        <v>293.33333333333468</v>
      </c>
      <c r="CY85" s="62">
        <f ca="1">AVERAGE(OFFSET($CX$3,0,0,'Données projet'!$E$13+1,1))-AVERAGE(OFFSET($H$3,0,0,'Données projet'!$E$13+1,1))</f>
        <v>289.19475369871481</v>
      </c>
      <c r="CZ85" s="62">
        <f t="shared" si="96"/>
        <v>283.48738729114024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4.4871794871794801</v>
      </c>
      <c r="DO85" s="13">
        <f>IF('Données projet'!$A$166&gt;35,DO84+DN85-DW84,IF(A85&lt;'Données projet'!$A$166,$DL$205^A85,IF(A85='Données projet'!$A$166,'Données projet'!$B$166,DO84+DN85-DW84)))</f>
        <v>303.20512820512812</v>
      </c>
      <c r="DP85" s="18">
        <f>DO85*VLOOKUP('Données projet'!$B$14,Paramètres!$A$1:$I$89,3,0)*VLOOKUP('Données projet'!$B$14,Paramètres!$A$1:$I$89,5,0)</f>
        <v>203.38999999999993</v>
      </c>
      <c r="DQ85" s="14">
        <f t="shared" si="97"/>
        <v>50.488456760806621</v>
      </c>
      <c r="DR85" s="22">
        <f t="shared" si="70"/>
        <v>442.17164552507137</v>
      </c>
      <c r="DS85" s="62">
        <f t="shared" si="71"/>
        <v>735.50497885840468</v>
      </c>
      <c r="DT85" s="62">
        <f ca="1">AVERAGE(OFFSET($DS$3,0,0,'Données projet'!$E$14+1,1))-AVERAGE(OFFSET($H$3,0,0,'Données projet'!$E$14+1,1))</f>
        <v>343.33067866534634</v>
      </c>
      <c r="DU85" s="62">
        <f t="shared" si="98"/>
        <v>261.91036689641402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2">
        <f t="shared" si="55"/>
        <v>796.92530469359974</v>
      </c>
      <c r="S86" s="62">
        <f ca="1">AVERAGE(OFFSET($R$3,0,0,'Données projet'!$E$9+1,1))-AVERAGE(OFFSET($H$3,0,0,'Données projet'!$E$9+1,1))</f>
        <v>428.8489304403459</v>
      </c>
      <c r="T86" s="62">
        <f t="shared" si="88"/>
        <v>247.01165577562966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2">
        <f t="shared" si="59"/>
        <v>856.24315446785226</v>
      </c>
      <c r="AN86" s="62">
        <f ca="1">AVERAGE(OFFSET($AM$3,0,0,'Données projet'!$E$10+1,1))-AVERAGE(OFFSET($H$3,0,0,'Données projet'!$E$10+1,1))</f>
        <v>475.47920969424894</v>
      </c>
      <c r="AO86" s="62">
        <f t="shared" si="90"/>
        <v>271.73544012419364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248.37695999999988</v>
      </c>
      <c r="BF86" s="14">
        <f t="shared" si="91"/>
        <v>60.238259626372319</v>
      </c>
      <c r="BG86" s="22">
        <f t="shared" si="61"/>
        <v>537.50484084926495</v>
      </c>
      <c r="BH86" s="62">
        <f t="shared" si="62"/>
        <v>830.83817418259832</v>
      </c>
      <c r="BI86" s="62">
        <f ca="1">AVERAGE(OFFSET($BH$3,0,0,'Données projet'!$E$11+1,1))-AVERAGE(OFFSET($H$3,0,0,'Données projet'!$E$11+1,1))</f>
        <v>455.50822833641354</v>
      </c>
      <c r="BJ86" s="62">
        <f t="shared" si="92"/>
        <v>261.14722581688039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276.41951999999986</v>
      </c>
      <c r="CA86" s="14">
        <f t="shared" si="93"/>
        <v>66.209784705913108</v>
      </c>
      <c r="CB86" s="22">
        <f t="shared" si="64"/>
        <v>596.74603902946512</v>
      </c>
      <c r="CC86" s="62">
        <f t="shared" si="65"/>
        <v>890.07937236279849</v>
      </c>
      <c r="CD86" s="62">
        <f ca="1">AVERAGE(OFFSET($CC$3,0,0,'Données projet'!$E$12+1,1))-AVERAGE(OFFSET($H$3,0,0,'Données projet'!$E$12+1,1))</f>
        <v>502.07782026233912</v>
      </c>
      <c r="CE86" s="62">
        <f t="shared" si="94"/>
        <v>285.83623046025156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5.6843418860808015E-14</v>
      </c>
      <c r="CU86" s="18">
        <f>CT86*VLOOKUP('Données projet'!$B$13,Paramètres!$A$1:$I$89,3,0)*VLOOKUP('Données projet'!$B$13,Paramètres!$A$1:$I$89,5,0)</f>
        <v>4.4337866711430253E-14</v>
      </c>
      <c r="CV86" s="14">
        <f t="shared" si="95"/>
        <v>7.3222115536967035E-13</v>
      </c>
      <c r="CW86" s="22">
        <f t="shared" si="67"/>
        <v>1.3525069634579169E-12</v>
      </c>
      <c r="CX86" s="62">
        <f t="shared" si="68"/>
        <v>293.33333333333468</v>
      </c>
      <c r="CY86" s="62">
        <f ca="1">AVERAGE(OFFSET($CX$3,0,0,'Données projet'!$E$13+1,1))-AVERAGE(OFFSET($H$3,0,0,'Données projet'!$E$13+1,1))</f>
        <v>289.19475369871481</v>
      </c>
      <c r="CZ86" s="62">
        <f t="shared" si="96"/>
        <v>283.48738729114024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4.4871794871794801</v>
      </c>
      <c r="DO86" s="13">
        <f>IF('Données projet'!$A$166&gt;35,DO85+DN86-DW85,IF(A86&lt;'Données projet'!$A$166,$DL$205^A86,IF(A86='Données projet'!$A$166,'Données projet'!$B$166,DO85+DN86-DW85)))</f>
        <v>307.69230769230762</v>
      </c>
      <c r="DP86" s="18">
        <f>DO86*VLOOKUP('Données projet'!$B$14,Paramètres!$A$1:$I$89,3,0)*VLOOKUP('Données projet'!$B$14,Paramètres!$A$1:$I$89,5,0)</f>
        <v>206.39999999999995</v>
      </c>
      <c r="DQ86" s="14">
        <f t="shared" si="97"/>
        <v>51.148105178123217</v>
      </c>
      <c r="DR86" s="22">
        <f t="shared" si="70"/>
        <v>448.56294985189771</v>
      </c>
      <c r="DS86" s="62">
        <f t="shared" si="71"/>
        <v>741.89628318523103</v>
      </c>
      <c r="DT86" s="62">
        <f ca="1">AVERAGE(OFFSET($DS$3,0,0,'Données projet'!$E$14+1,1))-AVERAGE(OFFSET($H$3,0,0,'Données projet'!$E$14+1,1))</f>
        <v>343.33067866534634</v>
      </c>
      <c r="DU86" s="62">
        <f t="shared" si="98"/>
        <v>261.91036689641402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2">
        <f t="shared" si="55"/>
        <v>807.65359376827541</v>
      </c>
      <c r="S87" s="62">
        <f ca="1">AVERAGE(OFFSET($R$3,0,0,'Données projet'!$E$9+1,1))-AVERAGE(OFFSET($H$3,0,0,'Données projet'!$E$9+1,1))</f>
        <v>428.8489304403459</v>
      </c>
      <c r="T87" s="62">
        <f t="shared" si="88"/>
        <v>247.01165577562966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2">
        <f t="shared" si="59"/>
        <v>868.23813094642423</v>
      </c>
      <c r="AN87" s="62">
        <f ca="1">AVERAGE(OFFSET($AM$3,0,0,'Données projet'!$E$10+1,1))-AVERAGE(OFFSET($H$3,0,0,'Données projet'!$E$10+1,1))</f>
        <v>475.47920969424894</v>
      </c>
      <c r="AO87" s="62">
        <f t="shared" si="90"/>
        <v>271.73544012419364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253.79327999999995</v>
      </c>
      <c r="BF87" s="14">
        <f t="shared" si="91"/>
        <v>61.39750139179521</v>
      </c>
      <c r="BG87" s="22">
        <f t="shared" si="61"/>
        <v>548.95727759070985</v>
      </c>
      <c r="BH87" s="62">
        <f t="shared" si="62"/>
        <v>842.29061092404322</v>
      </c>
      <c r="BI87" s="62">
        <f ca="1">AVERAGE(OFFSET($BH$3,0,0,'Données projet'!$E$11+1,1))-AVERAGE(OFFSET($H$3,0,0,'Données projet'!$E$11+1,1))</f>
        <v>455.50822833641354</v>
      </c>
      <c r="BJ87" s="62">
        <f t="shared" si="92"/>
        <v>261.14722581688039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282.44735999999989</v>
      </c>
      <c r="CA87" s="14">
        <f t="shared" si="93"/>
        <v>67.48394415518699</v>
      </c>
      <c r="CB87" s="22">
        <f t="shared" si="64"/>
        <v>609.46368807028375</v>
      </c>
      <c r="CC87" s="62">
        <f t="shared" si="65"/>
        <v>902.79702140361701</v>
      </c>
      <c r="CD87" s="62">
        <f ca="1">AVERAGE(OFFSET($CC$3,0,0,'Données projet'!$E$12+1,1))-AVERAGE(OFFSET($H$3,0,0,'Données projet'!$E$12+1,1))</f>
        <v>502.07782026233912</v>
      </c>
      <c r="CE87" s="62">
        <f t="shared" si="94"/>
        <v>285.83623046025156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5.6843418860808015E-14</v>
      </c>
      <c r="CU87" s="18">
        <f>CT87*VLOOKUP('Données projet'!$B$13,Paramètres!$A$1:$I$89,3,0)*VLOOKUP('Données projet'!$B$13,Paramètres!$A$1:$I$89,5,0)</f>
        <v>4.4337866711430253E-14</v>
      </c>
      <c r="CV87" s="14">
        <f t="shared" si="95"/>
        <v>7.3222115536967035E-13</v>
      </c>
      <c r="CW87" s="22">
        <f t="shared" si="67"/>
        <v>1.3525069634579169E-12</v>
      </c>
      <c r="CX87" s="62">
        <f t="shared" si="68"/>
        <v>293.33333333333468</v>
      </c>
      <c r="CY87" s="62">
        <f ca="1">AVERAGE(OFFSET($CX$3,0,0,'Données projet'!$E$13+1,1))-AVERAGE(OFFSET($H$3,0,0,'Données projet'!$E$13+1,1))</f>
        <v>289.19475369871481</v>
      </c>
      <c r="CZ87" s="62">
        <f t="shared" si="96"/>
        <v>283.48738729114024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4.4871794871794801</v>
      </c>
      <c r="DO87" s="13">
        <f>IF('Données projet'!$A$166&gt;35,DO86+DN87-DW86,IF(A87&lt;'Données projet'!$A$166,$DL$205^A87,IF(A87='Données projet'!$A$166,'Données projet'!$B$166,DO86+DN87-DW86)))</f>
        <v>312.17948717948713</v>
      </c>
      <c r="DP87" s="18">
        <f>DO87*VLOOKUP('Données projet'!$B$14,Paramètres!$A$1:$I$89,3,0)*VLOOKUP('Données projet'!$B$14,Paramètres!$A$1:$I$89,5,0)</f>
        <v>209.41</v>
      </c>
      <c r="DQ87" s="14">
        <f t="shared" si="97"/>
        <v>51.806634750171533</v>
      </c>
      <c r="DR87" s="22">
        <f t="shared" si="70"/>
        <v>454.95230552321544</v>
      </c>
      <c r="DS87" s="62">
        <f t="shared" si="71"/>
        <v>748.28563885654876</v>
      </c>
      <c r="DT87" s="62">
        <f ca="1">AVERAGE(OFFSET($DS$3,0,0,'Données projet'!$E$14+1,1))-AVERAGE(OFFSET($H$3,0,0,'Données projet'!$E$14+1,1))</f>
        <v>343.33067866534634</v>
      </c>
      <c r="DU87" s="62">
        <f t="shared" si="98"/>
        <v>261.91036689641402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2">
        <f t="shared" si="55"/>
        <v>818.37715982660688</v>
      </c>
      <c r="S88" s="62">
        <f ca="1">AVERAGE(OFFSET($R$3,0,0,'Données projet'!$E$9+1,1))-AVERAGE(OFFSET($H$3,0,0,'Données projet'!$E$9+1,1))</f>
        <v>428.8489304403459</v>
      </c>
      <c r="T88" s="62">
        <f t="shared" si="88"/>
        <v>247.01165577562966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2">
        <f t="shared" si="59"/>
        <v>880.22788412806244</v>
      </c>
      <c r="AN88" s="62">
        <f ca="1">AVERAGE(OFFSET($AM$3,0,0,'Données projet'!$E$10+1,1))-AVERAGE(OFFSET($H$3,0,0,'Données projet'!$E$10+1,1))</f>
        <v>475.47920969424894</v>
      </c>
      <c r="AO88" s="62">
        <f t="shared" si="90"/>
        <v>271.73544012419364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259.20959999999997</v>
      </c>
      <c r="BF88" s="14">
        <f t="shared" si="91"/>
        <v>62.553866774106702</v>
      </c>
      <c r="BG88" s="22">
        <f t="shared" si="61"/>
        <v>560.40470463156907</v>
      </c>
      <c r="BH88" s="62">
        <f t="shared" si="62"/>
        <v>853.73803796490233</v>
      </c>
      <c r="BI88" s="62">
        <f ca="1">AVERAGE(OFFSET($BH$3,0,0,'Données projet'!$E$11+1,1))-AVERAGE(OFFSET($H$3,0,0,'Données projet'!$E$11+1,1))</f>
        <v>455.50822833641354</v>
      </c>
      <c r="BJ88" s="62">
        <f t="shared" si="92"/>
        <v>261.14722581688039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288.47519999999997</v>
      </c>
      <c r="CA88" s="14">
        <f t="shared" si="93"/>
        <v>68.754942080410842</v>
      </c>
      <c r="CB88" s="22">
        <f t="shared" si="64"/>
        <v>622.17583079004874</v>
      </c>
      <c r="CC88" s="62">
        <f t="shared" si="65"/>
        <v>915.50916412338211</v>
      </c>
      <c r="CD88" s="62">
        <f ca="1">AVERAGE(OFFSET($CC$3,0,0,'Données projet'!$E$12+1,1))-AVERAGE(OFFSET($H$3,0,0,'Données projet'!$E$12+1,1))</f>
        <v>502.07782026233912</v>
      </c>
      <c r="CE88" s="62">
        <f t="shared" si="94"/>
        <v>285.83623046025156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5.6843418860808015E-14</v>
      </c>
      <c r="CU88" s="18">
        <f>CT88*VLOOKUP('Données projet'!$B$13,Paramètres!$A$1:$I$89,3,0)*VLOOKUP('Données projet'!$B$13,Paramètres!$A$1:$I$89,5,0)</f>
        <v>4.4337866711430253E-14</v>
      </c>
      <c r="CV88" s="14">
        <f t="shared" si="95"/>
        <v>7.3222115536967035E-13</v>
      </c>
      <c r="CW88" s="22">
        <f t="shared" si="67"/>
        <v>1.3525069634579169E-12</v>
      </c>
      <c r="CX88" s="62">
        <f t="shared" si="68"/>
        <v>293.33333333333468</v>
      </c>
      <c r="CY88" s="62">
        <f ca="1">AVERAGE(OFFSET($CX$3,0,0,'Données projet'!$E$13+1,1))-AVERAGE(OFFSET($H$3,0,0,'Données projet'!$E$13+1,1))</f>
        <v>289.19475369871481</v>
      </c>
      <c r="CZ88" s="62">
        <f t="shared" si="96"/>
        <v>283.48738729114024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316.66666666666663</v>
      </c>
      <c r="DM88" s="13">
        <f>VLOOKUP(A88,'Données projet'!$A$165:$I$185,9,0)</f>
        <v>4.4871794871794801</v>
      </c>
      <c r="DN88" s="13">
        <f t="array" ref="DN88">INDEX(DM:DM,MIN(IF(ISNUMBER(DM88:DM284),ROW(DM88:DM284),"")))</f>
        <v>4.4871794871794801</v>
      </c>
      <c r="DO88" s="13">
        <f>IF('Données projet'!$A$166&gt;35,DO87+DN88-DW87,IF(A88&lt;'Données projet'!$A$166,$DL$205^A88,IF(A88='Données projet'!$A$166,'Données projet'!$B$166,DO87+DN88-DW87)))</f>
        <v>316.66666666666663</v>
      </c>
      <c r="DP88" s="18">
        <f>DO88*VLOOKUP('Données projet'!$B$14,Paramètres!$A$1:$I$89,3,0)*VLOOKUP('Données projet'!$B$14,Paramètres!$A$1:$I$89,5,0)</f>
        <v>212.42</v>
      </c>
      <c r="DQ88" s="14">
        <f t="shared" si="97"/>
        <v>52.464063417089825</v>
      </c>
      <c r="DR88" s="22">
        <f t="shared" si="70"/>
        <v>461.33974378476478</v>
      </c>
      <c r="DS88" s="62">
        <f t="shared" si="71"/>
        <v>754.67307711809804</v>
      </c>
      <c r="DT88" s="62">
        <f ca="1">AVERAGE(OFFSET($DS$3,0,0,'Données projet'!$E$14+1,1))-AVERAGE(OFFSET($H$3,0,0,'Données projet'!$E$14+1,1))</f>
        <v>343.33067866534634</v>
      </c>
      <c r="DU88" s="62">
        <f t="shared" si="98"/>
        <v>261.91036689641402</v>
      </c>
      <c r="DV88" s="16">
        <f>IF(ISNA(VLOOKUP(A88,'Données projet'!$A$165:$I$185,3,0)),0,VLOOKUP(A88,'Données projet'!$A$165:$I$185,3,0))</f>
        <v>8</v>
      </c>
      <c r="DW88" s="16">
        <f>IF(ISNA(VLOOKUP(A88,'Données projet'!$A$165:$I$185,4,0)),0,VLOOKUP(A88,'Données projet'!$A$165:$I$185,4,0))</f>
        <v>27.564102564102562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2">
        <f t="shared" si="55"/>
        <v>829.09611292828231</v>
      </c>
      <c r="S89" s="62">
        <f ca="1">AVERAGE(OFFSET($R$3,0,0,'Données projet'!$E$9+1,1))-AVERAGE(OFFSET($H$3,0,0,'Données projet'!$E$9+1,1))</f>
        <v>428.8489304403459</v>
      </c>
      <c r="T89" s="62">
        <f t="shared" si="88"/>
        <v>247.01165577562966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2">
        <f t="shared" si="59"/>
        <v>892.21253573041304</v>
      </c>
      <c r="AN89" s="62">
        <f ca="1">AVERAGE(OFFSET($AM$3,0,0,'Données projet'!$E$10+1,1))-AVERAGE(OFFSET($H$3,0,0,'Données projet'!$E$10+1,1))</f>
        <v>475.47920969424894</v>
      </c>
      <c r="AO89" s="62">
        <f t="shared" si="90"/>
        <v>271.73544012419364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264.62591999999995</v>
      </c>
      <c r="BF89" s="14">
        <f t="shared" si="91"/>
        <v>63.707422801198604</v>
      </c>
      <c r="BG89" s="22">
        <f t="shared" si="61"/>
        <v>571.84723871208746</v>
      </c>
      <c r="BH89" s="62">
        <f t="shared" si="62"/>
        <v>865.18057204542083</v>
      </c>
      <c r="BI89" s="62">
        <f ca="1">AVERAGE(OFFSET($BH$3,0,0,'Données projet'!$E$11+1,1))-AVERAGE(OFFSET($H$3,0,0,'Données projet'!$E$11+1,1))</f>
        <v>455.50822833641354</v>
      </c>
      <c r="BJ89" s="62">
        <f t="shared" si="92"/>
        <v>261.14722581688039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294.50303999999994</v>
      </c>
      <c r="CA89" s="14">
        <f t="shared" si="93"/>
        <v>70.022852154069838</v>
      </c>
      <c r="CB89" s="22">
        <f t="shared" si="64"/>
        <v>634.88259550167152</v>
      </c>
      <c r="CC89" s="62">
        <f t="shared" si="65"/>
        <v>928.21592883500489</v>
      </c>
      <c r="CD89" s="62">
        <f ca="1">AVERAGE(OFFSET($CC$3,0,0,'Données projet'!$E$12+1,1))-AVERAGE(OFFSET($H$3,0,0,'Données projet'!$E$12+1,1))</f>
        <v>502.07782026233912</v>
      </c>
      <c r="CE89" s="62">
        <f t="shared" si="94"/>
        <v>285.83623046025156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5.6843418860808015E-14</v>
      </c>
      <c r="CU89" s="18">
        <f>CT89*VLOOKUP('Données projet'!$B$13,Paramètres!$A$1:$I$89,3,0)*VLOOKUP('Données projet'!$B$13,Paramètres!$A$1:$I$89,5,0)</f>
        <v>4.4337866711430253E-14</v>
      </c>
      <c r="CV89" s="14">
        <f t="shared" si="95"/>
        <v>7.3222115536967035E-13</v>
      </c>
      <c r="CW89" s="22">
        <f t="shared" si="67"/>
        <v>1.3525069634579169E-12</v>
      </c>
      <c r="CX89" s="62">
        <f t="shared" si="68"/>
        <v>293.33333333333468</v>
      </c>
      <c r="CY89" s="62">
        <f ca="1">AVERAGE(OFFSET($CX$3,0,0,'Données projet'!$E$13+1,1))-AVERAGE(OFFSET($H$3,0,0,'Données projet'!$E$13+1,1))</f>
        <v>289.19475369871481</v>
      </c>
      <c r="CZ89" s="62">
        <f t="shared" si="96"/>
        <v>283.48738729114024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4.1025641025640995</v>
      </c>
      <c r="DO89" s="13">
        <f>IF('Données projet'!$A$166&gt;35,DO88+DN89-DW88,IF(A89&lt;'Données projet'!$A$166,$DL$205^A89,IF(A89='Données projet'!$A$166,'Données projet'!$B$166,DO88+DN89-DW88)))</f>
        <v>293.20512820512818</v>
      </c>
      <c r="DP89" s="18">
        <f>DO89*VLOOKUP('Données projet'!$B$14,Paramètres!$A$1:$I$89,3,0)*VLOOKUP('Données projet'!$B$14,Paramètres!$A$1:$I$89,5,0)</f>
        <v>196.68199999999999</v>
      </c>
      <c r="DQ89" s="14">
        <f t="shared" si="97"/>
        <v>49.014263299588542</v>
      </c>
      <c r="DR89" s="22">
        <f t="shared" si="70"/>
        <v>427.92099191345005</v>
      </c>
      <c r="DS89" s="62">
        <f t="shared" si="71"/>
        <v>721.25432524678331</v>
      </c>
      <c r="DT89" s="62">
        <f ca="1">AVERAGE(OFFSET($DS$3,0,0,'Données projet'!$E$14+1,1))-AVERAGE(OFFSET($H$3,0,0,'Données projet'!$E$14+1,1))</f>
        <v>343.33067866534634</v>
      </c>
      <c r="DU89" s="62">
        <f t="shared" si="98"/>
        <v>261.91036689641402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2">
        <f t="shared" si="55"/>
        <v>839.81055837008694</v>
      </c>
      <c r="S90" s="62">
        <f ca="1">AVERAGE(OFFSET($R$3,0,0,'Données projet'!$E$9+1,1))-AVERAGE(OFFSET($H$3,0,0,'Données projet'!$E$9+1,1))</f>
        <v>428.8489304403459</v>
      </c>
      <c r="T90" s="62">
        <f t="shared" si="88"/>
        <v>247.01165577562966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2">
        <f t="shared" si="59"/>
        <v>904.19220220371358</v>
      </c>
      <c r="AN90" s="62">
        <f ca="1">AVERAGE(OFFSET($AM$3,0,0,'Données projet'!$E$10+1,1))-AVERAGE(OFFSET($H$3,0,0,'Données projet'!$E$10+1,1))</f>
        <v>475.47920969424894</v>
      </c>
      <c r="AO90" s="62">
        <f t="shared" si="90"/>
        <v>271.73544012419364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270.04223999999999</v>
      </c>
      <c r="BF90" s="14">
        <f t="shared" si="91"/>
        <v>64.858233600288145</v>
      </c>
      <c r="BG90" s="22">
        <f t="shared" si="61"/>
        <v>583.28499152050188</v>
      </c>
      <c r="BH90" s="62">
        <f t="shared" si="62"/>
        <v>876.61832485383525</v>
      </c>
      <c r="BI90" s="62">
        <f ca="1">AVERAGE(OFFSET($BH$3,0,0,'Données projet'!$E$11+1,1))-AVERAGE(OFFSET($H$3,0,0,'Données projet'!$E$11+1,1))</f>
        <v>455.50822833641354</v>
      </c>
      <c r="BJ90" s="62">
        <f t="shared" si="92"/>
        <v>261.14722581688039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300.53087999999997</v>
      </c>
      <c r="CA90" s="14">
        <f t="shared" si="93"/>
        <v>71.287744860425462</v>
      </c>
      <c r="CB90" s="22">
        <f t="shared" si="64"/>
        <v>647.58410496524095</v>
      </c>
      <c r="CC90" s="62">
        <f t="shared" si="65"/>
        <v>940.91743829857433</v>
      </c>
      <c r="CD90" s="62">
        <f ca="1">AVERAGE(OFFSET($CC$3,0,0,'Données projet'!$E$12+1,1))-AVERAGE(OFFSET($H$3,0,0,'Données projet'!$E$12+1,1))</f>
        <v>502.07782026233912</v>
      </c>
      <c r="CE90" s="62">
        <f t="shared" si="94"/>
        <v>285.83623046025156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5.6843418860808015E-14</v>
      </c>
      <c r="CU90" s="18">
        <f>CT90*VLOOKUP('Données projet'!$B$13,Paramètres!$A$1:$I$89,3,0)*VLOOKUP('Données projet'!$B$13,Paramètres!$A$1:$I$89,5,0)</f>
        <v>4.4337866711430253E-14</v>
      </c>
      <c r="CV90" s="14">
        <f t="shared" si="95"/>
        <v>7.3222115536967035E-13</v>
      </c>
      <c r="CW90" s="22">
        <f t="shared" si="67"/>
        <v>1.3525069634579169E-12</v>
      </c>
      <c r="CX90" s="62">
        <f t="shared" si="68"/>
        <v>293.33333333333468</v>
      </c>
      <c r="CY90" s="62">
        <f ca="1">AVERAGE(OFFSET($CX$3,0,0,'Données projet'!$E$13+1,1))-AVERAGE(OFFSET($H$3,0,0,'Données projet'!$E$13+1,1))</f>
        <v>289.19475369871481</v>
      </c>
      <c r="CZ90" s="62">
        <f t="shared" si="96"/>
        <v>283.48738729114024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4.1025641025640995</v>
      </c>
      <c r="DO90" s="13">
        <f>IF('Données projet'!$A$166&gt;35,DO89+DN90-DW89,IF(A90&lt;'Données projet'!$A$166,$DL$205^A90,IF(A90='Données projet'!$A$166,'Données projet'!$B$166,DO89+DN90-DW89)))</f>
        <v>297.30769230769226</v>
      </c>
      <c r="DP90" s="18">
        <f>DO90*VLOOKUP('Données projet'!$B$14,Paramètres!$A$1:$I$89,3,0)*VLOOKUP('Données projet'!$B$14,Paramètres!$A$1:$I$89,5,0)</f>
        <v>199.43399999999997</v>
      </c>
      <c r="DQ90" s="14">
        <f t="shared" si="97"/>
        <v>49.619757547165513</v>
      </c>
      <c r="DR90" s="22">
        <f t="shared" si="70"/>
        <v>433.76862772797989</v>
      </c>
      <c r="DS90" s="62">
        <f t="shared" si="71"/>
        <v>727.1019610613132</v>
      </c>
      <c r="DT90" s="62">
        <f ca="1">AVERAGE(OFFSET($DS$3,0,0,'Données projet'!$E$14+1,1))-AVERAGE(OFFSET($H$3,0,0,'Données projet'!$E$14+1,1))</f>
        <v>343.33067866534634</v>
      </c>
      <c r="DU90" s="62">
        <f t="shared" si="98"/>
        <v>261.91036689641402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2">
        <f t="shared" si="55"/>
        <v>850.52059698334892</v>
      </c>
      <c r="S91" s="62">
        <f ca="1">AVERAGE(OFFSET($R$3,0,0,'Données projet'!$E$9+1,1))-AVERAGE(OFFSET($H$3,0,0,'Données projet'!$E$9+1,1))</f>
        <v>428.8489304403459</v>
      </c>
      <c r="T91" s="62">
        <f t="shared" si="88"/>
        <v>247.01165577562966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2">
        <f t="shared" si="59"/>
        <v>916.16699505974566</v>
      </c>
      <c r="AN91" s="62">
        <f ca="1">AVERAGE(OFFSET($AM$3,0,0,'Données projet'!$E$10+1,1))-AVERAGE(OFFSET($H$3,0,0,'Données projet'!$E$10+1,1))</f>
        <v>475.47920969424894</v>
      </c>
      <c r="AO91" s="62">
        <f t="shared" si="90"/>
        <v>271.73544012419364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275.45855999999998</v>
      </c>
      <c r="BF91" s="14">
        <f t="shared" si="91"/>
        <v>66.006360579066197</v>
      </c>
      <c r="BG91" s="22">
        <f t="shared" si="61"/>
        <v>594.71807000854017</v>
      </c>
      <c r="BH91" s="62">
        <f t="shared" si="62"/>
        <v>888.05140334187354</v>
      </c>
      <c r="BI91" s="62">
        <f ca="1">AVERAGE(OFFSET($BH$3,0,0,'Données projet'!$E$11+1,1))-AVERAGE(OFFSET($H$3,0,0,'Données projet'!$E$11+1,1))</f>
        <v>455.50822833641354</v>
      </c>
      <c r="BJ91" s="62">
        <f t="shared" si="92"/>
        <v>261.14722581688039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306.55871999999999</v>
      </c>
      <c r="CA91" s="14">
        <f t="shared" si="93"/>
        <v>72.549687694621639</v>
      </c>
      <c r="CB91" s="22">
        <f t="shared" si="64"/>
        <v>660.28047673479932</v>
      </c>
      <c r="CC91" s="62">
        <f t="shared" si="65"/>
        <v>953.61381006813258</v>
      </c>
      <c r="CD91" s="62">
        <f ca="1">AVERAGE(OFFSET($CC$3,0,0,'Données projet'!$E$12+1,1))-AVERAGE(OFFSET($H$3,0,0,'Données projet'!$E$12+1,1))</f>
        <v>502.07782026233912</v>
      </c>
      <c r="CE91" s="62">
        <f t="shared" si="94"/>
        <v>285.83623046025156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5.6843418860808015E-14</v>
      </c>
      <c r="CU91" s="18">
        <f>CT91*VLOOKUP('Données projet'!$B$13,Paramètres!$A$1:$I$89,3,0)*VLOOKUP('Données projet'!$B$13,Paramètres!$A$1:$I$89,5,0)</f>
        <v>4.4337866711430253E-14</v>
      </c>
      <c r="CV91" s="14">
        <f t="shared" si="95"/>
        <v>7.3222115536967035E-13</v>
      </c>
      <c r="CW91" s="22">
        <f t="shared" si="67"/>
        <v>1.3525069634579169E-12</v>
      </c>
      <c r="CX91" s="62">
        <f t="shared" si="68"/>
        <v>293.33333333333468</v>
      </c>
      <c r="CY91" s="62">
        <f ca="1">AVERAGE(OFFSET($CX$3,0,0,'Données projet'!$E$13+1,1))-AVERAGE(OFFSET($H$3,0,0,'Données projet'!$E$13+1,1))</f>
        <v>289.19475369871481</v>
      </c>
      <c r="CZ91" s="62">
        <f t="shared" si="96"/>
        <v>283.48738729114024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4.1025641025640995</v>
      </c>
      <c r="DO91" s="13">
        <f>IF('Données projet'!$A$166&gt;35,DO90+DN91-DW90,IF(A91&lt;'Données projet'!$A$166,$DL$205^A91,IF(A91='Données projet'!$A$166,'Données projet'!$B$166,DO90+DN91-DW90)))</f>
        <v>301.41025641025635</v>
      </c>
      <c r="DP91" s="18">
        <f>DO91*VLOOKUP('Données projet'!$B$14,Paramètres!$A$1:$I$89,3,0)*VLOOKUP('Données projet'!$B$14,Paramètres!$A$1:$I$89,5,0)</f>
        <v>202.18599999999998</v>
      </c>
      <c r="DQ91" s="14">
        <f t="shared" si="97"/>
        <v>50.224279992116678</v>
      </c>
      <c r="DR91" s="22">
        <f t="shared" si="70"/>
        <v>439.61457098626988</v>
      </c>
      <c r="DS91" s="62">
        <f t="shared" si="71"/>
        <v>732.94790431960314</v>
      </c>
      <c r="DT91" s="62">
        <f ca="1">AVERAGE(OFFSET($DS$3,0,0,'Données projet'!$E$14+1,1))-AVERAGE(OFFSET($H$3,0,0,'Données projet'!$E$14+1,1))</f>
        <v>343.33067866534634</v>
      </c>
      <c r="DU91" s="62">
        <f t="shared" si="98"/>
        <v>261.91036689641402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2">
        <f t="shared" si="55"/>
        <v>861.22632540732775</v>
      </c>
      <c r="S92" s="62">
        <f ca="1">AVERAGE(OFFSET($R$3,0,0,'Données projet'!$E$9+1,1))-AVERAGE(OFFSET($H$3,0,0,'Données projet'!$E$9+1,1))</f>
        <v>428.8489304403459</v>
      </c>
      <c r="T92" s="62">
        <f t="shared" si="88"/>
        <v>247.01165577562966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2">
        <f t="shared" si="59"/>
        <v>928.13702117418165</v>
      </c>
      <c r="AN92" s="62">
        <f ca="1">AVERAGE(OFFSET($AM$3,0,0,'Données projet'!$E$10+1,1))-AVERAGE(OFFSET($H$3,0,0,'Données projet'!$E$10+1,1))</f>
        <v>475.47920969424894</v>
      </c>
      <c r="AO92" s="62">
        <f t="shared" si="90"/>
        <v>271.73544012419364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280.87488000000008</v>
      </c>
      <c r="BF92" s="14">
        <f t="shared" si="91"/>
        <v>67.151862592195855</v>
      </c>
      <c r="BG92" s="22">
        <f t="shared" si="61"/>
        <v>606.14657668140785</v>
      </c>
      <c r="BH92" s="62">
        <f t="shared" si="62"/>
        <v>899.47991001474111</v>
      </c>
      <c r="BI92" s="62">
        <f ca="1">AVERAGE(OFFSET($BH$3,0,0,'Données projet'!$E$11+1,1))-AVERAGE(OFFSET($H$3,0,0,'Données projet'!$E$11+1,1))</f>
        <v>455.50822833641354</v>
      </c>
      <c r="BJ92" s="62">
        <f t="shared" si="92"/>
        <v>261.14722581688039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312.58656000000002</v>
      </c>
      <c r="CA92" s="14">
        <f t="shared" si="93"/>
        <v>73.808745345687967</v>
      </c>
      <c r="CB92" s="22">
        <f t="shared" si="64"/>
        <v>672.97182347707314</v>
      </c>
      <c r="CC92" s="62">
        <f t="shared" si="65"/>
        <v>966.30515681040652</v>
      </c>
      <c r="CD92" s="62">
        <f ca="1">AVERAGE(OFFSET($CC$3,0,0,'Données projet'!$E$12+1,1))-AVERAGE(OFFSET($H$3,0,0,'Données projet'!$E$12+1,1))</f>
        <v>502.07782026233912</v>
      </c>
      <c r="CE92" s="62">
        <f t="shared" si="94"/>
        <v>285.83623046025156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5.6843418860808015E-14</v>
      </c>
      <c r="CU92" s="18">
        <f>CT92*VLOOKUP('Données projet'!$B$13,Paramètres!$A$1:$I$89,3,0)*VLOOKUP('Données projet'!$B$13,Paramètres!$A$1:$I$89,5,0)</f>
        <v>4.4337866711430253E-14</v>
      </c>
      <c r="CV92" s="14">
        <f t="shared" si="95"/>
        <v>7.3222115536967035E-13</v>
      </c>
      <c r="CW92" s="22">
        <f t="shared" si="67"/>
        <v>1.3525069634579169E-12</v>
      </c>
      <c r="CX92" s="62">
        <f t="shared" si="68"/>
        <v>293.33333333333468</v>
      </c>
      <c r="CY92" s="62">
        <f ca="1">AVERAGE(OFFSET($CX$3,0,0,'Données projet'!$E$13+1,1))-AVERAGE(OFFSET($H$3,0,0,'Données projet'!$E$13+1,1))</f>
        <v>289.19475369871481</v>
      </c>
      <c r="CZ92" s="62">
        <f t="shared" si="96"/>
        <v>283.48738729114024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4.1025641025640995</v>
      </c>
      <c r="DO92" s="13">
        <f>IF('Données projet'!$A$166&gt;35,DO91+DN92-DW91,IF(A92&lt;'Données projet'!$A$166,$DL$205^A92,IF(A92='Données projet'!$A$166,'Données projet'!$B$166,DO91+DN92-DW91)))</f>
        <v>305.51282051282044</v>
      </c>
      <c r="DP92" s="18">
        <f>DO92*VLOOKUP('Données projet'!$B$14,Paramètres!$A$1:$I$89,3,0)*VLOOKUP('Données projet'!$B$14,Paramètres!$A$1:$I$89,5,0)</f>
        <v>204.93799999999999</v>
      </c>
      <c r="DQ92" s="14">
        <f t="shared" si="97"/>
        <v>50.827845390767983</v>
      </c>
      <c r="DR92" s="22">
        <f t="shared" si="70"/>
        <v>445.4588473889209</v>
      </c>
      <c r="DS92" s="62">
        <f t="shared" si="71"/>
        <v>738.79218072225422</v>
      </c>
      <c r="DT92" s="62">
        <f ca="1">AVERAGE(OFFSET($DS$3,0,0,'Données projet'!$E$14+1,1))-AVERAGE(OFFSET($H$3,0,0,'Données projet'!$E$14+1,1))</f>
        <v>343.33067866534634</v>
      </c>
      <c r="DU92" s="62">
        <f t="shared" si="98"/>
        <v>261.91036689641402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2">
        <f t="shared" si="55"/>
        <v>871.92783634092143</v>
      </c>
      <c r="S93" s="62">
        <f ca="1">AVERAGE(OFFSET($R$3,0,0,'Données projet'!$E$9+1,1))-AVERAGE(OFFSET($H$3,0,0,'Données projet'!$E$9+1,1))</f>
        <v>428.8489304403459</v>
      </c>
      <c r="T93" s="62">
        <f t="shared" si="88"/>
        <v>247.01165577562966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2">
        <f t="shared" si="59"/>
        <v>940.10238306495398</v>
      </c>
      <c r="AN93" s="62">
        <f ca="1">AVERAGE(OFFSET($AM$3,0,0,'Données projet'!$E$10+1,1))-AVERAGE(OFFSET($H$3,0,0,'Données projet'!$E$10+1,1))</f>
        <v>475.47920969424894</v>
      </c>
      <c r="AO93" s="62">
        <f t="shared" si="90"/>
        <v>271.73544012419364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286.29120000000006</v>
      </c>
      <c r="BF93" s="14">
        <f t="shared" si="91"/>
        <v>68.294796094604408</v>
      </c>
      <c r="BG93" s="22">
        <f t="shared" si="61"/>
        <v>617.57060986476938</v>
      </c>
      <c r="BH93" s="62">
        <f t="shared" si="62"/>
        <v>910.90394319810275</v>
      </c>
      <c r="BI93" s="62">
        <f ca="1">AVERAGE(OFFSET($BH$3,0,0,'Données projet'!$E$11+1,1))-AVERAGE(OFFSET($H$3,0,0,'Données projet'!$E$11+1,1))</f>
        <v>455.50822833641354</v>
      </c>
      <c r="BJ93" s="62">
        <f t="shared" si="92"/>
        <v>261.14722581688039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318.61440000000005</v>
      </c>
      <c r="CA93" s="14">
        <f t="shared" si="93"/>
        <v>75.06497986502842</v>
      </c>
      <c r="CB93" s="22">
        <f t="shared" si="64"/>
        <v>685.6582532649245</v>
      </c>
      <c r="CC93" s="62">
        <f t="shared" si="65"/>
        <v>978.99158659825775</v>
      </c>
      <c r="CD93" s="62">
        <f ca="1">AVERAGE(OFFSET($CC$3,0,0,'Données projet'!$E$12+1,1))-AVERAGE(OFFSET($H$3,0,0,'Données projet'!$E$12+1,1))</f>
        <v>502.07782026233912</v>
      </c>
      <c r="CE93" s="62">
        <f t="shared" si="94"/>
        <v>285.83623046025156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5.6843418860808015E-14</v>
      </c>
      <c r="CU93" s="18">
        <f>CT93*VLOOKUP('Données projet'!$B$13,Paramètres!$A$1:$I$89,3,0)*VLOOKUP('Données projet'!$B$13,Paramètres!$A$1:$I$89,5,0)</f>
        <v>4.4337866711430253E-14</v>
      </c>
      <c r="CV93" s="14">
        <f t="shared" si="95"/>
        <v>7.3222115536967035E-13</v>
      </c>
      <c r="CW93" s="22">
        <f t="shared" si="67"/>
        <v>1.3525069634579169E-12</v>
      </c>
      <c r="CX93" s="62">
        <f t="shared" si="68"/>
        <v>293.33333333333468</v>
      </c>
      <c r="CY93" s="62">
        <f ca="1">AVERAGE(OFFSET($CX$3,0,0,'Données projet'!$E$13+1,1))-AVERAGE(OFFSET($H$3,0,0,'Données projet'!$E$13+1,1))</f>
        <v>289.19475369871481</v>
      </c>
      <c r="CZ93" s="62">
        <f t="shared" si="96"/>
        <v>283.48738729114024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309.61538461538458</v>
      </c>
      <c r="DM93" s="13">
        <f>VLOOKUP(A93,'Données projet'!$A$165:$I$185,9,0)</f>
        <v>4.1025641025640995</v>
      </c>
      <c r="DN93" s="13">
        <f t="array" ref="DN93">INDEX(DM:DM,MIN(IF(ISNUMBER(DM93:DM289),ROW(DM93:DM289),"")))</f>
        <v>4.1025641025640995</v>
      </c>
      <c r="DO93" s="13">
        <f>IF('Données projet'!$A$166&gt;35,DO92+DN93-DW92,IF(A93&lt;'Données projet'!$A$166,$DL$205^A93,IF(A93='Données projet'!$A$166,'Données projet'!$B$166,DO92+DN93-DW92)))</f>
        <v>309.61538461538453</v>
      </c>
      <c r="DP93" s="18">
        <f>DO93*VLOOKUP('Données projet'!$B$14,Paramètres!$A$1:$I$89,3,0)*VLOOKUP('Données projet'!$B$14,Paramètres!$A$1:$I$89,5,0)</f>
        <v>207.68999999999997</v>
      </c>
      <c r="DQ93" s="14">
        <f t="shared" si="97"/>
        <v>51.430468080360896</v>
      </c>
      <c r="DR93" s="22">
        <f t="shared" si="70"/>
        <v>451.30148190662845</v>
      </c>
      <c r="DS93" s="62">
        <f t="shared" si="71"/>
        <v>744.63481523996177</v>
      </c>
      <c r="DT93" s="62">
        <f ca="1">AVERAGE(OFFSET($DS$3,0,0,'Données projet'!$E$14+1,1))-AVERAGE(OFFSET($H$3,0,0,'Données projet'!$E$14+1,1))</f>
        <v>343.33067866534634</v>
      </c>
      <c r="DU93" s="62">
        <f t="shared" si="98"/>
        <v>261.91036689641402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2">
        <f t="shared" si="55"/>
        <v>800.94897376928998</v>
      </c>
      <c r="S94" s="62">
        <f ca="1">AVERAGE(OFFSET($R$3,0,0,'Données projet'!$E$9+1,1))-AVERAGE(OFFSET($H$3,0,0,'Données projet'!$E$9+1,1))</f>
        <v>428.8489304403459</v>
      </c>
      <c r="T94" s="62">
        <f t="shared" si="88"/>
        <v>247.01165577562966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2">
        <f t="shared" si="59"/>
        <v>860.74189070867442</v>
      </c>
      <c r="AN94" s="62">
        <f ca="1">AVERAGE(OFFSET($AM$3,0,0,'Données projet'!$E$10+1,1))-AVERAGE(OFFSET($H$3,0,0,'Données projet'!$E$10+1,1))</f>
        <v>475.47920969424894</v>
      </c>
      <c r="AO94" s="62">
        <f t="shared" si="90"/>
        <v>271.73544012419364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250.40808000000004</v>
      </c>
      <c r="BF94" s="14">
        <f t="shared" si="91"/>
        <v>60.67331674592576</v>
      </c>
      <c r="BG94" s="22">
        <f t="shared" si="61"/>
        <v>541.80009933248743</v>
      </c>
      <c r="BH94" s="62">
        <f t="shared" si="62"/>
        <v>835.13343266582069</v>
      </c>
      <c r="BI94" s="62">
        <f ca="1">AVERAGE(OFFSET($BH$3,0,0,'Données projet'!$E$11+1,1))-AVERAGE(OFFSET($H$3,0,0,'Données projet'!$E$11+1,1))</f>
        <v>455.50822833641354</v>
      </c>
      <c r="BJ94" s="62">
        <f t="shared" si="92"/>
        <v>261.14722581688039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278.67996000000005</v>
      </c>
      <c r="CA94" s="14">
        <f t="shared" si="93"/>
        <v>66.687969806197728</v>
      </c>
      <c r="CB94" s="22">
        <f t="shared" si="64"/>
        <v>601.51581107912773</v>
      </c>
      <c r="CC94" s="62">
        <f t="shared" si="65"/>
        <v>894.8491444124611</v>
      </c>
      <c r="CD94" s="62">
        <f ca="1">AVERAGE(OFFSET($CC$3,0,0,'Données projet'!$E$12+1,1))-AVERAGE(OFFSET($H$3,0,0,'Données projet'!$E$12+1,1))</f>
        <v>502.07782026233912</v>
      </c>
      <c r="CE94" s="62">
        <f t="shared" si="94"/>
        <v>285.83623046025156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5.6843418860808015E-14</v>
      </c>
      <c r="CU94" s="18">
        <f>CT94*VLOOKUP('Données projet'!$B$13,Paramètres!$A$1:$I$89,3,0)*VLOOKUP('Données projet'!$B$13,Paramètres!$A$1:$I$89,5,0)</f>
        <v>4.4337866711430253E-14</v>
      </c>
      <c r="CV94" s="14">
        <f t="shared" si="95"/>
        <v>7.3222115536967035E-13</v>
      </c>
      <c r="CW94" s="22">
        <f t="shared" si="67"/>
        <v>1.3525069634579169E-12</v>
      </c>
      <c r="CX94" s="62">
        <f t="shared" si="68"/>
        <v>293.33333333333468</v>
      </c>
      <c r="CY94" s="62">
        <f ca="1">AVERAGE(OFFSET($CX$3,0,0,'Données projet'!$E$13+1,1))-AVERAGE(OFFSET($H$3,0,0,'Données projet'!$E$13+1,1))</f>
        <v>289.19475369871481</v>
      </c>
      <c r="CZ94" s="62">
        <f t="shared" si="96"/>
        <v>283.48738729114024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3.9743589743589838</v>
      </c>
      <c r="DO94" s="13">
        <f>IF('Données projet'!$A$166&gt;35,DO93+DN94-DW93,IF(A94&lt;'Données projet'!$A$166,$DL$205^A94,IF(A94='Données projet'!$A$166,'Données projet'!$B$166,DO93+DN94-DW93)))</f>
        <v>313.58974358974353</v>
      </c>
      <c r="DP94" s="18">
        <f>DO94*VLOOKUP('Données projet'!$B$14,Paramètres!$A$1:$I$89,3,0)*VLOOKUP('Données projet'!$B$14,Paramètres!$A$1:$I$89,5,0)</f>
        <v>210.35599999999997</v>
      </c>
      <c r="DQ94" s="14">
        <f t="shared" si="97"/>
        <v>52.013372984495476</v>
      </c>
      <c r="DR94" s="22">
        <f t="shared" si="70"/>
        <v>456.95999128132956</v>
      </c>
      <c r="DS94" s="62">
        <f t="shared" si="71"/>
        <v>750.29332461466288</v>
      </c>
      <c r="DT94" s="62">
        <f ca="1">AVERAGE(OFFSET($DS$3,0,0,'Données projet'!$E$14+1,1))-AVERAGE(OFFSET($H$3,0,0,'Données projet'!$E$14+1,1))</f>
        <v>343.33067866534634</v>
      </c>
      <c r="DU94" s="62">
        <f t="shared" si="98"/>
        <v>261.91036689641402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2">
        <f t="shared" si="55"/>
        <v>810.33492368208931</v>
      </c>
      <c r="S95" s="62">
        <f ca="1">AVERAGE(OFFSET($R$3,0,0,'Données projet'!$E$9+1,1))-AVERAGE(OFFSET($H$3,0,0,'Données projet'!$E$9+1,1))</f>
        <v>428.8489304403459</v>
      </c>
      <c r="T95" s="62">
        <f t="shared" si="88"/>
        <v>247.01165577562966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2">
        <f t="shared" si="59"/>
        <v>871.23605407804735</v>
      </c>
      <c r="AN95" s="62">
        <f ca="1">AVERAGE(OFFSET($AM$3,0,0,'Données projet'!$E$10+1,1))-AVERAGE(OFFSET($H$3,0,0,'Données projet'!$E$10+1,1))</f>
        <v>475.47920969424894</v>
      </c>
      <c r="AO95" s="62">
        <f t="shared" si="90"/>
        <v>271.73544012419364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255.14736000000002</v>
      </c>
      <c r="BF95" s="14">
        <f t="shared" si="91"/>
        <v>61.686859728645651</v>
      </c>
      <c r="BG95" s="22">
        <f t="shared" si="61"/>
        <v>551.81959936072451</v>
      </c>
      <c r="BH95" s="62">
        <f t="shared" si="62"/>
        <v>845.15293269405788</v>
      </c>
      <c r="BI95" s="62">
        <f ca="1">AVERAGE(OFFSET($BH$3,0,0,'Données projet'!$E$11+1,1))-AVERAGE(OFFSET($H$3,0,0,'Données projet'!$E$11+1,1))</f>
        <v>455.50822833641354</v>
      </c>
      <c r="BJ95" s="62">
        <f t="shared" si="92"/>
        <v>261.14722581688039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283.95432</v>
      </c>
      <c r="CA95" s="14">
        <f t="shared" si="93"/>
        <v>67.801987095081913</v>
      </c>
      <c r="CB95" s="22">
        <f t="shared" si="64"/>
        <v>612.64223485726768</v>
      </c>
      <c r="CC95" s="62">
        <f t="shared" si="65"/>
        <v>905.97556819060105</v>
      </c>
      <c r="CD95" s="62">
        <f ca="1">AVERAGE(OFFSET($CC$3,0,0,'Données projet'!$E$12+1,1))-AVERAGE(OFFSET($H$3,0,0,'Données projet'!$E$12+1,1))</f>
        <v>502.07782026233912</v>
      </c>
      <c r="CE95" s="62">
        <f t="shared" si="94"/>
        <v>285.83623046025156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5.6843418860808015E-14</v>
      </c>
      <c r="CU95" s="18">
        <f>CT95*VLOOKUP('Données projet'!$B$13,Paramètres!$A$1:$I$89,3,0)*VLOOKUP('Données projet'!$B$13,Paramètres!$A$1:$I$89,5,0)</f>
        <v>4.4337866711430253E-14</v>
      </c>
      <c r="CV95" s="14">
        <f t="shared" si="95"/>
        <v>7.3222115536967035E-13</v>
      </c>
      <c r="CW95" s="22">
        <f t="shared" si="67"/>
        <v>1.3525069634579169E-12</v>
      </c>
      <c r="CX95" s="62">
        <f t="shared" si="68"/>
        <v>293.33333333333468</v>
      </c>
      <c r="CY95" s="62">
        <f ca="1">AVERAGE(OFFSET($CX$3,0,0,'Données projet'!$E$13+1,1))-AVERAGE(OFFSET($H$3,0,0,'Données projet'!$E$13+1,1))</f>
        <v>289.19475369871481</v>
      </c>
      <c r="CZ95" s="62">
        <f t="shared" si="96"/>
        <v>283.48738729114024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3.9743589743589838</v>
      </c>
      <c r="DO95" s="13">
        <f>IF('Données projet'!$A$166&gt;35,DO94+DN95-DW94,IF(A95&lt;'Données projet'!$A$166,$DL$205^A95,IF(A95='Données projet'!$A$166,'Données projet'!$B$166,DO94+DN95-DW94)))</f>
        <v>317.56410256410254</v>
      </c>
      <c r="DP95" s="18">
        <f>DO95*VLOOKUP('Données projet'!$B$14,Paramètres!$A$1:$I$89,3,0)*VLOOKUP('Données projet'!$B$14,Paramètres!$A$1:$I$89,5,0)</f>
        <v>213.02199999999996</v>
      </c>
      <c r="DQ95" s="14">
        <f t="shared" si="97"/>
        <v>52.595418582472995</v>
      </c>
      <c r="DR95" s="22">
        <f t="shared" si="70"/>
        <v>462.61700403114037</v>
      </c>
      <c r="DS95" s="62">
        <f t="shared" si="71"/>
        <v>755.95033736447363</v>
      </c>
      <c r="DT95" s="62">
        <f ca="1">AVERAGE(OFFSET($DS$3,0,0,'Données projet'!$E$14+1,1))-AVERAGE(OFFSET($H$3,0,0,'Données projet'!$E$14+1,1))</f>
        <v>343.33067866534634</v>
      </c>
      <c r="DU95" s="62">
        <f t="shared" si="98"/>
        <v>261.91036689641402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2">
        <f t="shared" si="55"/>
        <v>819.71727903145597</v>
      </c>
      <c r="S96" s="62">
        <f ca="1">AVERAGE(OFFSET($R$3,0,0,'Données projet'!$E$9+1,1))-AVERAGE(OFFSET($H$3,0,0,'Données projet'!$E$9+1,1))</f>
        <v>428.8489304403459</v>
      </c>
      <c r="T96" s="62">
        <f t="shared" si="88"/>
        <v>247.01165577562966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2">
        <f t="shared" si="59"/>
        <v>881.72624213359745</v>
      </c>
      <c r="AN96" s="62">
        <f ca="1">AVERAGE(OFFSET($AM$3,0,0,'Données projet'!$E$10+1,1))-AVERAGE(OFFSET($H$3,0,0,'Données projet'!$E$10+1,1))</f>
        <v>475.47920969424894</v>
      </c>
      <c r="AO96" s="62">
        <f t="shared" si="90"/>
        <v>271.73544012419364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259.88664</v>
      </c>
      <c r="BF96" s="14">
        <f t="shared" si="91"/>
        <v>62.698213571884004</v>
      </c>
      <c r="BG96" s="22">
        <f t="shared" si="61"/>
        <v>561.835286637698</v>
      </c>
      <c r="BH96" s="62">
        <f t="shared" si="62"/>
        <v>855.16861997103138</v>
      </c>
      <c r="BI96" s="62">
        <f ca="1">AVERAGE(OFFSET($BH$3,0,0,'Données projet'!$E$11+1,1))-AVERAGE(OFFSET($H$3,0,0,'Données projet'!$E$11+1,1))</f>
        <v>455.50822833641354</v>
      </c>
      <c r="BJ96" s="62">
        <f t="shared" si="92"/>
        <v>261.14722581688039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289.22868</v>
      </c>
      <c r="CA96" s="14">
        <f t="shared" si="93"/>
        <v>68.913598231220931</v>
      </c>
      <c r="CB96" s="22">
        <f t="shared" si="64"/>
        <v>623.76446791937644</v>
      </c>
      <c r="CC96" s="62">
        <f t="shared" si="65"/>
        <v>917.09780125270981</v>
      </c>
      <c r="CD96" s="62">
        <f ca="1">AVERAGE(OFFSET($CC$3,0,0,'Données projet'!$E$12+1,1))-AVERAGE(OFFSET($H$3,0,0,'Données projet'!$E$12+1,1))</f>
        <v>502.07782026233912</v>
      </c>
      <c r="CE96" s="62">
        <f t="shared" si="94"/>
        <v>285.83623046025156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5.6843418860808015E-14</v>
      </c>
      <c r="CU96" s="18">
        <f>CT96*VLOOKUP('Données projet'!$B$13,Paramètres!$A$1:$I$89,3,0)*VLOOKUP('Données projet'!$B$13,Paramètres!$A$1:$I$89,5,0)</f>
        <v>4.4337866711430253E-14</v>
      </c>
      <c r="CV96" s="14">
        <f t="shared" si="95"/>
        <v>7.3222115536967035E-13</v>
      </c>
      <c r="CW96" s="22">
        <f t="shared" si="67"/>
        <v>1.3525069634579169E-12</v>
      </c>
      <c r="CX96" s="62">
        <f t="shared" si="68"/>
        <v>293.33333333333468</v>
      </c>
      <c r="CY96" s="62">
        <f ca="1">AVERAGE(OFFSET($CX$3,0,0,'Données projet'!$E$13+1,1))-AVERAGE(OFFSET($H$3,0,0,'Données projet'!$E$13+1,1))</f>
        <v>289.19475369871481</v>
      </c>
      <c r="CZ96" s="62">
        <f t="shared" si="96"/>
        <v>283.48738729114024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3.9743589743589838</v>
      </c>
      <c r="DO96" s="13">
        <f>IF('Données projet'!$A$166&gt;35,DO95+DN96-DW95,IF(A96&lt;'Données projet'!$A$166,$DL$205^A96,IF(A96='Données projet'!$A$166,'Données projet'!$B$166,DO95+DN96-DW95)))</f>
        <v>321.53846153846155</v>
      </c>
      <c r="DP96" s="18">
        <f>DO96*VLOOKUP('Données projet'!$B$14,Paramètres!$A$1:$I$89,3,0)*VLOOKUP('Données projet'!$B$14,Paramètres!$A$1:$I$89,5,0)</f>
        <v>215.68800000000002</v>
      </c>
      <c r="DQ96" s="14">
        <f t="shared" si="97"/>
        <v>53.17661687232367</v>
      </c>
      <c r="DR96" s="22">
        <f t="shared" si="70"/>
        <v>468.2725410526304</v>
      </c>
      <c r="DS96" s="62">
        <f t="shared" si="71"/>
        <v>761.60587438596372</v>
      </c>
      <c r="DT96" s="62">
        <f ca="1">AVERAGE(OFFSET($DS$3,0,0,'Données projet'!$E$14+1,1))-AVERAGE(OFFSET($H$3,0,0,'Données projet'!$E$14+1,1))</f>
        <v>343.33067866534634</v>
      </c>
      <c r="DU96" s="62">
        <f t="shared" si="98"/>
        <v>261.91036689641402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2">
        <f t="shared" si="55"/>
        <v>829.09611292828231</v>
      </c>
      <c r="S97" s="62">
        <f ca="1">AVERAGE(OFFSET($R$3,0,0,'Données projet'!$E$9+1,1))-AVERAGE(OFFSET($H$3,0,0,'Données projet'!$E$9+1,1))</f>
        <v>428.8489304403459</v>
      </c>
      <c r="T97" s="62">
        <f t="shared" si="88"/>
        <v>247.01165577562966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2">
        <f t="shared" si="59"/>
        <v>892.21253573041304</v>
      </c>
      <c r="AN97" s="62">
        <f ca="1">AVERAGE(OFFSET($AM$3,0,0,'Données projet'!$E$10+1,1))-AVERAGE(OFFSET($H$3,0,0,'Données projet'!$E$10+1,1))</f>
        <v>475.47920969424894</v>
      </c>
      <c r="AO97" s="62">
        <f t="shared" si="90"/>
        <v>271.73544012419364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264.62591999999995</v>
      </c>
      <c r="BF97" s="14">
        <f t="shared" si="91"/>
        <v>63.707422801198604</v>
      </c>
      <c r="BG97" s="22">
        <f t="shared" si="61"/>
        <v>571.84723871208746</v>
      </c>
      <c r="BH97" s="62">
        <f t="shared" si="62"/>
        <v>865.18057204542083</v>
      </c>
      <c r="BI97" s="62">
        <f ca="1">AVERAGE(OFFSET($BH$3,0,0,'Données projet'!$E$11+1,1))-AVERAGE(OFFSET($H$3,0,0,'Données projet'!$E$11+1,1))</f>
        <v>455.50822833641354</v>
      </c>
      <c r="BJ97" s="62">
        <f t="shared" si="92"/>
        <v>261.14722581688039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294.50303999999994</v>
      </c>
      <c r="CA97" s="14">
        <f t="shared" si="93"/>
        <v>70.022852154069838</v>
      </c>
      <c r="CB97" s="22">
        <f t="shared" si="64"/>
        <v>634.88259550167152</v>
      </c>
      <c r="CC97" s="62">
        <f t="shared" si="65"/>
        <v>928.21592883500489</v>
      </c>
      <c r="CD97" s="62">
        <f ca="1">AVERAGE(OFFSET($CC$3,0,0,'Données projet'!$E$12+1,1))-AVERAGE(OFFSET($H$3,0,0,'Données projet'!$E$12+1,1))</f>
        <v>502.07782026233912</v>
      </c>
      <c r="CE97" s="62">
        <f t="shared" si="94"/>
        <v>285.83623046025156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5.6843418860808015E-14</v>
      </c>
      <c r="CU97" s="18">
        <f>CT97*VLOOKUP('Données projet'!$B$13,Paramètres!$A$1:$I$89,3,0)*VLOOKUP('Données projet'!$B$13,Paramètres!$A$1:$I$89,5,0)</f>
        <v>4.4337866711430253E-14</v>
      </c>
      <c r="CV97" s="14">
        <f t="shared" si="95"/>
        <v>7.3222115536967035E-13</v>
      </c>
      <c r="CW97" s="22">
        <f t="shared" si="67"/>
        <v>1.3525069634579169E-12</v>
      </c>
      <c r="CX97" s="62">
        <f t="shared" si="68"/>
        <v>293.33333333333468</v>
      </c>
      <c r="CY97" s="62">
        <f ca="1">AVERAGE(OFFSET($CX$3,0,0,'Données projet'!$E$13+1,1))-AVERAGE(OFFSET($H$3,0,0,'Données projet'!$E$13+1,1))</f>
        <v>289.19475369871481</v>
      </c>
      <c r="CZ97" s="62">
        <f t="shared" si="96"/>
        <v>283.48738729114024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3.9743589743589838</v>
      </c>
      <c r="DO97" s="13">
        <f>IF('Données projet'!$A$166&gt;35,DO96+DN97-DW96,IF(A97&lt;'Données projet'!$A$166,$DL$205^A97,IF(A97='Données projet'!$A$166,'Données projet'!$B$166,DO96+DN97-DW96)))</f>
        <v>325.51282051282055</v>
      </c>
      <c r="DP97" s="18">
        <f>DO97*VLOOKUP('Données projet'!$B$14,Paramètres!$A$1:$I$89,3,0)*VLOOKUP('Données projet'!$B$14,Paramètres!$A$1:$I$89,5,0)</f>
        <v>218.35400000000001</v>
      </c>
      <c r="DQ97" s="14">
        <f t="shared" si="97"/>
        <v>53.756979538415074</v>
      </c>
      <c r="DR97" s="22">
        <f t="shared" si="70"/>
        <v>473.92662269607291</v>
      </c>
      <c r="DS97" s="62">
        <f t="shared" si="71"/>
        <v>767.25995602940623</v>
      </c>
      <c r="DT97" s="62">
        <f ca="1">AVERAGE(OFFSET($DS$3,0,0,'Données projet'!$E$14+1,1))-AVERAGE(OFFSET($H$3,0,0,'Données projet'!$E$14+1,1))</f>
        <v>343.33067866534634</v>
      </c>
      <c r="DU97" s="62">
        <f t="shared" si="98"/>
        <v>261.91036689641402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2">
        <f t="shared" si="55"/>
        <v>838.4714957147562</v>
      </c>
      <c r="S98" s="62">
        <f ca="1">AVERAGE(OFFSET($R$3,0,0,'Données projet'!$E$9+1,1))-AVERAGE(OFFSET($H$3,0,0,'Données projet'!$E$9+1,1))</f>
        <v>428.8489304403459</v>
      </c>
      <c r="T98" s="62">
        <f t="shared" si="88"/>
        <v>247.01165577562966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2">
        <f t="shared" si="59"/>
        <v>902.69501266160501</v>
      </c>
      <c r="AN98" s="62">
        <f ca="1">AVERAGE(OFFSET($AM$3,0,0,'Données projet'!$E$10+1,1))-AVERAGE(OFFSET($H$3,0,0,'Données projet'!$E$10+1,1))</f>
        <v>475.47920969424894</v>
      </c>
      <c r="AO98" s="62">
        <f t="shared" si="90"/>
        <v>271.73544012419364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269.36519999999996</v>
      </c>
      <c r="BF98" s="14">
        <f t="shared" si="91"/>
        <v>64.714530255967034</v>
      </c>
      <c r="BG98" s="22">
        <f t="shared" si="61"/>
        <v>581.85553019580914</v>
      </c>
      <c r="BH98" s="62">
        <f t="shared" si="62"/>
        <v>875.18886352914251</v>
      </c>
      <c r="BI98" s="62">
        <f ca="1">AVERAGE(OFFSET($BH$3,0,0,'Données projet'!$E$11+1,1))-AVERAGE(OFFSET($H$3,0,0,'Données projet'!$E$11+1,1))</f>
        <v>455.50822833641354</v>
      </c>
      <c r="BJ98" s="62">
        <f t="shared" si="92"/>
        <v>261.14722581688039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299.77739999999989</v>
      </c>
      <c r="CA98" s="14">
        <f t="shared" si="93"/>
        <v>71.129795949749251</v>
      </c>
      <c r="CB98" s="22">
        <f t="shared" si="64"/>
        <v>645.9966996124798</v>
      </c>
      <c r="CC98" s="62">
        <f t="shared" si="65"/>
        <v>939.33003294581317</v>
      </c>
      <c r="CD98" s="62">
        <f ca="1">AVERAGE(OFFSET($CC$3,0,0,'Données projet'!$E$12+1,1))-AVERAGE(OFFSET($H$3,0,0,'Données projet'!$E$12+1,1))</f>
        <v>502.07782026233912</v>
      </c>
      <c r="CE98" s="62">
        <f t="shared" si="94"/>
        <v>285.83623046025156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5.6843418860808015E-14</v>
      </c>
      <c r="CU98" s="18">
        <f>CT98*VLOOKUP('Données projet'!$B$13,Paramètres!$A$1:$I$89,3,0)*VLOOKUP('Données projet'!$B$13,Paramètres!$A$1:$I$89,5,0)</f>
        <v>4.4337866711430253E-14</v>
      </c>
      <c r="CV98" s="14">
        <f t="shared" si="95"/>
        <v>7.3222115536967035E-13</v>
      </c>
      <c r="CW98" s="22">
        <f t="shared" si="67"/>
        <v>1.3525069634579169E-12</v>
      </c>
      <c r="CX98" s="62">
        <f t="shared" si="68"/>
        <v>293.33333333333468</v>
      </c>
      <c r="CY98" s="62">
        <f ca="1">AVERAGE(OFFSET($CX$3,0,0,'Données projet'!$E$13+1,1))-AVERAGE(OFFSET($H$3,0,0,'Données projet'!$E$13+1,1))</f>
        <v>289.19475369871481</v>
      </c>
      <c r="CZ98" s="62">
        <f t="shared" si="96"/>
        <v>283.48738729114024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329.4871794871795</v>
      </c>
      <c r="DM98" s="13">
        <f>VLOOKUP(A98,'Données projet'!$A$165:$I$185,9,0)</f>
        <v>3.9743589743589838</v>
      </c>
      <c r="DN98" s="13">
        <f t="array" ref="DN98">INDEX(DM:DM,MIN(IF(ISNUMBER(DM98:DM294),ROW(DM98:DM294),"")))</f>
        <v>3.9743589743589838</v>
      </c>
      <c r="DO98" s="13">
        <f>IF('Données projet'!$A$166&gt;35,DO97+DN98-DW97,IF(A98&lt;'Données projet'!$A$166,$DL$205^A98,IF(A98='Données projet'!$A$166,'Données projet'!$B$166,DO97+DN98-DW97)))</f>
        <v>329.48717948717956</v>
      </c>
      <c r="DP98" s="18">
        <f>DO98*VLOOKUP('Données projet'!$B$14,Paramètres!$A$1:$I$89,3,0)*VLOOKUP('Données projet'!$B$14,Paramètres!$A$1:$I$89,5,0)</f>
        <v>221.02000000000007</v>
      </c>
      <c r="DQ98" s="14">
        <f t="shared" si="97"/>
        <v>54.336517963380317</v>
      </c>
      <c r="DR98" s="22">
        <f t="shared" si="70"/>
        <v>479.57926878622084</v>
      </c>
      <c r="DS98" s="62">
        <f t="shared" si="71"/>
        <v>772.91260211955409</v>
      </c>
      <c r="DT98" s="62">
        <f ca="1">AVERAGE(OFFSET($DS$3,0,0,'Données projet'!$E$14+1,1))-AVERAGE(OFFSET($H$3,0,0,'Données projet'!$E$14+1,1))</f>
        <v>343.33067866534634</v>
      </c>
      <c r="DU98" s="62">
        <f t="shared" si="98"/>
        <v>261.91036689641402</v>
      </c>
      <c r="DV98" s="16">
        <f>IF(ISNA(VLOOKUP(A98,'Données projet'!$A$165:$I$185,3,0)),0,VLOOKUP(A98,'Données projet'!$A$165:$I$185,3,0))</f>
        <v>9</v>
      </c>
      <c r="DW98" s="16">
        <f>IF(ISNA(VLOOKUP(A98,'Données projet'!$A$165:$I$185,4,0)),0,VLOOKUP(A98,'Données projet'!$A$165:$I$185,4,0))</f>
        <v>25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2">
        <f t="shared" si="55"/>
        <v>847.84349511604591</v>
      </c>
      <c r="S99" s="62">
        <f ca="1">AVERAGE(OFFSET($R$3,0,0,'Données projet'!$E$9+1,1))-AVERAGE(OFFSET($H$3,0,0,'Données projet'!$E$9+1,1))</f>
        <v>428.8489304403459</v>
      </c>
      <c r="T99" s="62">
        <f t="shared" si="88"/>
        <v>247.01165577562966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2">
        <f t="shared" si="59"/>
        <v>913.17374782605907</v>
      </c>
      <c r="AN99" s="62">
        <f ca="1">AVERAGE(OFFSET($AM$3,0,0,'Données projet'!$E$10+1,1))-AVERAGE(OFFSET($H$3,0,0,'Données projet'!$E$10+1,1))</f>
        <v>475.47920969424894</v>
      </c>
      <c r="AO99" s="62">
        <f t="shared" si="90"/>
        <v>271.73544012419364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274.10447999999991</v>
      </c>
      <c r="BF99" s="14">
        <f t="shared" si="91"/>
        <v>65.719577181765516</v>
      </c>
      <c r="BG99" s="22">
        <f t="shared" si="61"/>
        <v>591.86023292490802</v>
      </c>
      <c r="BH99" s="62">
        <f t="shared" si="62"/>
        <v>885.19356625824139</v>
      </c>
      <c r="BI99" s="62">
        <f ca="1">AVERAGE(OFFSET($BH$3,0,0,'Données projet'!$E$11+1,1))-AVERAGE(OFFSET($H$3,0,0,'Données projet'!$E$11+1,1))</f>
        <v>455.50822833641354</v>
      </c>
      <c r="BJ99" s="62">
        <f t="shared" si="92"/>
        <v>261.14722581688039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305.05175999999989</v>
      </c>
      <c r="CA99" s="14">
        <f t="shared" si="93"/>
        <v>72.23447495258219</v>
      </c>
      <c r="CB99" s="22">
        <f t="shared" si="64"/>
        <v>657.10685920908043</v>
      </c>
      <c r="CC99" s="62">
        <f t="shared" si="65"/>
        <v>950.4401925424138</v>
      </c>
      <c r="CD99" s="62">
        <f ca="1">AVERAGE(OFFSET($CC$3,0,0,'Données projet'!$E$12+1,1))-AVERAGE(OFFSET($H$3,0,0,'Données projet'!$E$12+1,1))</f>
        <v>502.07782026233912</v>
      </c>
      <c r="CE99" s="62">
        <f t="shared" si="94"/>
        <v>285.83623046025156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5.6843418860808015E-14</v>
      </c>
      <c r="CU99" s="18">
        <f>CT99*VLOOKUP('Données projet'!$B$13,Paramètres!$A$1:$I$89,3,0)*VLOOKUP('Données projet'!$B$13,Paramètres!$A$1:$I$89,5,0)</f>
        <v>4.4337866711430253E-14</v>
      </c>
      <c r="CV99" s="14">
        <f t="shared" si="95"/>
        <v>7.3222115536967035E-13</v>
      </c>
      <c r="CW99" s="22">
        <f t="shared" si="67"/>
        <v>1.3525069634579169E-12</v>
      </c>
      <c r="CX99" s="62">
        <f t="shared" si="68"/>
        <v>293.33333333333468</v>
      </c>
      <c r="CY99" s="62">
        <f ca="1">AVERAGE(OFFSET($CX$3,0,0,'Données projet'!$E$13+1,1))-AVERAGE(OFFSET($H$3,0,0,'Données projet'!$E$13+1,1))</f>
        <v>289.19475369871481</v>
      </c>
      <c r="CZ99" s="62">
        <f t="shared" si="96"/>
        <v>283.48738729114024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3.717948717948707</v>
      </c>
      <c r="DO99" s="13">
        <f>IF('Données projet'!$A$166&gt;35,DO98+DN99-DW98,IF(A99&lt;'Données projet'!$A$166,$DL$205^A99,IF(A99='Données projet'!$A$166,'Données projet'!$B$166,DO98+DN99-DW98)))</f>
        <v>308.20512820512829</v>
      </c>
      <c r="DP99" s="18">
        <f>DO99*VLOOKUP('Données projet'!$B$14,Paramètres!$A$1:$I$89,3,0)*VLOOKUP('Données projet'!$B$14,Paramètres!$A$1:$I$89,5,0)</f>
        <v>206.74400000000009</v>
      </c>
      <c r="DQ99" s="14">
        <f t="shared" si="97"/>
        <v>51.223421985771196</v>
      </c>
      <c r="DR99" s="22">
        <f t="shared" si="70"/>
        <v>449.29325995855169</v>
      </c>
      <c r="DS99" s="62">
        <f t="shared" si="71"/>
        <v>742.626593291885</v>
      </c>
      <c r="DT99" s="62">
        <f ca="1">AVERAGE(OFFSET($DS$3,0,0,'Données projet'!$E$14+1,1))-AVERAGE(OFFSET($H$3,0,0,'Données projet'!$E$14+1,1))</f>
        <v>343.33067866534634</v>
      </c>
      <c r="DU99" s="62">
        <f t="shared" si="98"/>
        <v>261.91036689641402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2">
        <f t="shared" si="55"/>
        <v>857.21217638119901</v>
      </c>
      <c r="S100" s="62">
        <f ca="1">AVERAGE(OFFSET($R$3,0,0,'Données projet'!$E$9+1,1))-AVERAGE(OFFSET($H$3,0,0,'Données projet'!$E$9+1,1))</f>
        <v>428.8489304403459</v>
      </c>
      <c r="T100" s="62">
        <f t="shared" si="88"/>
        <v>247.01165577562966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2">
        <f t="shared" si="59"/>
        <v>923.64881338426039</v>
      </c>
      <c r="AN100" s="62">
        <f ca="1">AVERAGE(OFFSET($AM$3,0,0,'Données projet'!$E$10+1,1))-AVERAGE(OFFSET($H$3,0,0,'Données projet'!$E$10+1,1))</f>
        <v>475.47920969424894</v>
      </c>
      <c r="AO100" s="62">
        <f t="shared" si="90"/>
        <v>271.73544012419364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278.84375999999992</v>
      </c>
      <c r="BF100" s="14">
        <f t="shared" si="91"/>
        <v>66.722603316177725</v>
      </c>
      <c r="BG100" s="22">
        <f t="shared" si="61"/>
        <v>601.86141610900938</v>
      </c>
      <c r="BH100" s="62">
        <f t="shared" si="62"/>
        <v>895.19474944234275</v>
      </c>
      <c r="BI100" s="62">
        <f ca="1">AVERAGE(OFFSET($BH$3,0,0,'Données projet'!$E$11+1,1))-AVERAGE(OFFSET($H$3,0,0,'Données projet'!$E$11+1,1))</f>
        <v>455.50822833641354</v>
      </c>
      <c r="BJ100" s="62">
        <f t="shared" si="92"/>
        <v>261.14722581688039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310.32611999999989</v>
      </c>
      <c r="CA100" s="14">
        <f t="shared" si="93"/>
        <v>73.336932839409357</v>
      </c>
      <c r="CB100" s="22">
        <f t="shared" si="64"/>
        <v>668.21315036197109</v>
      </c>
      <c r="CC100" s="62">
        <f t="shared" si="65"/>
        <v>961.54648369530446</v>
      </c>
      <c r="CD100" s="62">
        <f ca="1">AVERAGE(OFFSET($CC$3,0,0,'Données projet'!$E$12+1,1))-AVERAGE(OFFSET($H$3,0,0,'Données projet'!$E$12+1,1))</f>
        <v>502.07782026233912</v>
      </c>
      <c r="CE100" s="62">
        <f t="shared" si="94"/>
        <v>285.83623046025156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5.6843418860808015E-14</v>
      </c>
      <c r="CU100" s="18">
        <f>CT100*VLOOKUP('Données projet'!$B$13,Paramètres!$A$1:$I$89,3,0)*VLOOKUP('Données projet'!$B$13,Paramètres!$A$1:$I$89,5,0)</f>
        <v>4.4337866711430253E-14</v>
      </c>
      <c r="CV100" s="14">
        <f t="shared" si="95"/>
        <v>7.3222115536967035E-13</v>
      </c>
      <c r="CW100" s="22">
        <f t="shared" si="67"/>
        <v>1.3525069634579169E-12</v>
      </c>
      <c r="CX100" s="62">
        <f t="shared" si="68"/>
        <v>293.33333333333468</v>
      </c>
      <c r="CY100" s="62">
        <f ca="1">AVERAGE(OFFSET($CX$3,0,0,'Données projet'!$E$13+1,1))-AVERAGE(OFFSET($H$3,0,0,'Données projet'!$E$13+1,1))</f>
        <v>289.19475369871481</v>
      </c>
      <c r="CZ100" s="62">
        <f t="shared" si="96"/>
        <v>283.48738729114024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3.717948717948707</v>
      </c>
      <c r="DO100" s="13">
        <f>IF('Données projet'!$A$166&gt;35,DO99+DN100-DW99,IF(A100&lt;'Données projet'!$A$166,$DL$205^A100,IF(A100='Données projet'!$A$166,'Données projet'!$B$166,DO99+DN100-DW99)))</f>
        <v>311.92307692307702</v>
      </c>
      <c r="DP100" s="18">
        <f>DO100*VLOOKUP('Données projet'!$B$14,Paramètres!$A$1:$I$89,3,0)*VLOOKUP('Données projet'!$B$14,Paramètres!$A$1:$I$89,5,0)</f>
        <v>209.23800000000006</v>
      </c>
      <c r="DQ100" s="14">
        <f t="shared" si="97"/>
        <v>51.769034313723793</v>
      </c>
      <c r="DR100" s="22">
        <f t="shared" si="70"/>
        <v>454.58725142973572</v>
      </c>
      <c r="DS100" s="62">
        <f t="shared" si="71"/>
        <v>747.92058476306897</v>
      </c>
      <c r="DT100" s="62">
        <f ca="1">AVERAGE(OFFSET($DS$3,0,0,'Données projet'!$E$14+1,1))-AVERAGE(OFFSET($H$3,0,0,'Données projet'!$E$14+1,1))</f>
        <v>343.33067866534634</v>
      </c>
      <c r="DU100" s="62">
        <f t="shared" si="98"/>
        <v>261.91036689641402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2">
        <f t="shared" si="55"/>
        <v>866.57760241418919</v>
      </c>
      <c r="S101" s="62">
        <f ca="1">AVERAGE(OFFSET($R$3,0,0,'Données projet'!$E$9+1,1))-AVERAGE(OFFSET($H$3,0,0,'Données projet'!$E$9+1,1))</f>
        <v>428.8489304403459</v>
      </c>
      <c r="T101" s="62">
        <f t="shared" si="88"/>
        <v>247.01165577562966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2">
        <f t="shared" si="59"/>
        <v>934.12027890322065</v>
      </c>
      <c r="AN101" s="62">
        <f ca="1">AVERAGE(OFFSET($AM$3,0,0,'Données projet'!$E$10+1,1))-AVERAGE(OFFSET($H$3,0,0,'Données projet'!$E$10+1,1))</f>
        <v>475.47920969424894</v>
      </c>
      <c r="AO101" s="62">
        <f t="shared" si="90"/>
        <v>271.73544012419364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283.58303999999993</v>
      </c>
      <c r="BF101" s="14">
        <f t="shared" si="91"/>
        <v>67.723646968605209</v>
      </c>
      <c r="BG101" s="22">
        <f t="shared" si="61"/>
        <v>611.85914647032064</v>
      </c>
      <c r="BH101" s="62">
        <f t="shared" si="62"/>
        <v>905.1924798036539</v>
      </c>
      <c r="BI101" s="62">
        <f ca="1">AVERAGE(OFFSET($BH$3,0,0,'Données projet'!$E$11+1,1))-AVERAGE(OFFSET($H$3,0,0,'Données projet'!$E$11+1,1))</f>
        <v>455.50822833641354</v>
      </c>
      <c r="BJ101" s="62">
        <f t="shared" si="92"/>
        <v>261.14722581688039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315.60047999999989</v>
      </c>
      <c r="CA101" s="14">
        <f t="shared" si="93"/>
        <v>74.437211717310802</v>
      </c>
      <c r="CB101" s="22">
        <f t="shared" si="64"/>
        <v>679.31564640764952</v>
      </c>
      <c r="CC101" s="62">
        <f t="shared" si="65"/>
        <v>972.6489797409829</v>
      </c>
      <c r="CD101" s="62">
        <f ca="1">AVERAGE(OFFSET($CC$3,0,0,'Données projet'!$E$12+1,1))-AVERAGE(OFFSET($H$3,0,0,'Données projet'!$E$12+1,1))</f>
        <v>502.07782026233912</v>
      </c>
      <c r="CE101" s="62">
        <f t="shared" si="94"/>
        <v>285.83623046025156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5.6843418860808015E-14</v>
      </c>
      <c r="CU101" s="18">
        <f>CT101*VLOOKUP('Données projet'!$B$13,Paramètres!$A$1:$I$89,3,0)*VLOOKUP('Données projet'!$B$13,Paramètres!$A$1:$I$89,5,0)</f>
        <v>4.4337866711430253E-14</v>
      </c>
      <c r="CV101" s="14">
        <f t="shared" si="95"/>
        <v>7.3222115536967035E-13</v>
      </c>
      <c r="CW101" s="22">
        <f t="shared" si="67"/>
        <v>1.3525069634579169E-12</v>
      </c>
      <c r="CX101" s="62">
        <f t="shared" si="68"/>
        <v>293.33333333333468</v>
      </c>
      <c r="CY101" s="62">
        <f ca="1">AVERAGE(OFFSET($CX$3,0,0,'Données projet'!$E$13+1,1))-AVERAGE(OFFSET($H$3,0,0,'Données projet'!$E$13+1,1))</f>
        <v>289.19475369871481</v>
      </c>
      <c r="CZ101" s="62">
        <f t="shared" si="96"/>
        <v>283.48738729114024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3.717948717948707</v>
      </c>
      <c r="DO101" s="13">
        <f>IF('Données projet'!$A$166&gt;35,DO100+DN101-DW100,IF(A101&lt;'Données projet'!$A$166,$DL$205^A101,IF(A101='Données projet'!$A$166,'Données projet'!$B$166,DO100+DN101-DW100)))</f>
        <v>315.64102564102575</v>
      </c>
      <c r="DP101" s="18">
        <f>DO101*VLOOKUP('Données projet'!$B$14,Paramètres!$A$1:$I$89,3,0)*VLOOKUP('Données projet'!$B$14,Paramètres!$A$1:$I$89,5,0)</f>
        <v>211.73200000000008</v>
      </c>
      <c r="DQ101" s="14">
        <f t="shared" si="97"/>
        <v>52.313890152569769</v>
      </c>
      <c r="DR101" s="22">
        <f t="shared" si="70"/>
        <v>459.87992534905925</v>
      </c>
      <c r="DS101" s="62">
        <f t="shared" si="71"/>
        <v>753.21325868239251</v>
      </c>
      <c r="DT101" s="62">
        <f ca="1">AVERAGE(OFFSET($DS$3,0,0,'Données projet'!$E$14+1,1))-AVERAGE(OFFSET($H$3,0,0,'Données projet'!$E$14+1,1))</f>
        <v>343.33067866534634</v>
      </c>
      <c r="DU101" s="62">
        <f t="shared" si="98"/>
        <v>261.91036689641402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2">
        <f t="shared" si="55"/>
        <v>875.93983389595746</v>
      </c>
      <c r="S102" s="62">
        <f ca="1">AVERAGE(OFFSET($R$3,0,0,'Données projet'!$E$9+1,1))-AVERAGE(OFFSET($H$3,0,0,'Données projet'!$E$9+1,1))</f>
        <v>428.8489304403459</v>
      </c>
      <c r="T102" s="62">
        <f t="shared" si="88"/>
        <v>247.01165577562966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2">
        <f t="shared" si="59"/>
        <v>944.58821149144683</v>
      </c>
      <c r="AN102" s="62">
        <f ca="1">AVERAGE(OFFSET($AM$3,0,0,'Données projet'!$E$10+1,1))-AVERAGE(OFFSET($H$3,0,0,'Données projet'!$E$10+1,1))</f>
        <v>475.47920969424894</v>
      </c>
      <c r="AO102" s="62">
        <f t="shared" si="90"/>
        <v>271.73544012419364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288.32231999999988</v>
      </c>
      <c r="BF102" s="14">
        <f t="shared" si="91"/>
        <v>68.722745094590621</v>
      </c>
      <c r="BG102" s="22">
        <f t="shared" si="61"/>
        <v>621.85348837307845</v>
      </c>
      <c r="BH102" s="62">
        <f t="shared" si="62"/>
        <v>915.18682170641182</v>
      </c>
      <c r="BI102" s="62">
        <f ca="1">AVERAGE(OFFSET($BH$3,0,0,'Données projet'!$E$11+1,1))-AVERAGE(OFFSET($H$3,0,0,'Données projet'!$E$11+1,1))</f>
        <v>455.50822833641354</v>
      </c>
      <c r="BJ102" s="62">
        <f t="shared" si="92"/>
        <v>261.14722581688039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320.87483999999984</v>
      </c>
      <c r="CA102" s="14">
        <f t="shared" si="93"/>
        <v>75.535352205297585</v>
      </c>
      <c r="CB102" s="22">
        <f t="shared" si="64"/>
        <v>690.41441809089304</v>
      </c>
      <c r="CC102" s="62">
        <f t="shared" si="65"/>
        <v>983.74775142422641</v>
      </c>
      <c r="CD102" s="62">
        <f ca="1">AVERAGE(OFFSET($CC$3,0,0,'Données projet'!$E$12+1,1))-AVERAGE(OFFSET($H$3,0,0,'Données projet'!$E$12+1,1))</f>
        <v>502.07782026233912</v>
      </c>
      <c r="CE102" s="62">
        <f t="shared" si="94"/>
        <v>285.83623046025156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5.6843418860808015E-14</v>
      </c>
      <c r="CU102" s="18">
        <f>CT102*VLOOKUP('Données projet'!$B$13,Paramètres!$A$1:$I$89,3,0)*VLOOKUP('Données projet'!$B$13,Paramètres!$A$1:$I$89,5,0)</f>
        <v>4.4337866711430253E-14</v>
      </c>
      <c r="CV102" s="14">
        <f t="shared" si="95"/>
        <v>7.3222115536967035E-13</v>
      </c>
      <c r="CW102" s="22">
        <f t="shared" si="67"/>
        <v>1.3525069634579169E-12</v>
      </c>
      <c r="CX102" s="62">
        <f t="shared" si="68"/>
        <v>293.33333333333468</v>
      </c>
      <c r="CY102" s="62">
        <f ca="1">AVERAGE(OFFSET($CX$3,0,0,'Données projet'!$E$13+1,1))-AVERAGE(OFFSET($H$3,0,0,'Données projet'!$E$13+1,1))</f>
        <v>289.19475369871481</v>
      </c>
      <c r="CZ102" s="62">
        <f t="shared" si="96"/>
        <v>283.48738729114024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3.717948717948707</v>
      </c>
      <c r="DO102" s="13">
        <f>IF('Données projet'!$A$166&gt;35,DO101+DN102-DW101,IF(A102&lt;'Données projet'!$A$166,$DL$205^A102,IF(A102='Données projet'!$A$166,'Données projet'!$B$166,DO101+DN102-DW101)))</f>
        <v>319.35897435897448</v>
      </c>
      <c r="DP102" s="18">
        <f>DO102*VLOOKUP('Données projet'!$B$14,Paramètres!$A$1:$I$89,3,0)*VLOOKUP('Données projet'!$B$14,Paramètres!$A$1:$I$89,5,0)</f>
        <v>214.22600000000008</v>
      </c>
      <c r="DQ102" s="14">
        <f t="shared" si="97"/>
        <v>52.857999443878597</v>
      </c>
      <c r="DR102" s="22">
        <f t="shared" si="70"/>
        <v>465.171299031422</v>
      </c>
      <c r="DS102" s="62">
        <f t="shared" si="71"/>
        <v>758.50463236475525</v>
      </c>
      <c r="DT102" s="62">
        <f ca="1">AVERAGE(OFFSET($DS$3,0,0,'Données projet'!$E$14+1,1))-AVERAGE(OFFSET($H$3,0,0,'Données projet'!$E$14+1,1))</f>
        <v>343.33067866534634</v>
      </c>
      <c r="DU102" s="62">
        <f t="shared" si="98"/>
        <v>261.91036689641402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2">
        <f t="shared" si="55"/>
        <v>885.29892939819797</v>
      </c>
      <c r="S103" s="62">
        <f ca="1">AVERAGE(OFFSET($R$3,0,0,'Données projet'!$E$9+1,1))-AVERAGE(OFFSET($H$3,0,0,'Données projet'!$E$9+1,1))</f>
        <v>428.8489304403459</v>
      </c>
      <c r="T103" s="62">
        <f t="shared" si="88"/>
        <v>247.01165577562966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2">
        <f t="shared" si="59"/>
        <v>955.05267592477821</v>
      </c>
      <c r="AN103" s="62">
        <f ca="1">AVERAGE(OFFSET($AM$3,0,0,'Données projet'!$E$10+1,1))-AVERAGE(OFFSET($H$3,0,0,'Données projet'!$E$10+1,1))</f>
        <v>475.47920969424894</v>
      </c>
      <c r="AO103" s="62">
        <f t="shared" si="90"/>
        <v>271.73544012419364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293.06159999999983</v>
      </c>
      <c r="BF103" s="14">
        <f t="shared" si="91"/>
        <v>69.719933365116546</v>
      </c>
      <c r="BG103" s="22">
        <f t="shared" si="61"/>
        <v>631.84450394424437</v>
      </c>
      <c r="BH103" s="62">
        <f t="shared" si="62"/>
        <v>925.17783727757774</v>
      </c>
      <c r="BI103" s="62">
        <f ca="1">AVERAGE(OFFSET($BH$3,0,0,'Données projet'!$E$11+1,1))-AVERAGE(OFFSET($H$3,0,0,'Données projet'!$E$11+1,1))</f>
        <v>455.50822833641354</v>
      </c>
      <c r="BJ103" s="62">
        <f t="shared" si="92"/>
        <v>261.14722581688039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326.14919999999984</v>
      </c>
      <c r="CA103" s="14">
        <f t="shared" si="93"/>
        <v>76.631393510479555</v>
      </c>
      <c r="CB103" s="22">
        <f t="shared" si="64"/>
        <v>701.50953369741819</v>
      </c>
      <c r="CC103" s="62">
        <f t="shared" si="65"/>
        <v>994.84286703075145</v>
      </c>
      <c r="CD103" s="62">
        <f ca="1">AVERAGE(OFFSET($CC$3,0,0,'Données projet'!$E$12+1,1))-AVERAGE(OFFSET($H$3,0,0,'Données projet'!$E$12+1,1))</f>
        <v>502.07782026233912</v>
      </c>
      <c r="CE103" s="62">
        <f t="shared" si="94"/>
        <v>285.83623046025156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5.6843418860808015E-14</v>
      </c>
      <c r="CU103" s="18">
        <f>CT103*VLOOKUP('Données projet'!$B$13,Paramètres!$A$1:$I$89,3,0)*VLOOKUP('Données projet'!$B$13,Paramètres!$A$1:$I$89,5,0)</f>
        <v>4.4337866711430253E-14</v>
      </c>
      <c r="CV103" s="14">
        <f t="shared" si="95"/>
        <v>7.3222115536967035E-13</v>
      </c>
      <c r="CW103" s="22">
        <f t="shared" si="67"/>
        <v>1.3525069634579169E-12</v>
      </c>
      <c r="CX103" s="62">
        <f t="shared" si="68"/>
        <v>293.33333333333468</v>
      </c>
      <c r="CY103" s="62">
        <f ca="1">AVERAGE(OFFSET($CX$3,0,0,'Données projet'!$E$13+1,1))-AVERAGE(OFFSET($H$3,0,0,'Données projet'!$E$13+1,1))</f>
        <v>289.19475369871481</v>
      </c>
      <c r="CZ103" s="62">
        <f t="shared" si="96"/>
        <v>283.48738729114024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323.07692307692304</v>
      </c>
      <c r="DM103" s="13">
        <f>VLOOKUP(A103,'Données projet'!$A$165:$I$185,9,0)</f>
        <v>3.717948717948707</v>
      </c>
      <c r="DN103" s="13">
        <f t="array" ref="DN103">INDEX(DM:DM,MIN(IF(ISNUMBER(DM103:DM299),ROW(DM103:DM299),"")))</f>
        <v>3.717948717948707</v>
      </c>
      <c r="DO103" s="13">
        <f>IF('Données projet'!$A$166&gt;35,DO102+DN103-DW102,IF(A103&lt;'Données projet'!$A$166,$DL$205^A103,IF(A103='Données projet'!$A$166,'Données projet'!$B$166,DO102+DN103-DW102)))</f>
        <v>323.07692307692321</v>
      </c>
      <c r="DP103" s="18">
        <f>DO103*VLOOKUP('Données projet'!$B$14,Paramètres!$A$1:$I$89,3,0)*VLOOKUP('Données projet'!$B$14,Paramètres!$A$1:$I$89,5,0)</f>
        <v>216.72000000000011</v>
      </c>
      <c r="DQ103" s="14">
        <f t="shared" si="97"/>
        <v>53.401371884419554</v>
      </c>
      <c r="DR103" s="22">
        <f t="shared" si="70"/>
        <v>470.46138936536425</v>
      </c>
      <c r="DS103" s="62">
        <f t="shared" si="71"/>
        <v>763.79472269869757</v>
      </c>
      <c r="DT103" s="62">
        <f ca="1">AVERAGE(OFFSET($DS$3,0,0,'Données projet'!$E$14+1,1))-AVERAGE(OFFSET($H$3,0,0,'Données projet'!$E$14+1,1))</f>
        <v>343.33067866534634</v>
      </c>
      <c r="DU103" s="62">
        <f t="shared" si="98"/>
        <v>261.91036689641402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2">
        <f t="shared" si="55"/>
        <v>813.3989415432759</v>
      </c>
      <c r="S104" s="62">
        <f ca="1">AVERAGE(OFFSET($R$3,0,0,'Données projet'!$E$9+1,1))-AVERAGE(OFFSET($H$3,0,0,'Données projet'!$E$9+1,1))</f>
        <v>428.8489304403459</v>
      </c>
      <c r="T104" s="62">
        <f t="shared" si="88"/>
        <v>247.01165577562966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2">
        <f t="shared" si="59"/>
        <v>874.66185471348285</v>
      </c>
      <c r="AN104" s="62">
        <f ca="1">AVERAGE(OFFSET($AM$3,0,0,'Données projet'!$E$10+1,1))-AVERAGE(OFFSET($H$3,0,0,'Données projet'!$E$10+1,1))</f>
        <v>475.47920969424894</v>
      </c>
      <c r="AO104" s="62">
        <f t="shared" si="90"/>
        <v>271.73544012419364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256.69487999999984</v>
      </c>
      <c r="BF104" s="14">
        <f t="shared" si="91"/>
        <v>62.017336223177502</v>
      </c>
      <c r="BG104" s="22">
        <f t="shared" si="61"/>
        <v>555.09044325536718</v>
      </c>
      <c r="BH104" s="62">
        <f t="shared" si="62"/>
        <v>848.42377658870055</v>
      </c>
      <c r="BI104" s="62">
        <f ca="1">AVERAGE(OFFSET($BH$3,0,0,'Données projet'!$E$11+1,1))-AVERAGE(OFFSET($H$3,0,0,'Données projet'!$E$11+1,1))</f>
        <v>455.50822833641354</v>
      </c>
      <c r="BJ104" s="62">
        <f t="shared" si="92"/>
        <v>261.14722581688039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285.67655999999977</v>
      </c>
      <c r="CA104" s="14">
        <f t="shared" si="93"/>
        <v>68.165224308258956</v>
      </c>
      <c r="CB104" s="22">
        <f t="shared" si="64"/>
        <v>616.27444100355058</v>
      </c>
      <c r="CC104" s="62">
        <f t="shared" si="65"/>
        <v>909.60777433688395</v>
      </c>
      <c r="CD104" s="62">
        <f ca="1">AVERAGE(OFFSET($CC$3,0,0,'Données projet'!$E$12+1,1))-AVERAGE(OFFSET($H$3,0,0,'Données projet'!$E$12+1,1))</f>
        <v>502.07782026233912</v>
      </c>
      <c r="CE104" s="62">
        <f t="shared" si="94"/>
        <v>285.83623046025156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5.6843418860808015E-14</v>
      </c>
      <c r="CU104" s="18">
        <f>CT104*VLOOKUP('Données projet'!$B$13,Paramètres!$A$1:$I$89,3,0)*VLOOKUP('Données projet'!$B$13,Paramètres!$A$1:$I$89,5,0)</f>
        <v>4.4337866711430253E-14</v>
      </c>
      <c r="CV104" s="14">
        <f t="shared" si="95"/>
        <v>7.3222115536967035E-13</v>
      </c>
      <c r="CW104" s="22">
        <f t="shared" si="67"/>
        <v>1.3525069634579169E-12</v>
      </c>
      <c r="CX104" s="62">
        <f t="shared" si="68"/>
        <v>293.33333333333468</v>
      </c>
      <c r="CY104" s="62">
        <f ca="1">AVERAGE(OFFSET($CX$3,0,0,'Données projet'!$E$13+1,1))-AVERAGE(OFFSET($H$3,0,0,'Données projet'!$E$13+1,1))</f>
        <v>289.19475369871481</v>
      </c>
      <c r="CZ104" s="62">
        <f t="shared" si="96"/>
        <v>283.48738729114024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3.5256410256410278</v>
      </c>
      <c r="DO104" s="13">
        <f>IF('Données projet'!$A$166&gt;35,DO103+DN104-DW103,IF(A104&lt;'Données projet'!$A$166,$DL$205^A104,IF(A104='Données projet'!$A$166,'Données projet'!$B$166,DO103+DN104-DW103)))</f>
        <v>326.60256410256426</v>
      </c>
      <c r="DP104" s="18">
        <f>DO104*VLOOKUP('Données projet'!$B$14,Paramètres!$A$1:$I$89,3,0)*VLOOKUP('Données projet'!$B$14,Paramètres!$A$1:$I$89,5,0)</f>
        <v>219.08500000000009</v>
      </c>
      <c r="DQ104" s="14">
        <f t="shared" si="97"/>
        <v>53.91596677829537</v>
      </c>
      <c r="DR104" s="22">
        <f t="shared" si="70"/>
        <v>475.4766838055312</v>
      </c>
      <c r="DS104" s="62">
        <f t="shared" si="71"/>
        <v>768.81001713886451</v>
      </c>
      <c r="DT104" s="62">
        <f ca="1">AVERAGE(OFFSET($DS$3,0,0,'Données projet'!$E$14+1,1))-AVERAGE(OFFSET($H$3,0,0,'Données projet'!$E$14+1,1))</f>
        <v>343.33067866534634</v>
      </c>
      <c r="DU104" s="62">
        <f t="shared" si="98"/>
        <v>261.91036689641402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2">
        <f t="shared" si="55"/>
        <v>821.82303552922986</v>
      </c>
      <c r="S105" s="62">
        <f ca="1">AVERAGE(OFFSET($R$3,0,0,'Données projet'!$E$9+1,1))-AVERAGE(OFFSET($H$3,0,0,'Données projet'!$E$9+1,1))</f>
        <v>428.8489304403459</v>
      </c>
      <c r="T105" s="62">
        <f t="shared" si="88"/>
        <v>247.01165577562966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2">
        <f t="shared" si="59"/>
        <v>884.08064423326846</v>
      </c>
      <c r="AN105" s="62">
        <f ca="1">AVERAGE(OFFSET($AM$3,0,0,'Données projet'!$E$10+1,1))-AVERAGE(OFFSET($H$3,0,0,'Données projet'!$E$10+1,1))</f>
        <v>475.47920969424894</v>
      </c>
      <c r="AO105" s="62">
        <f t="shared" si="90"/>
        <v>271.73544012419364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260.95055999999983</v>
      </c>
      <c r="BF105" s="14">
        <f t="shared" si="91"/>
        <v>62.924955880176938</v>
      </c>
      <c r="BG105" s="22">
        <f t="shared" si="61"/>
        <v>564.08319015797451</v>
      </c>
      <c r="BH105" s="62">
        <f t="shared" si="62"/>
        <v>857.41652349130777</v>
      </c>
      <c r="BI105" s="62">
        <f ca="1">AVERAGE(OFFSET($BH$3,0,0,'Données projet'!$E$11+1,1))-AVERAGE(OFFSET($H$3,0,0,'Données projet'!$E$11+1,1))</f>
        <v>455.50822833641354</v>
      </c>
      <c r="BJ105" s="62">
        <f t="shared" si="92"/>
        <v>261.14722581688039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290.41271999999975</v>
      </c>
      <c r="CA105" s="14">
        <f t="shared" si="93"/>
        <v>69.162817905044719</v>
      </c>
      <c r="CB105" s="22">
        <f t="shared" si="64"/>
        <v>626.26072851795254</v>
      </c>
      <c r="CC105" s="62">
        <f t="shared" si="65"/>
        <v>919.59406185128591</v>
      </c>
      <c r="CD105" s="62">
        <f ca="1">AVERAGE(OFFSET($CC$3,0,0,'Données projet'!$E$12+1,1))-AVERAGE(OFFSET($H$3,0,0,'Données projet'!$E$12+1,1))</f>
        <v>502.07782026233912</v>
      </c>
      <c r="CE105" s="62">
        <f t="shared" si="94"/>
        <v>285.83623046025156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5.6843418860808015E-14</v>
      </c>
      <c r="CU105" s="18">
        <f>CT105*VLOOKUP('Données projet'!$B$13,Paramètres!$A$1:$I$89,3,0)*VLOOKUP('Données projet'!$B$13,Paramètres!$A$1:$I$89,5,0)</f>
        <v>4.4337866711430253E-14</v>
      </c>
      <c r="CV105" s="14">
        <f t="shared" si="95"/>
        <v>7.3222115536967035E-13</v>
      </c>
      <c r="CW105" s="22">
        <f t="shared" si="67"/>
        <v>1.3525069634579169E-12</v>
      </c>
      <c r="CX105" s="62">
        <f t="shared" si="68"/>
        <v>293.33333333333468</v>
      </c>
      <c r="CY105" s="62">
        <f ca="1">AVERAGE(OFFSET($CX$3,0,0,'Données projet'!$E$13+1,1))-AVERAGE(OFFSET($H$3,0,0,'Données projet'!$E$13+1,1))</f>
        <v>289.19475369871481</v>
      </c>
      <c r="CZ105" s="62">
        <f t="shared" si="96"/>
        <v>283.48738729114024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3.5256410256410278</v>
      </c>
      <c r="DO105" s="13">
        <f>IF('Données projet'!$A$166&gt;35,DO104+DN105-DW104,IF(A105&lt;'Données projet'!$A$166,$DL$205^A105,IF(A105='Données projet'!$A$166,'Données projet'!$B$166,DO104+DN105-DW104)))</f>
        <v>330.12820512820531</v>
      </c>
      <c r="DP105" s="18">
        <f>DO105*VLOOKUP('Données projet'!$B$14,Paramètres!$A$1:$I$89,3,0)*VLOOKUP('Données projet'!$B$14,Paramètres!$A$1:$I$89,5,0)</f>
        <v>221.45000000000013</v>
      </c>
      <c r="DQ105" s="14">
        <f t="shared" si="97"/>
        <v>54.429915463097601</v>
      </c>
      <c r="DR105" s="22">
        <f t="shared" si="70"/>
        <v>480.49085276489518</v>
      </c>
      <c r="DS105" s="62">
        <f t="shared" si="71"/>
        <v>773.82418609822844</v>
      </c>
      <c r="DT105" s="62">
        <f ca="1">AVERAGE(OFFSET($DS$3,0,0,'Données projet'!$E$14+1,1))-AVERAGE(OFFSET($H$3,0,0,'Données projet'!$E$14+1,1))</f>
        <v>343.33067866534634</v>
      </c>
      <c r="DU105" s="62">
        <f t="shared" si="98"/>
        <v>261.91036689641402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2">
        <f t="shared" si="55"/>
        <v>830.24430301815983</v>
      </c>
      <c r="S106" s="62">
        <f ca="1">AVERAGE(OFFSET($R$3,0,0,'Données projet'!$E$9+1,1))-AVERAGE(OFFSET($H$3,0,0,'Données projet'!$E$9+1,1))</f>
        <v>428.8489304403459</v>
      </c>
      <c r="T106" s="62">
        <f t="shared" si="88"/>
        <v>247.01165577562966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2">
        <f t="shared" si="59"/>
        <v>893.49630786227453</v>
      </c>
      <c r="AN106" s="62">
        <f ca="1">AVERAGE(OFFSET($AM$3,0,0,'Données projet'!$E$10+1,1))-AVERAGE(OFFSET($H$3,0,0,'Données projet'!$E$10+1,1))</f>
        <v>475.47920969424894</v>
      </c>
      <c r="AO106" s="62">
        <f t="shared" si="90"/>
        <v>271.73544012419364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265.20623999999975</v>
      </c>
      <c r="BF106" s="14">
        <f t="shared" si="91"/>
        <v>63.830854160896386</v>
      </c>
      <c r="BG106" s="22">
        <f t="shared" si="61"/>
        <v>573.07293899689409</v>
      </c>
      <c r="BH106" s="62">
        <f t="shared" si="62"/>
        <v>866.40627233022747</v>
      </c>
      <c r="BI106" s="62">
        <f ca="1">AVERAGE(OFFSET($BH$3,0,0,'Données projet'!$E$11+1,1))-AVERAGE(OFFSET($H$3,0,0,'Données projet'!$E$11+1,1))</f>
        <v>455.50822833641354</v>
      </c>
      <c r="BJ106" s="62">
        <f t="shared" si="92"/>
        <v>261.14722581688039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295.14887999999974</v>
      </c>
      <c r="CA106" s="14">
        <f t="shared" si="93"/>
        <v>70.158519482479349</v>
      </c>
      <c r="CB106" s="22">
        <f t="shared" si="64"/>
        <v>636.24372076531768</v>
      </c>
      <c r="CC106" s="62">
        <f t="shared" si="65"/>
        <v>929.57705409865093</v>
      </c>
      <c r="CD106" s="62">
        <f ca="1">AVERAGE(OFFSET($CC$3,0,0,'Données projet'!$E$12+1,1))-AVERAGE(OFFSET($H$3,0,0,'Données projet'!$E$12+1,1))</f>
        <v>502.07782026233912</v>
      </c>
      <c r="CE106" s="62">
        <f t="shared" si="94"/>
        <v>285.83623046025156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5.6843418860808015E-14</v>
      </c>
      <c r="CU106" s="18">
        <f>CT106*VLOOKUP('Données projet'!$B$13,Paramètres!$A$1:$I$89,3,0)*VLOOKUP('Données projet'!$B$13,Paramètres!$A$1:$I$89,5,0)</f>
        <v>4.4337866711430253E-14</v>
      </c>
      <c r="CV106" s="14">
        <f t="shared" si="95"/>
        <v>7.3222115536967035E-13</v>
      </c>
      <c r="CW106" s="22">
        <f t="shared" si="67"/>
        <v>1.3525069634579169E-12</v>
      </c>
      <c r="CX106" s="62">
        <f t="shared" si="68"/>
        <v>293.33333333333468</v>
      </c>
      <c r="CY106" s="62">
        <f ca="1">AVERAGE(OFFSET($CX$3,0,0,'Données projet'!$E$13+1,1))-AVERAGE(OFFSET($H$3,0,0,'Données projet'!$E$13+1,1))</f>
        <v>289.19475369871481</v>
      </c>
      <c r="CZ106" s="62">
        <f t="shared" si="96"/>
        <v>283.48738729114024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3.5256410256410278</v>
      </c>
      <c r="DO106" s="13">
        <f>IF('Données projet'!$A$166&gt;35,DO105+DN106-DW105,IF(A106&lt;'Données projet'!$A$166,$DL$205^A106,IF(A106='Données projet'!$A$166,'Données projet'!$B$166,DO105+DN106-DW105)))</f>
        <v>333.65384615384636</v>
      </c>
      <c r="DP106" s="18">
        <f>DO106*VLOOKUP('Données projet'!$B$14,Paramètres!$A$1:$I$89,3,0)*VLOOKUP('Données projet'!$B$14,Paramètres!$A$1:$I$89,5,0)</f>
        <v>223.81500000000014</v>
      </c>
      <c r="DQ106" s="14">
        <f t="shared" si="97"/>
        <v>54.943225638902341</v>
      </c>
      <c r="DR106" s="22">
        <f t="shared" si="70"/>
        <v>485.50390965442176</v>
      </c>
      <c r="DS106" s="62">
        <f t="shared" si="71"/>
        <v>778.83724298775508</v>
      </c>
      <c r="DT106" s="62">
        <f ca="1">AVERAGE(OFFSET($DS$3,0,0,'Données projet'!$E$14+1,1))-AVERAGE(OFFSET($H$3,0,0,'Données projet'!$E$14+1,1))</f>
        <v>343.33067866534634</v>
      </c>
      <c r="DU106" s="62">
        <f t="shared" si="98"/>
        <v>261.91036689641402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2">
        <f t="shared" si="55"/>
        <v>838.6627946025028</v>
      </c>
      <c r="S107" s="62">
        <f ca="1">AVERAGE(OFFSET($R$3,0,0,'Données projet'!$E$9+1,1))-AVERAGE(OFFSET($H$3,0,0,'Données projet'!$E$9+1,1))</f>
        <v>428.8489304403459</v>
      </c>
      <c r="T107" s="62">
        <f t="shared" si="88"/>
        <v>247.01165577562966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2">
        <f t="shared" si="59"/>
        <v>902.90890155189049</v>
      </c>
      <c r="AN107" s="62">
        <f ca="1">AVERAGE(OFFSET($AM$3,0,0,'Données projet'!$E$10+1,1))-AVERAGE(OFFSET($H$3,0,0,'Données projet'!$E$10+1,1))</f>
        <v>475.47920969424894</v>
      </c>
      <c r="AO107" s="62">
        <f t="shared" si="90"/>
        <v>271.73544012419364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269.46191999999974</v>
      </c>
      <c r="BF107" s="14">
        <f t="shared" si="91"/>
        <v>64.735061876839055</v>
      </c>
      <c r="BG107" s="22">
        <f t="shared" si="61"/>
        <v>582.05974343549417</v>
      </c>
      <c r="BH107" s="62">
        <f t="shared" si="62"/>
        <v>875.39307676882754</v>
      </c>
      <c r="BI107" s="62">
        <f ca="1">AVERAGE(OFFSET($BH$3,0,0,'Données projet'!$E$11+1,1))-AVERAGE(OFFSET($H$3,0,0,'Données projet'!$E$11+1,1))</f>
        <v>455.50822833641354</v>
      </c>
      <c r="BJ107" s="62">
        <f t="shared" si="92"/>
        <v>261.14722581688039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299.88503999999972</v>
      </c>
      <c r="CA107" s="14">
        <f t="shared" si="93"/>
        <v>71.152362906464575</v>
      </c>
      <c r="CB107" s="22">
        <f t="shared" si="64"/>
        <v>646.22347672875867</v>
      </c>
      <c r="CC107" s="62">
        <f t="shared" si="65"/>
        <v>939.55681006209193</v>
      </c>
      <c r="CD107" s="62">
        <f ca="1">AVERAGE(OFFSET($CC$3,0,0,'Données projet'!$E$12+1,1))-AVERAGE(OFFSET($H$3,0,0,'Données projet'!$E$12+1,1))</f>
        <v>502.07782026233912</v>
      </c>
      <c r="CE107" s="62">
        <f t="shared" si="94"/>
        <v>285.83623046025156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5.6843418860808015E-14</v>
      </c>
      <c r="CU107" s="18">
        <f>CT107*VLOOKUP('Données projet'!$B$13,Paramètres!$A$1:$I$89,3,0)*VLOOKUP('Données projet'!$B$13,Paramètres!$A$1:$I$89,5,0)</f>
        <v>4.4337866711430253E-14</v>
      </c>
      <c r="CV107" s="14">
        <f t="shared" si="95"/>
        <v>7.3222115536967035E-13</v>
      </c>
      <c r="CW107" s="22">
        <f t="shared" si="67"/>
        <v>1.3525069634579169E-12</v>
      </c>
      <c r="CX107" s="62">
        <f t="shared" si="68"/>
        <v>293.33333333333468</v>
      </c>
      <c r="CY107" s="62">
        <f ca="1">AVERAGE(OFFSET($CX$3,0,0,'Données projet'!$E$13+1,1))-AVERAGE(OFFSET($H$3,0,0,'Données projet'!$E$13+1,1))</f>
        <v>289.19475369871481</v>
      </c>
      <c r="CZ107" s="62">
        <f t="shared" si="96"/>
        <v>283.48738729114024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3.5256410256410278</v>
      </c>
      <c r="DO107" s="13">
        <f>IF('Données projet'!$A$166&gt;35,DO106+DN107-DW106,IF(A107&lt;'Données projet'!$A$166,$DL$205^A107,IF(A107='Données projet'!$A$166,'Données projet'!$B$166,DO106+DN107-DW106)))</f>
        <v>337.17948717948741</v>
      </c>
      <c r="DP107" s="18">
        <f>DO107*VLOOKUP('Données projet'!$B$14,Paramètres!$A$1:$I$89,3,0)*VLOOKUP('Données projet'!$B$14,Paramètres!$A$1:$I$89,5,0)</f>
        <v>226.18000000000018</v>
      </c>
      <c r="DQ107" s="14">
        <f t="shared" si="97"/>
        <v>55.455904833681558</v>
      </c>
      <c r="DR107" s="22">
        <f t="shared" si="70"/>
        <v>490.51586758532886</v>
      </c>
      <c r="DS107" s="62">
        <f t="shared" si="71"/>
        <v>783.84920091866218</v>
      </c>
      <c r="DT107" s="62">
        <f ca="1">AVERAGE(OFFSET($DS$3,0,0,'Données projet'!$E$14+1,1))-AVERAGE(OFFSET($H$3,0,0,'Données projet'!$E$14+1,1))</f>
        <v>343.33067866534634</v>
      </c>
      <c r="DU107" s="62">
        <f t="shared" si="98"/>
        <v>261.91036689641402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2">
        <f t="shared" si="55"/>
        <v>847.07855918499604</v>
      </c>
      <c r="S108" s="62">
        <f ca="1">AVERAGE(OFFSET($R$3,0,0,'Données projet'!$E$9+1,1))-AVERAGE(OFFSET($H$3,0,0,'Données projet'!$E$9+1,1))</f>
        <v>428.8489304403459</v>
      </c>
      <c r="T108" s="62">
        <f t="shared" si="88"/>
        <v>247.01165577562966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2">
        <f t="shared" si="59"/>
        <v>912.31847938482474</v>
      </c>
      <c r="AN108" s="62">
        <f ca="1">AVERAGE(OFFSET($AM$3,0,0,'Données projet'!$E$10+1,1))-AVERAGE(OFFSET($H$3,0,0,'Données projet'!$E$10+1,1))</f>
        <v>475.47920969424894</v>
      </c>
      <c r="AO108" s="62">
        <f t="shared" si="90"/>
        <v>271.73544012419364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273.71759999999972</v>
      </c>
      <c r="BF108" s="14">
        <f t="shared" si="91"/>
        <v>65.637608810456612</v>
      </c>
      <c r="BG108" s="22">
        <f t="shared" si="61"/>
        <v>591.04365534487806</v>
      </c>
      <c r="BH108" s="62">
        <f t="shared" si="62"/>
        <v>884.37698867821132</v>
      </c>
      <c r="BI108" s="62">
        <f ca="1">AVERAGE(OFFSET($BH$3,0,0,'Données projet'!$E$11+1,1))-AVERAGE(OFFSET($H$3,0,0,'Données projet'!$E$11+1,1))</f>
        <v>455.50822833641354</v>
      </c>
      <c r="BJ108" s="62">
        <f t="shared" si="92"/>
        <v>261.14722581688039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304.62119999999965</v>
      </c>
      <c r="CA108" s="14">
        <f t="shared" si="93"/>
        <v>72.144380911839335</v>
      </c>
      <c r="CB108" s="22">
        <f t="shared" si="64"/>
        <v>656.20005342145294</v>
      </c>
      <c r="CC108" s="62">
        <f t="shared" si="65"/>
        <v>949.53338675478631</v>
      </c>
      <c r="CD108" s="62">
        <f ca="1">AVERAGE(OFFSET($CC$3,0,0,'Données projet'!$E$12+1,1))-AVERAGE(OFFSET($H$3,0,0,'Données projet'!$E$12+1,1))</f>
        <v>502.07782026233912</v>
      </c>
      <c r="CE108" s="62">
        <f t="shared" si="94"/>
        <v>285.83623046025156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5.6843418860808015E-14</v>
      </c>
      <c r="CU108" s="18">
        <f>CT108*VLOOKUP('Données projet'!$B$13,Paramètres!$A$1:$I$89,3,0)*VLOOKUP('Données projet'!$B$13,Paramètres!$A$1:$I$89,5,0)</f>
        <v>4.4337866711430253E-14</v>
      </c>
      <c r="CV108" s="14">
        <f t="shared" si="95"/>
        <v>7.3222115536967035E-13</v>
      </c>
      <c r="CW108" s="22">
        <f t="shared" si="67"/>
        <v>1.3525069634579169E-12</v>
      </c>
      <c r="CX108" s="62">
        <f t="shared" si="68"/>
        <v>293.33333333333468</v>
      </c>
      <c r="CY108" s="62">
        <f ca="1">AVERAGE(OFFSET($CX$3,0,0,'Données projet'!$E$13+1,1))-AVERAGE(OFFSET($H$3,0,0,'Données projet'!$E$13+1,1))</f>
        <v>289.19475369871481</v>
      </c>
      <c r="CZ108" s="62">
        <f t="shared" si="96"/>
        <v>283.48738729114024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3.5256410256410278</v>
      </c>
      <c r="DO108" s="13">
        <f>IF('Données projet'!$A$166&gt;35,DO107+DN108-DW107,IF(A108&lt;'Données projet'!$A$166,$DL$205^A108,IF(A108='Données projet'!$A$166,'Données projet'!$B$166,DO107+DN108-DW107)))</f>
        <v>340.70512820512846</v>
      </c>
      <c r="DP108" s="18">
        <f>DO108*VLOOKUP('Données projet'!$B$14,Paramètres!$A$1:$I$89,3,0)*VLOOKUP('Données projet'!$B$14,Paramètres!$A$1:$I$89,5,0)</f>
        <v>228.54500000000016</v>
      </c>
      <c r="DQ108" s="14">
        <f t="shared" si="97"/>
        <v>55.967960408907913</v>
      </c>
      <c r="DR108" s="22">
        <f t="shared" si="70"/>
        <v>495.52673937884811</v>
      </c>
      <c r="DS108" s="62">
        <f t="shared" si="71"/>
        <v>788.86007271218136</v>
      </c>
      <c r="DT108" s="62">
        <f ca="1">AVERAGE(OFFSET($DS$3,0,0,'Données projet'!$E$14+1,1))-AVERAGE(OFFSET($H$3,0,0,'Données projet'!$E$14+1,1))</f>
        <v>343.33067866534634</v>
      </c>
      <c r="DU108" s="62">
        <f t="shared" si="98"/>
        <v>261.91036689641402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2">
        <f t="shared" si="55"/>
        <v>855.49164406048612</v>
      </c>
      <c r="S109" s="62">
        <f ca="1">AVERAGE(OFFSET($R$3,0,0,'Données projet'!$E$9+1,1))-AVERAGE(OFFSET($H$3,0,0,'Données projet'!$E$9+1,1))</f>
        <v>428.8489304403459</v>
      </c>
      <c r="T109" s="62">
        <f t="shared" si="88"/>
        <v>247.01165577562966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2">
        <f t="shared" si="59"/>
        <v>921.72509366558074</v>
      </c>
      <c r="AN109" s="62">
        <f ca="1">AVERAGE(OFFSET($AM$3,0,0,'Données projet'!$E$10+1,1))-AVERAGE(OFFSET($H$3,0,0,'Données projet'!$E$10+1,1))</f>
        <v>475.47920969424894</v>
      </c>
      <c r="AO109" s="62">
        <f t="shared" si="90"/>
        <v>271.73544012419364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277.9732799999997</v>
      </c>
      <c r="BF109" s="14">
        <f t="shared" si="91"/>
        <v>66.538523764973135</v>
      </c>
      <c r="BG109" s="22">
        <f t="shared" si="61"/>
        <v>600.0247248906611</v>
      </c>
      <c r="BH109" s="62">
        <f t="shared" si="62"/>
        <v>893.35805822399448</v>
      </c>
      <c r="BI109" s="62">
        <f ca="1">AVERAGE(OFFSET($BH$3,0,0,'Données projet'!$E$11+1,1))-AVERAGE(OFFSET($H$3,0,0,'Données projet'!$E$11+1,1))</f>
        <v>455.50822833641354</v>
      </c>
      <c r="BJ109" s="62">
        <f t="shared" si="92"/>
        <v>261.14722581688039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309.35735999999969</v>
      </c>
      <c r="CA109" s="14">
        <f t="shared" si="93"/>
        <v>73.134605157142161</v>
      </c>
      <c r="CB109" s="22">
        <f t="shared" si="64"/>
        <v>666.17350598202211</v>
      </c>
      <c r="CC109" s="62">
        <f t="shared" si="65"/>
        <v>959.50683931535536</v>
      </c>
      <c r="CD109" s="62">
        <f ca="1">AVERAGE(OFFSET($CC$3,0,0,'Données projet'!$E$12+1,1))-AVERAGE(OFFSET($H$3,0,0,'Données projet'!$E$12+1,1))</f>
        <v>502.07782026233912</v>
      </c>
      <c r="CE109" s="62">
        <f t="shared" si="94"/>
        <v>285.83623046025156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5.6843418860808015E-14</v>
      </c>
      <c r="CU109" s="18">
        <f>CT109*VLOOKUP('Données projet'!$B$13,Paramètres!$A$1:$I$89,3,0)*VLOOKUP('Données projet'!$B$13,Paramètres!$A$1:$I$89,5,0)</f>
        <v>4.4337866711430253E-14</v>
      </c>
      <c r="CV109" s="14">
        <f t="shared" si="95"/>
        <v>7.3222115536967035E-13</v>
      </c>
      <c r="CW109" s="22">
        <f t="shared" si="67"/>
        <v>1.3525069634579169E-12</v>
      </c>
      <c r="CX109" s="62">
        <f t="shared" si="68"/>
        <v>293.33333333333468</v>
      </c>
      <c r="CY109" s="62">
        <f ca="1">AVERAGE(OFFSET($CX$3,0,0,'Données projet'!$E$13+1,1))-AVERAGE(OFFSET($H$3,0,0,'Données projet'!$E$13+1,1))</f>
        <v>289.19475369871481</v>
      </c>
      <c r="CZ109" s="62">
        <f t="shared" si="96"/>
        <v>283.48738729114024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3.5256410256410278</v>
      </c>
      <c r="DO109" s="13">
        <f>IF('Données projet'!$A$166&gt;35,DO108+DN109-DW108,IF(A109&lt;'Données projet'!$A$166,$DL$205^A109,IF(A109='Données projet'!$A$166,'Données projet'!$B$166,DO108+DN109-DW108)))</f>
        <v>344.23076923076951</v>
      </c>
      <c r="DP109" s="18">
        <f>DO109*VLOOKUP('Données projet'!$B$14,Paramètres!$A$1:$I$89,3,0)*VLOOKUP('Données projet'!$B$14,Paramètres!$A$1:$I$89,5,0)</f>
        <v>230.9100000000002</v>
      </c>
      <c r="DQ109" s="14">
        <f t="shared" si="97"/>
        <v>56.479399564921678</v>
      </c>
      <c r="DR109" s="22">
        <f t="shared" si="70"/>
        <v>500.53653757557214</v>
      </c>
      <c r="DS109" s="62">
        <f t="shared" si="71"/>
        <v>793.86987090890545</v>
      </c>
      <c r="DT109" s="62">
        <f ca="1">AVERAGE(OFFSET($DS$3,0,0,'Données projet'!$E$14+1,1))-AVERAGE(OFFSET($H$3,0,0,'Données projet'!$E$14+1,1))</f>
        <v>343.33067866534634</v>
      </c>
      <c r="DU109" s="62">
        <f t="shared" si="98"/>
        <v>261.91036689641402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2">
        <f t="shared" si="55"/>
        <v>863.9020949925864</v>
      </c>
      <c r="S110" s="62">
        <f ca="1">AVERAGE(OFFSET($R$3,0,0,'Données projet'!$E$9+1,1))-AVERAGE(OFFSET($H$3,0,0,'Données projet'!$E$9+1,1))</f>
        <v>428.8489304403459</v>
      </c>
      <c r="T110" s="62">
        <f t="shared" si="88"/>
        <v>247.01165577562966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2">
        <f t="shared" si="59"/>
        <v>931.12879500523582</v>
      </c>
      <c r="AN110" s="62">
        <f ca="1">AVERAGE(OFFSET($AM$3,0,0,'Données projet'!$E$10+1,1))-AVERAGE(OFFSET($H$3,0,0,'Données projet'!$E$10+1,1))</f>
        <v>475.47920969424894</v>
      </c>
      <c r="AO110" s="62">
        <f t="shared" si="90"/>
        <v>271.73544012419364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282.22895999999969</v>
      </c>
      <c r="BF110" s="14">
        <f t="shared" si="91"/>
        <v>67.437834611070301</v>
      </c>
      <c r="BG110" s="22">
        <f t="shared" si="61"/>
        <v>609.00300061428027</v>
      </c>
      <c r="BH110" s="62">
        <f t="shared" si="62"/>
        <v>902.33633394761364</v>
      </c>
      <c r="BI110" s="62">
        <f ca="1">AVERAGE(OFFSET($BH$3,0,0,'Données projet'!$E$11+1,1))-AVERAGE(OFFSET($H$3,0,0,'Données projet'!$E$11+1,1))</f>
        <v>455.50822833641354</v>
      </c>
      <c r="BJ110" s="62">
        <f t="shared" si="92"/>
        <v>261.14722581688039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314.09351999999961</v>
      </c>
      <c r="CA110" s="14">
        <f t="shared" si="93"/>
        <v>74.123066275924458</v>
      </c>
      <c r="CB110" s="22">
        <f t="shared" si="64"/>
        <v>676.14388776390103</v>
      </c>
      <c r="CC110" s="62">
        <f t="shared" si="65"/>
        <v>969.47722109723441</v>
      </c>
      <c r="CD110" s="62">
        <f ca="1">AVERAGE(OFFSET($CC$3,0,0,'Données projet'!$E$12+1,1))-AVERAGE(OFFSET($H$3,0,0,'Données projet'!$E$12+1,1))</f>
        <v>502.07782026233912</v>
      </c>
      <c r="CE110" s="62">
        <f t="shared" si="94"/>
        <v>285.83623046025156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5.6843418860808015E-14</v>
      </c>
      <c r="CU110" s="18">
        <f>CT110*VLOOKUP('Données projet'!$B$13,Paramètres!$A$1:$I$89,3,0)*VLOOKUP('Données projet'!$B$13,Paramètres!$A$1:$I$89,5,0)</f>
        <v>4.4337866711430253E-14</v>
      </c>
      <c r="CV110" s="14">
        <f t="shared" si="95"/>
        <v>7.3222115536967035E-13</v>
      </c>
      <c r="CW110" s="22">
        <f t="shared" si="67"/>
        <v>1.3525069634579169E-12</v>
      </c>
      <c r="CX110" s="62">
        <f t="shared" si="68"/>
        <v>293.33333333333468</v>
      </c>
      <c r="CY110" s="62">
        <f ca="1">AVERAGE(OFFSET($CX$3,0,0,'Données projet'!$E$13+1,1))-AVERAGE(OFFSET($H$3,0,0,'Données projet'!$E$13+1,1))</f>
        <v>289.19475369871481</v>
      </c>
      <c r="CZ110" s="62">
        <f t="shared" si="96"/>
        <v>283.48738729114024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3.5256410256410278</v>
      </c>
      <c r="DO110" s="13">
        <f>IF('Données projet'!$A$166&gt;35,DO109+DN110-DW109,IF(A110&lt;'Données projet'!$A$166,$DL$205^A110,IF(A110='Données projet'!$A$166,'Données projet'!$B$166,DO109+DN110-DW109)))</f>
        <v>347.75641025641056</v>
      </c>
      <c r="DP110" s="18">
        <f>DO110*VLOOKUP('Données projet'!$B$14,Paramètres!$A$1:$I$89,3,0)*VLOOKUP('Données projet'!$B$14,Paramètres!$A$1:$I$89,5,0)</f>
        <v>233.27500000000023</v>
      </c>
      <c r="DQ110" s="14">
        <f t="shared" si="97"/>
        <v>56.99022934607077</v>
      </c>
      <c r="DR110" s="22">
        <f t="shared" si="70"/>
        <v>505.54527444440697</v>
      </c>
      <c r="DS110" s="62">
        <f t="shared" si="71"/>
        <v>798.87860777774029</v>
      </c>
      <c r="DT110" s="62">
        <f ca="1">AVERAGE(OFFSET($DS$3,0,0,'Données projet'!$E$14+1,1))-AVERAGE(OFFSET($H$3,0,0,'Données projet'!$E$14+1,1))</f>
        <v>343.33067866534634</v>
      </c>
      <c r="DU110" s="62">
        <f t="shared" si="98"/>
        <v>261.91036689641402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2">
        <f t="shared" si="55"/>
        <v>872.30995628558094</v>
      </c>
      <c r="S111" s="62">
        <f ca="1">AVERAGE(OFFSET($R$3,0,0,'Données projet'!$E$9+1,1))-AVERAGE(OFFSET($H$3,0,0,'Données projet'!$E$9+1,1))</f>
        <v>428.8489304403459</v>
      </c>
      <c r="T111" s="62">
        <f t="shared" si="88"/>
        <v>247.01165577562966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2">
        <f t="shared" si="59"/>
        <v>940.52963240095801</v>
      </c>
      <c r="AN111" s="62">
        <f ca="1">AVERAGE(OFFSET($AM$3,0,0,'Données projet'!$E$10+1,1))-AVERAGE(OFFSET($H$3,0,0,'Données projet'!$E$10+1,1))</f>
        <v>475.47920969424894</v>
      </c>
      <c r="AO111" s="62">
        <f t="shared" si="90"/>
        <v>271.73544012419364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286.48463999999967</v>
      </c>
      <c r="BF111" s="14">
        <f t="shared" si="91"/>
        <v>68.335568330677432</v>
      </c>
      <c r="BG111" s="22">
        <f t="shared" si="61"/>
        <v>617.97852950926267</v>
      </c>
      <c r="BH111" s="62">
        <f t="shared" si="62"/>
        <v>911.31186284259593</v>
      </c>
      <c r="BI111" s="62">
        <f ca="1">AVERAGE(OFFSET($BH$3,0,0,'Données projet'!$E$11+1,1))-AVERAGE(OFFSET($H$3,0,0,'Données projet'!$E$11+1,1))</f>
        <v>455.50822833641354</v>
      </c>
      <c r="BJ111" s="62">
        <f t="shared" si="92"/>
        <v>261.14722581688039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318.8296799999996</v>
      </c>
      <c r="CA111" s="14">
        <f t="shared" si="93"/>
        <v>75.109793924882112</v>
      </c>
      <c r="CB111" s="22">
        <f t="shared" si="64"/>
        <v>686.11125041916887</v>
      </c>
      <c r="CC111" s="62">
        <f t="shared" si="65"/>
        <v>979.44458375250224</v>
      </c>
      <c r="CD111" s="62">
        <f ca="1">AVERAGE(OFFSET($CC$3,0,0,'Données projet'!$E$12+1,1))-AVERAGE(OFFSET($H$3,0,0,'Données projet'!$E$12+1,1))</f>
        <v>502.07782026233912</v>
      </c>
      <c r="CE111" s="62">
        <f t="shared" si="94"/>
        <v>285.83623046025156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5.6843418860808015E-14</v>
      </c>
      <c r="CU111" s="18">
        <f>CT111*VLOOKUP('Données projet'!$B$13,Paramètres!$A$1:$I$89,3,0)*VLOOKUP('Données projet'!$B$13,Paramètres!$A$1:$I$89,5,0)</f>
        <v>4.4337866711430253E-14</v>
      </c>
      <c r="CV111" s="14">
        <f t="shared" si="95"/>
        <v>7.3222115536967035E-13</v>
      </c>
      <c r="CW111" s="22">
        <f t="shared" si="67"/>
        <v>1.3525069634579169E-12</v>
      </c>
      <c r="CX111" s="62">
        <f t="shared" si="68"/>
        <v>293.33333333333468</v>
      </c>
      <c r="CY111" s="62">
        <f ca="1">AVERAGE(OFFSET($CX$3,0,0,'Données projet'!$E$13+1,1))-AVERAGE(OFFSET($H$3,0,0,'Données projet'!$E$13+1,1))</f>
        <v>289.19475369871481</v>
      </c>
      <c r="CZ111" s="62">
        <f t="shared" si="96"/>
        <v>283.48738729114024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3.5256410256410278</v>
      </c>
      <c r="DO111" s="13">
        <f>IF('Données projet'!$A$166&gt;35,DO110+DN111-DW110,IF(A111&lt;'Données projet'!$A$166,$DL$205^A111,IF(A111='Données projet'!$A$166,'Données projet'!$B$166,DO110+DN111-DW110)))</f>
        <v>351.28205128205161</v>
      </c>
      <c r="DP111" s="18">
        <f>DO111*VLOOKUP('Données projet'!$B$14,Paramètres!$A$1:$I$89,3,0)*VLOOKUP('Données projet'!$B$14,Paramètres!$A$1:$I$89,5,0)</f>
        <v>235.64000000000021</v>
      </c>
      <c r="DQ111" s="14">
        <f t="shared" si="97"/>
        <v>57.500456645637016</v>
      </c>
      <c r="DR111" s="22">
        <f t="shared" si="70"/>
        <v>510.55296199115151</v>
      </c>
      <c r="DS111" s="62">
        <f t="shared" si="71"/>
        <v>803.88629532448476</v>
      </c>
      <c r="DT111" s="62">
        <f ca="1">AVERAGE(OFFSET($DS$3,0,0,'Données projet'!$E$14+1,1))-AVERAGE(OFFSET($H$3,0,0,'Données projet'!$E$14+1,1))</f>
        <v>343.33067866534634</v>
      </c>
      <c r="DU111" s="62">
        <f t="shared" si="98"/>
        <v>261.91036689641402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2">
        <f t="shared" si="55"/>
        <v>880.71527085193179</v>
      </c>
      <c r="S112" s="62">
        <f ca="1">AVERAGE(OFFSET($R$3,0,0,'Données projet'!$E$9+1,1))-AVERAGE(OFFSET($H$3,0,0,'Données projet'!$E$9+1,1))</f>
        <v>428.8489304403459</v>
      </c>
      <c r="T112" s="62">
        <f t="shared" si="88"/>
        <v>247.01165577562966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2">
        <f t="shared" si="59"/>
        <v>949.92765331066835</v>
      </c>
      <c r="AN112" s="62">
        <f ca="1">AVERAGE(OFFSET($AM$3,0,0,'Données projet'!$E$10+1,1))-AVERAGE(OFFSET($H$3,0,0,'Données projet'!$E$10+1,1))</f>
        <v>475.47920969424894</v>
      </c>
      <c r="AO112" s="62">
        <f t="shared" si="90"/>
        <v>271.73544012419364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290.74031999999966</v>
      </c>
      <c r="BF112" s="14">
        <f t="shared" si="91"/>
        <v>69.231751058085507</v>
      </c>
      <c r="BG112" s="22">
        <f t="shared" si="61"/>
        <v>626.95135709283159</v>
      </c>
      <c r="BH112" s="62">
        <f t="shared" si="62"/>
        <v>920.28469042616484</v>
      </c>
      <c r="BI112" s="62">
        <f ca="1">AVERAGE(OFFSET($BH$3,0,0,'Données projet'!$E$11+1,1))-AVERAGE(OFFSET($H$3,0,0,'Données projet'!$E$11+1,1))</f>
        <v>455.50822833641354</v>
      </c>
      <c r="BJ112" s="62">
        <f t="shared" si="92"/>
        <v>261.14722581688039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323.56583999999958</v>
      </c>
      <c r="CA112" s="14">
        <f t="shared" si="93"/>
        <v>76.094816829044248</v>
      </c>
      <c r="CB112" s="22">
        <f t="shared" si="64"/>
        <v>696.07564397725127</v>
      </c>
      <c r="CC112" s="62">
        <f t="shared" si="65"/>
        <v>989.40897731058453</v>
      </c>
      <c r="CD112" s="62">
        <f ca="1">AVERAGE(OFFSET($CC$3,0,0,'Données projet'!$E$12+1,1))-AVERAGE(OFFSET($H$3,0,0,'Données projet'!$E$12+1,1))</f>
        <v>502.07782026233912</v>
      </c>
      <c r="CE112" s="62">
        <f t="shared" si="94"/>
        <v>285.83623046025156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5.6843418860808015E-14</v>
      </c>
      <c r="CU112" s="18">
        <f>CT112*VLOOKUP('Données projet'!$B$13,Paramètres!$A$1:$I$89,3,0)*VLOOKUP('Données projet'!$B$13,Paramètres!$A$1:$I$89,5,0)</f>
        <v>4.4337866711430253E-14</v>
      </c>
      <c r="CV112" s="14">
        <f t="shared" si="95"/>
        <v>7.3222115536967035E-13</v>
      </c>
      <c r="CW112" s="22">
        <f t="shared" si="67"/>
        <v>1.3525069634579169E-12</v>
      </c>
      <c r="CX112" s="62">
        <f t="shared" si="68"/>
        <v>293.33333333333468</v>
      </c>
      <c r="CY112" s="62">
        <f ca="1">AVERAGE(OFFSET($CX$3,0,0,'Données projet'!$E$13+1,1))-AVERAGE(OFFSET($H$3,0,0,'Données projet'!$E$13+1,1))</f>
        <v>289.19475369871481</v>
      </c>
      <c r="CZ112" s="62">
        <f t="shared" si="96"/>
        <v>283.48738729114024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3.5256410256410278</v>
      </c>
      <c r="DO112" s="13">
        <f>IF('Données projet'!$A$166&gt;35,DO111+DN112-DW111,IF(A112&lt;'Données projet'!$A$166,$DL$205^A112,IF(A112='Données projet'!$A$166,'Données projet'!$B$166,DO111+DN112-DW111)))</f>
        <v>354.80769230769266</v>
      </c>
      <c r="DP112" s="18">
        <f>DO112*VLOOKUP('Données projet'!$B$14,Paramètres!$A$1:$I$89,3,0)*VLOOKUP('Données projet'!$B$14,Paramètres!$A$1:$I$89,5,0)</f>
        <v>238.00500000000025</v>
      </c>
      <c r="DQ112" s="14">
        <f t="shared" si="97"/>
        <v>58.010088210558386</v>
      </c>
      <c r="DR112" s="22">
        <f t="shared" si="70"/>
        <v>515.55961196672297</v>
      </c>
      <c r="DS112" s="62">
        <f t="shared" si="71"/>
        <v>808.89294530005623</v>
      </c>
      <c r="DT112" s="62">
        <f ca="1">AVERAGE(OFFSET($DS$3,0,0,'Données projet'!$E$14+1,1))-AVERAGE(OFFSET($H$3,0,0,'Données projet'!$E$14+1,1))</f>
        <v>343.33067866534634</v>
      </c>
      <c r="DU112" s="62">
        <f t="shared" si="98"/>
        <v>261.91036689641402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2">
        <f t="shared" si="55"/>
        <v>889.11808027572556</v>
      </c>
      <c r="S113" s="62">
        <f ca="1">AVERAGE(OFFSET($R$3,0,0,'Données projet'!$E$9+1,1))-AVERAGE(OFFSET($H$3,0,0,'Données projet'!$E$9+1,1))</f>
        <v>428.8489304403459</v>
      </c>
      <c r="T113" s="62">
        <f t="shared" si="88"/>
        <v>247.01165577562966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2">
        <f t="shared" si="59"/>
        <v>959.32290372320404</v>
      </c>
      <c r="AN113" s="62">
        <f ca="1">AVERAGE(OFFSET($AM$3,0,0,'Données projet'!$E$10+1,1))-AVERAGE(OFFSET($H$3,0,0,'Données projet'!$E$10+1,1))</f>
        <v>475.47920969424894</v>
      </c>
      <c r="AO113" s="62">
        <f t="shared" si="90"/>
        <v>271.73544012419364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294.99599999999958</v>
      </c>
      <c r="BF113" s="14">
        <f t="shared" si="91"/>
        <v>70.126408118585317</v>
      </c>
      <c r="BG113" s="22">
        <f t="shared" si="61"/>
        <v>635.92152747320199</v>
      </c>
      <c r="BH113" s="62">
        <f t="shared" si="62"/>
        <v>929.25486080653536</v>
      </c>
      <c r="BI113" s="62">
        <f ca="1">AVERAGE(OFFSET($BH$3,0,0,'Données projet'!$E$11+1,1))-AVERAGE(OFFSET($H$3,0,0,'Données projet'!$E$11+1,1))</f>
        <v>455.50822833641354</v>
      </c>
      <c r="BJ113" s="62">
        <f t="shared" si="92"/>
        <v>261.14722581688039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328.30199999999957</v>
      </c>
      <c r="CA113" s="14">
        <f t="shared" si="93"/>
        <v>77.078162824242781</v>
      </c>
      <c r="CB113" s="22">
        <f t="shared" si="64"/>
        <v>706.03711691888873</v>
      </c>
      <c r="CC113" s="62">
        <f t="shared" si="65"/>
        <v>999.3704502522221</v>
      </c>
      <c r="CD113" s="62">
        <f ca="1">AVERAGE(OFFSET($CC$3,0,0,'Données projet'!$E$12+1,1))-AVERAGE(OFFSET($H$3,0,0,'Données projet'!$E$12+1,1))</f>
        <v>502.07782026233912</v>
      </c>
      <c r="CE113" s="62">
        <f t="shared" si="94"/>
        <v>285.83623046025156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5.6843418860808015E-14</v>
      </c>
      <c r="CU113" s="18">
        <f>CT113*VLOOKUP('Données projet'!$B$13,Paramètres!$A$1:$I$89,3,0)*VLOOKUP('Données projet'!$B$13,Paramètres!$A$1:$I$89,5,0)</f>
        <v>4.4337866711430253E-14</v>
      </c>
      <c r="CV113" s="14">
        <f t="shared" si="95"/>
        <v>7.3222115536967035E-13</v>
      </c>
      <c r="CW113" s="22">
        <f t="shared" si="67"/>
        <v>1.3525069634579169E-12</v>
      </c>
      <c r="CX113" s="62">
        <f t="shared" si="68"/>
        <v>293.33333333333468</v>
      </c>
      <c r="CY113" s="62">
        <f ca="1">AVERAGE(OFFSET($CX$3,0,0,'Données projet'!$E$13+1,1))-AVERAGE(OFFSET($H$3,0,0,'Données projet'!$E$13+1,1))</f>
        <v>289.19475369871481</v>
      </c>
      <c r="CZ113" s="62">
        <f t="shared" si="96"/>
        <v>283.48738729114024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358.33333333333331</v>
      </c>
      <c r="DM113" s="13">
        <f>VLOOKUP(A113,'Données projet'!$A$165:$I$185,9,0)</f>
        <v>3.5256410256410278</v>
      </c>
      <c r="DN113" s="13">
        <f t="array" ref="DN113">INDEX(DM:DM,MIN(IF(ISNUMBER(DM113:DM309),ROW(DM113:DM309),"")))</f>
        <v>3.5256410256410278</v>
      </c>
      <c r="DO113" s="13">
        <f>IF('Données projet'!$A$166&gt;35,DO112+DN113-DW112,IF(A113&lt;'Données projet'!$A$166,$DL$205^A113,IF(A113='Données projet'!$A$166,'Données projet'!$B$166,DO112+DN113-DW112)))</f>
        <v>358.33333333333371</v>
      </c>
      <c r="DP113" s="18">
        <f>DO113*VLOOKUP('Données projet'!$B$14,Paramètres!$A$1:$I$89,3,0)*VLOOKUP('Données projet'!$B$14,Paramètres!$A$1:$I$89,5,0)</f>
        <v>240.37000000000023</v>
      </c>
      <c r="DQ113" s="14">
        <f t="shared" si="97"/>
        <v>58.51913064595891</v>
      </c>
      <c r="DR113" s="22">
        <f t="shared" si="70"/>
        <v>520.56523587504546</v>
      </c>
      <c r="DS113" s="62">
        <f t="shared" si="71"/>
        <v>813.89856920837883</v>
      </c>
      <c r="DT113" s="62">
        <f ca="1">AVERAGE(OFFSET($DS$3,0,0,'Données projet'!$E$14+1,1))-AVERAGE(OFFSET($H$3,0,0,'Données projet'!$E$14+1,1))</f>
        <v>343.33067866534634</v>
      </c>
      <c r="DU113" s="62">
        <f t="shared" si="98"/>
        <v>261.91036689641402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358.33333333333331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2">
        <f t="shared" si="55"/>
        <v>821.63161043190416</v>
      </c>
      <c r="S114" s="62">
        <f ca="1">AVERAGE(OFFSET($R$3,0,0,'Données projet'!$E$9+1,1))-AVERAGE(OFFSET($H$3,0,0,'Données projet'!$E$9+1,1))</f>
        <v>428.8489304403459</v>
      </c>
      <c r="T114" s="62">
        <f t="shared" si="88"/>
        <v>247.01165577562966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2">
        <f t="shared" si="59"/>
        <v>883.86661576478514</v>
      </c>
      <c r="AN114" s="62">
        <f ca="1">AVERAGE(OFFSET($AM$3,0,0,'Données projet'!$E$10+1,1))-AVERAGE(OFFSET($H$3,0,0,'Données projet'!$E$10+1,1))</f>
        <v>475.47920969424894</v>
      </c>
      <c r="AO114" s="62">
        <f t="shared" si="90"/>
        <v>271.73544012419364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260.85383999999959</v>
      </c>
      <c r="BF114" s="14">
        <f t="shared" si="91"/>
        <v>62.904347395903649</v>
      </c>
      <c r="BG114" s="22">
        <f t="shared" si="61"/>
        <v>563.87884304786473</v>
      </c>
      <c r="BH114" s="62">
        <f t="shared" si="62"/>
        <v>857.21217638119811</v>
      </c>
      <c r="BI114" s="62">
        <f ca="1">AVERAGE(OFFSET($BH$3,0,0,'Données projet'!$E$11+1,1))-AVERAGE(OFFSET($H$3,0,0,'Données projet'!$E$11+1,1))</f>
        <v>455.50822833641354</v>
      </c>
      <c r="BJ114" s="62">
        <f t="shared" si="92"/>
        <v>261.14722581688039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290.30507999999958</v>
      </c>
      <c r="CA114" s="14">
        <f t="shared" si="93"/>
        <v>69.140166465323375</v>
      </c>
      <c r="CB114" s="22">
        <f t="shared" si="64"/>
        <v>626.03380426043748</v>
      </c>
      <c r="CC114" s="62">
        <f t="shared" si="65"/>
        <v>919.36713759377085</v>
      </c>
      <c r="CD114" s="62">
        <f ca="1">AVERAGE(OFFSET($CC$3,0,0,'Données projet'!$E$12+1,1))-AVERAGE(OFFSET($H$3,0,0,'Données projet'!$E$12+1,1))</f>
        <v>502.07782026233912</v>
      </c>
      <c r="CE114" s="62">
        <f t="shared" si="94"/>
        <v>285.83623046025156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5.6843418860808015E-14</v>
      </c>
      <c r="CU114" s="18">
        <f>CT114*VLOOKUP('Données projet'!$B$13,Paramètres!$A$1:$I$89,3,0)*VLOOKUP('Données projet'!$B$13,Paramètres!$A$1:$I$89,5,0)</f>
        <v>4.4337866711430253E-14</v>
      </c>
      <c r="CV114" s="14">
        <f t="shared" si="95"/>
        <v>7.3222115536967035E-13</v>
      </c>
      <c r="CW114" s="22">
        <f t="shared" si="67"/>
        <v>1.3525069634579169E-12</v>
      </c>
      <c r="CX114" s="62">
        <f t="shared" si="68"/>
        <v>293.33333333333468</v>
      </c>
      <c r="CY114" s="62">
        <f ca="1">AVERAGE(OFFSET($CX$3,0,0,'Données projet'!$E$13+1,1))-AVERAGE(OFFSET($H$3,0,0,'Données projet'!$E$13+1,1))</f>
        <v>289.19475369871481</v>
      </c>
      <c r="CZ114" s="62">
        <f t="shared" si="96"/>
        <v>283.48738729114024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3.979039320256561E-13</v>
      </c>
      <c r="DP114" s="18">
        <f>DO114*VLOOKUP('Données projet'!$B$14,Paramètres!$A$1:$I$89,3,0)*VLOOKUP('Données projet'!$B$14,Paramètres!$A$1:$I$89,5,0)</f>
        <v>2.669139576028101E-13</v>
      </c>
      <c r="DQ114" s="14">
        <f t="shared" si="97"/>
        <v>3.5767923834585247E-12</v>
      </c>
      <c r="DR114" s="22">
        <f t="shared" si="70"/>
        <v>6.6944552106818241E-12</v>
      </c>
      <c r="DS114" s="62">
        <f t="shared" si="71"/>
        <v>293.33333333334002</v>
      </c>
      <c r="DT114" s="62">
        <f ca="1">AVERAGE(OFFSET($DS$3,0,0,'Données projet'!$E$14+1,1))-AVERAGE(OFFSET($H$3,0,0,'Données projet'!$E$14+1,1))</f>
        <v>343.33067866534634</v>
      </c>
      <c r="DU114" s="62">
        <f t="shared" si="98"/>
        <v>261.91036689641402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2">
        <f t="shared" si="55"/>
        <v>828.7133714063857</v>
      </c>
      <c r="S115" s="62">
        <f ca="1">AVERAGE(OFFSET($R$3,0,0,'Données projet'!$E$9+1,1))-AVERAGE(OFFSET($H$3,0,0,'Données projet'!$E$9+1,1))</f>
        <v>428.8489304403459</v>
      </c>
      <c r="T115" s="62">
        <f t="shared" si="88"/>
        <v>247.01165577562966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2">
        <f t="shared" si="59"/>
        <v>891.78459897725043</v>
      </c>
      <c r="AN115" s="62">
        <f ca="1">AVERAGE(OFFSET($AM$3,0,0,'Données projet'!$E$10+1,1))-AVERAGE(OFFSET($H$3,0,0,'Données projet'!$E$10+1,1))</f>
        <v>475.47920969424894</v>
      </c>
      <c r="AO115" s="62">
        <f t="shared" si="90"/>
        <v>271.73544012419364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264.4324799999996</v>
      </c>
      <c r="BF115" s="14">
        <f t="shared" si="91"/>
        <v>63.666272015882292</v>
      </c>
      <c r="BG115" s="22">
        <f t="shared" si="61"/>
        <v>571.43865976099426</v>
      </c>
      <c r="BH115" s="62">
        <f t="shared" si="62"/>
        <v>864.77199309432763</v>
      </c>
      <c r="BI115" s="62">
        <f ca="1">AVERAGE(OFFSET($BH$3,0,0,'Données projet'!$E$11+1,1))-AVERAGE(OFFSET($H$3,0,0,'Données projet'!$E$11+1,1))</f>
        <v>455.50822833641354</v>
      </c>
      <c r="BJ115" s="62">
        <f t="shared" si="92"/>
        <v>261.14722581688039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294.28775999999954</v>
      </c>
      <c r="CA115" s="14">
        <f t="shared" si="93"/>
        <v>69.977622018717668</v>
      </c>
      <c r="CB115" s="22">
        <f t="shared" si="64"/>
        <v>634.42887368259915</v>
      </c>
      <c r="CC115" s="62">
        <f t="shared" si="65"/>
        <v>927.76220701593252</v>
      </c>
      <c r="CD115" s="62">
        <f ca="1">AVERAGE(OFFSET($CC$3,0,0,'Données projet'!$E$12+1,1))-AVERAGE(OFFSET($H$3,0,0,'Données projet'!$E$12+1,1))</f>
        <v>502.07782026233912</v>
      </c>
      <c r="CE115" s="62">
        <f t="shared" si="94"/>
        <v>285.83623046025156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5.6843418860808015E-14</v>
      </c>
      <c r="CU115" s="18">
        <f>CT115*VLOOKUP('Données projet'!$B$13,Paramètres!$A$1:$I$89,3,0)*VLOOKUP('Données projet'!$B$13,Paramètres!$A$1:$I$89,5,0)</f>
        <v>4.4337866711430253E-14</v>
      </c>
      <c r="CV115" s="14">
        <f t="shared" si="95"/>
        <v>7.3222115536967035E-13</v>
      </c>
      <c r="CW115" s="22">
        <f t="shared" si="67"/>
        <v>1.3525069634579169E-12</v>
      </c>
      <c r="CX115" s="62">
        <f t="shared" si="68"/>
        <v>293.33333333333468</v>
      </c>
      <c r="CY115" s="62">
        <f ca="1">AVERAGE(OFFSET($CX$3,0,0,'Données projet'!$E$13+1,1))-AVERAGE(OFFSET($H$3,0,0,'Données projet'!$E$13+1,1))</f>
        <v>289.19475369871481</v>
      </c>
      <c r="CZ115" s="62">
        <f t="shared" si="96"/>
        <v>283.48738729114024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3.979039320256561E-13</v>
      </c>
      <c r="DP115" s="18">
        <f>DO115*VLOOKUP('Données projet'!$B$14,Paramètres!$A$1:$I$89,3,0)*VLOOKUP('Données projet'!$B$14,Paramètres!$A$1:$I$89,5,0)</f>
        <v>2.669139576028101E-13</v>
      </c>
      <c r="DQ115" s="14">
        <f t="shared" si="97"/>
        <v>3.5767923834585247E-12</v>
      </c>
      <c r="DR115" s="22">
        <f t="shared" si="70"/>
        <v>6.6944552106818241E-12</v>
      </c>
      <c r="DS115" s="62">
        <f t="shared" si="71"/>
        <v>293.33333333334002</v>
      </c>
      <c r="DT115" s="62">
        <f ca="1">AVERAGE(OFFSET($DS$3,0,0,'Données projet'!$E$14+1,1))-AVERAGE(OFFSET($H$3,0,0,'Données projet'!$E$14+1,1))</f>
        <v>343.33067866534634</v>
      </c>
      <c r="DU115" s="62">
        <f t="shared" si="98"/>
        <v>261.91036689641402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2">
        <f t="shared" si="55"/>
        <v>835.79316307617296</v>
      </c>
      <c r="S116" s="62">
        <f ca="1">AVERAGE(OFFSET($R$3,0,0,'Données projet'!$E$9+1,1))-AVERAGE(OFFSET($H$3,0,0,'Données projet'!$E$9+1,1))</f>
        <v>428.8489304403459</v>
      </c>
      <c r="T116" s="62">
        <f t="shared" si="88"/>
        <v>247.01165577562966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2">
        <f t="shared" si="59"/>
        <v>899.70040428847165</v>
      </c>
      <c r="AN116" s="62">
        <f ca="1">AVERAGE(OFFSET($AM$3,0,0,'Données projet'!$E$10+1,1))-AVERAGE(OFFSET($H$3,0,0,'Données projet'!$E$10+1,1))</f>
        <v>475.47920969424894</v>
      </c>
      <c r="AO116" s="62">
        <f t="shared" si="90"/>
        <v>271.73544012419364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268.01111999999961</v>
      </c>
      <c r="BF116" s="14">
        <f t="shared" si="91"/>
        <v>64.426997301716796</v>
      </c>
      <c r="BG116" s="22">
        <f t="shared" si="61"/>
        <v>578.99638763382268</v>
      </c>
      <c r="BH116" s="62">
        <f t="shared" si="62"/>
        <v>872.32972096715594</v>
      </c>
      <c r="BI116" s="62">
        <f ca="1">AVERAGE(OFFSET($BH$3,0,0,'Données projet'!$E$11+1,1))-AVERAGE(OFFSET($H$3,0,0,'Données projet'!$E$11+1,1))</f>
        <v>455.50822833641354</v>
      </c>
      <c r="BJ116" s="62">
        <f t="shared" si="92"/>
        <v>261.14722581688039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298.27043999999955</v>
      </c>
      <c r="CA116" s="14">
        <f t="shared" si="93"/>
        <v>70.813759345855914</v>
      </c>
      <c r="CB116" s="22">
        <f t="shared" si="64"/>
        <v>642.82164719403158</v>
      </c>
      <c r="CC116" s="62">
        <f t="shared" si="65"/>
        <v>936.15498052736484</v>
      </c>
      <c r="CD116" s="62">
        <f ca="1">AVERAGE(OFFSET($CC$3,0,0,'Données projet'!$E$12+1,1))-AVERAGE(OFFSET($H$3,0,0,'Données projet'!$E$12+1,1))</f>
        <v>502.07782026233912</v>
      </c>
      <c r="CE116" s="62">
        <f t="shared" si="94"/>
        <v>285.83623046025156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5.6843418860808015E-14</v>
      </c>
      <c r="CU116" s="18">
        <f>CT116*VLOOKUP('Données projet'!$B$13,Paramètres!$A$1:$I$89,3,0)*VLOOKUP('Données projet'!$B$13,Paramètres!$A$1:$I$89,5,0)</f>
        <v>4.4337866711430253E-14</v>
      </c>
      <c r="CV116" s="14">
        <f t="shared" si="95"/>
        <v>7.3222115536967035E-13</v>
      </c>
      <c r="CW116" s="22">
        <f t="shared" si="67"/>
        <v>1.3525069634579169E-12</v>
      </c>
      <c r="CX116" s="62">
        <f t="shared" si="68"/>
        <v>293.33333333333468</v>
      </c>
      <c r="CY116" s="62">
        <f ca="1">AVERAGE(OFFSET($CX$3,0,0,'Données projet'!$E$13+1,1))-AVERAGE(OFFSET($H$3,0,0,'Données projet'!$E$13+1,1))</f>
        <v>289.19475369871481</v>
      </c>
      <c r="CZ116" s="62">
        <f t="shared" si="96"/>
        <v>283.48738729114024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3.979039320256561E-13</v>
      </c>
      <c r="DP116" s="18">
        <f>DO116*VLOOKUP('Données projet'!$B$14,Paramètres!$A$1:$I$89,3,0)*VLOOKUP('Données projet'!$B$14,Paramètres!$A$1:$I$89,5,0)</f>
        <v>2.669139576028101E-13</v>
      </c>
      <c r="DQ116" s="14">
        <f t="shared" si="97"/>
        <v>3.5767923834585247E-12</v>
      </c>
      <c r="DR116" s="22">
        <f t="shared" si="70"/>
        <v>6.6944552106818241E-12</v>
      </c>
      <c r="DS116" s="62">
        <f t="shared" si="71"/>
        <v>293.33333333334002</v>
      </c>
      <c r="DT116" s="62">
        <f ca="1">AVERAGE(OFFSET($DS$3,0,0,'Données projet'!$E$14+1,1))-AVERAGE(OFFSET($H$3,0,0,'Données projet'!$E$14+1,1))</f>
        <v>343.33067866534634</v>
      </c>
      <c r="DU116" s="62">
        <f t="shared" si="98"/>
        <v>261.91036689641402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2">
        <f t="shared" si="55"/>
        <v>842.87101477628994</v>
      </c>
      <c r="S117" s="62">
        <f ca="1">AVERAGE(OFFSET($R$3,0,0,'Données projet'!$E$9+1,1))-AVERAGE(OFFSET($H$3,0,0,'Données projet'!$E$9+1,1))</f>
        <v>428.8489304403459</v>
      </c>
      <c r="T117" s="62">
        <f t="shared" si="88"/>
        <v>247.01165577562966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2">
        <f t="shared" si="59"/>
        <v>907.61406414075464</v>
      </c>
      <c r="AN117" s="62">
        <f ca="1">AVERAGE(OFFSET($AM$3,0,0,'Données projet'!$E$10+1,1))-AVERAGE(OFFSET($H$3,0,0,'Données projet'!$E$10+1,1))</f>
        <v>475.47920969424894</v>
      </c>
      <c r="AO117" s="62">
        <f t="shared" si="90"/>
        <v>271.73544012419364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271.58975999999956</v>
      </c>
      <c r="BF117" s="14">
        <f t="shared" si="91"/>
        <v>65.186541118848012</v>
      </c>
      <c r="BG117" s="22">
        <f t="shared" si="61"/>
        <v>586.55205778199286</v>
      </c>
      <c r="BH117" s="62">
        <f t="shared" si="62"/>
        <v>879.88539111532623</v>
      </c>
      <c r="BI117" s="62">
        <f ca="1">AVERAGE(OFFSET($BH$3,0,0,'Données projet'!$E$11+1,1))-AVERAGE(OFFSET($H$3,0,0,'Données projet'!$E$11+1,1))</f>
        <v>455.50822833641354</v>
      </c>
      <c r="BJ117" s="62">
        <f t="shared" si="92"/>
        <v>261.14722581688039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302.25311999999951</v>
      </c>
      <c r="CA117" s="14">
        <f t="shared" si="93"/>
        <v>71.648598083211283</v>
      </c>
      <c r="CB117" s="22">
        <f t="shared" si="64"/>
        <v>651.21215899492529</v>
      </c>
      <c r="CC117" s="62">
        <f t="shared" si="65"/>
        <v>944.54549232825866</v>
      </c>
      <c r="CD117" s="62">
        <f ca="1">AVERAGE(OFFSET($CC$3,0,0,'Données projet'!$E$12+1,1))-AVERAGE(OFFSET($H$3,0,0,'Données projet'!$E$12+1,1))</f>
        <v>502.07782026233912</v>
      </c>
      <c r="CE117" s="62">
        <f t="shared" si="94"/>
        <v>285.83623046025156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5.6843418860808015E-14</v>
      </c>
      <c r="CU117" s="18">
        <f>CT117*VLOOKUP('Données projet'!$B$13,Paramètres!$A$1:$I$89,3,0)*VLOOKUP('Données projet'!$B$13,Paramètres!$A$1:$I$89,5,0)</f>
        <v>4.4337866711430253E-14</v>
      </c>
      <c r="CV117" s="14">
        <f t="shared" si="95"/>
        <v>7.3222115536967035E-13</v>
      </c>
      <c r="CW117" s="22">
        <f t="shared" si="67"/>
        <v>1.3525069634579169E-12</v>
      </c>
      <c r="CX117" s="62">
        <f t="shared" si="68"/>
        <v>293.33333333333468</v>
      </c>
      <c r="CY117" s="62">
        <f ca="1">AVERAGE(OFFSET($CX$3,0,0,'Données projet'!$E$13+1,1))-AVERAGE(OFFSET($H$3,0,0,'Données projet'!$E$13+1,1))</f>
        <v>289.19475369871481</v>
      </c>
      <c r="CZ117" s="62">
        <f t="shared" si="96"/>
        <v>283.48738729114024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3.979039320256561E-13</v>
      </c>
      <c r="DP117" s="18">
        <f>DO117*VLOOKUP('Données projet'!$B$14,Paramètres!$A$1:$I$89,3,0)*VLOOKUP('Données projet'!$B$14,Paramètres!$A$1:$I$89,5,0)</f>
        <v>2.669139576028101E-13</v>
      </c>
      <c r="DQ117" s="14">
        <f t="shared" si="97"/>
        <v>3.5767923834585247E-12</v>
      </c>
      <c r="DR117" s="22">
        <f t="shared" si="70"/>
        <v>6.6944552106818241E-12</v>
      </c>
      <c r="DS117" s="62">
        <f t="shared" si="71"/>
        <v>293.33333333334002</v>
      </c>
      <c r="DT117" s="62">
        <f ca="1">AVERAGE(OFFSET($DS$3,0,0,'Données projet'!$E$14+1,1))-AVERAGE(OFFSET($H$3,0,0,'Données projet'!$E$14+1,1))</f>
        <v>343.33067866534634</v>
      </c>
      <c r="DU117" s="62">
        <f t="shared" si="98"/>
        <v>261.91036689641402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2">
        <f t="shared" si="55"/>
        <v>849.94695502425111</v>
      </c>
      <c r="S118" s="62">
        <f ca="1">AVERAGE(OFFSET($R$3,0,0,'Données projet'!$E$9+1,1))-AVERAGE(OFFSET($H$3,0,0,'Données projet'!$E$9+1,1))</f>
        <v>428.8489304403459</v>
      </c>
      <c r="T118" s="62">
        <f t="shared" si="88"/>
        <v>247.01165577562966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2">
        <f t="shared" si="59"/>
        <v>915.52561007230179</v>
      </c>
      <c r="AN118" s="62">
        <f ca="1">AVERAGE(OFFSET($AM$3,0,0,'Données projet'!$E$10+1,1))-AVERAGE(OFFSET($H$3,0,0,'Données projet'!$E$10+1,1))</f>
        <v>475.47920969424894</v>
      </c>
      <c r="AO118" s="62">
        <f t="shared" si="90"/>
        <v>271.73544012419364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275.16839999999956</v>
      </c>
      <c r="BF118" s="14">
        <f t="shared" si="91"/>
        <v>65.944920834841554</v>
      </c>
      <c r="BG118" s="22">
        <f t="shared" si="61"/>
        <v>594.10570045401494</v>
      </c>
      <c r="BH118" s="62">
        <f t="shared" si="62"/>
        <v>887.43903378734831</v>
      </c>
      <c r="BI118" s="62">
        <f ca="1">AVERAGE(OFFSET($BH$3,0,0,'Données projet'!$E$11+1,1))-AVERAGE(OFFSET($H$3,0,0,'Données projet'!$E$11+1,1))</f>
        <v>455.50822833641354</v>
      </c>
      <c r="BJ118" s="62">
        <f t="shared" si="92"/>
        <v>261.14722581688039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306.23579999999947</v>
      </c>
      <c r="CA118" s="14">
        <f t="shared" si="93"/>
        <v>72.482157320026886</v>
      </c>
      <c r="CB118" s="22">
        <f t="shared" si="64"/>
        <v>659.6004423323792</v>
      </c>
      <c r="CC118" s="62">
        <f t="shared" si="65"/>
        <v>952.93377566571257</v>
      </c>
      <c r="CD118" s="62">
        <f ca="1">AVERAGE(OFFSET($CC$3,0,0,'Données projet'!$E$12+1,1))-AVERAGE(OFFSET($H$3,0,0,'Données projet'!$E$12+1,1))</f>
        <v>502.07782026233912</v>
      </c>
      <c r="CE118" s="62">
        <f t="shared" si="94"/>
        <v>285.83623046025156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5.6843418860808015E-14</v>
      </c>
      <c r="CU118" s="18">
        <f>CT118*VLOOKUP('Données projet'!$B$13,Paramètres!$A$1:$I$89,3,0)*VLOOKUP('Données projet'!$B$13,Paramètres!$A$1:$I$89,5,0)</f>
        <v>4.4337866711430253E-14</v>
      </c>
      <c r="CV118" s="14">
        <f t="shared" si="95"/>
        <v>7.3222115536967035E-13</v>
      </c>
      <c r="CW118" s="22">
        <f t="shared" si="67"/>
        <v>1.3525069634579169E-12</v>
      </c>
      <c r="CX118" s="62">
        <f t="shared" si="68"/>
        <v>293.33333333333468</v>
      </c>
      <c r="CY118" s="62">
        <f ca="1">AVERAGE(OFFSET($CX$3,0,0,'Données projet'!$E$13+1,1))-AVERAGE(OFFSET($H$3,0,0,'Données projet'!$E$13+1,1))</f>
        <v>289.19475369871481</v>
      </c>
      <c r="CZ118" s="62">
        <f t="shared" si="96"/>
        <v>283.48738729114024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3.979039320256561E-13</v>
      </c>
      <c r="DP118" s="18">
        <f>DO118*VLOOKUP('Données projet'!$B$14,Paramètres!$A$1:$I$89,3,0)*VLOOKUP('Données projet'!$B$14,Paramètres!$A$1:$I$89,5,0)</f>
        <v>2.669139576028101E-13</v>
      </c>
      <c r="DQ118" s="14">
        <f t="shared" si="97"/>
        <v>3.5767923834585247E-12</v>
      </c>
      <c r="DR118" s="22">
        <f t="shared" si="70"/>
        <v>6.6944552106818241E-12</v>
      </c>
      <c r="DS118" s="62">
        <f t="shared" si="71"/>
        <v>293.33333333334002</v>
      </c>
      <c r="DT118" s="62">
        <f ca="1">AVERAGE(OFFSET($DS$3,0,0,'Données projet'!$E$14+1,1))-AVERAGE(OFFSET($H$3,0,0,'Données projet'!$E$14+1,1))</f>
        <v>343.33067866534634</v>
      </c>
      <c r="DU118" s="62">
        <f t="shared" si="98"/>
        <v>261.91036689641402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2">
        <f t="shared" si="55"/>
        <v>857.02101155317155</v>
      </c>
      <c r="S119" s="62">
        <f ca="1">AVERAGE(OFFSET($R$3,0,0,'Données projet'!$E$9+1,1))-AVERAGE(OFFSET($H$3,0,0,'Données projet'!$E$9+1,1))</f>
        <v>428.8489304403459</v>
      </c>
      <c r="T119" s="62">
        <f t="shared" si="88"/>
        <v>247.01165577562966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2">
        <f t="shared" si="59"/>
        <v>923.43507275383013</v>
      </c>
      <c r="AN119" s="62">
        <f ca="1">AVERAGE(OFFSET($AM$3,0,0,'Données projet'!$E$10+1,1))-AVERAGE(OFFSET($H$3,0,0,'Données projet'!$E$10+1,1))</f>
        <v>475.47920969424894</v>
      </c>
      <c r="AO119" s="62">
        <f t="shared" si="90"/>
        <v>271.73544012419364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278.74703999999957</v>
      </c>
      <c r="BF119" s="14">
        <f t="shared" si="91"/>
        <v>66.702153339553135</v>
      </c>
      <c r="BG119" s="22">
        <f t="shared" si="61"/>
        <v>601.65734506638762</v>
      </c>
      <c r="BH119" s="62">
        <f t="shared" si="62"/>
        <v>894.99067839972099</v>
      </c>
      <c r="BI119" s="62">
        <f ca="1">AVERAGE(OFFSET($BH$3,0,0,'Données projet'!$E$11+1,1))-AVERAGE(OFFSET($H$3,0,0,'Données projet'!$E$11+1,1))</f>
        <v>455.50822833641354</v>
      </c>
      <c r="BJ119" s="62">
        <f t="shared" si="92"/>
        <v>261.14722581688039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310.21847999999949</v>
      </c>
      <c r="CA119" s="14">
        <f t="shared" si="93"/>
        <v>73.314455620479848</v>
      </c>
      <c r="CB119" s="22">
        <f t="shared" si="64"/>
        <v>667.98652953900148</v>
      </c>
      <c r="CC119" s="62">
        <f t="shared" si="65"/>
        <v>961.31986287233485</v>
      </c>
      <c r="CD119" s="62">
        <f ca="1">AVERAGE(OFFSET($CC$3,0,0,'Données projet'!$E$12+1,1))-AVERAGE(OFFSET($H$3,0,0,'Données projet'!$E$12+1,1))</f>
        <v>502.07782026233912</v>
      </c>
      <c r="CE119" s="62">
        <f t="shared" si="94"/>
        <v>285.83623046025156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5.6843418860808015E-14</v>
      </c>
      <c r="CU119" s="18">
        <f>CT119*VLOOKUP('Données projet'!$B$13,Paramètres!$A$1:$I$89,3,0)*VLOOKUP('Données projet'!$B$13,Paramètres!$A$1:$I$89,5,0)</f>
        <v>4.4337866711430253E-14</v>
      </c>
      <c r="CV119" s="14">
        <f t="shared" si="95"/>
        <v>7.3222115536967035E-13</v>
      </c>
      <c r="CW119" s="22">
        <f t="shared" si="67"/>
        <v>1.3525069634579169E-12</v>
      </c>
      <c r="CX119" s="62">
        <f t="shared" si="68"/>
        <v>293.33333333333468</v>
      </c>
      <c r="CY119" s="62">
        <f ca="1">AVERAGE(OFFSET($CX$3,0,0,'Données projet'!$E$13+1,1))-AVERAGE(OFFSET($H$3,0,0,'Données projet'!$E$13+1,1))</f>
        <v>289.19475369871481</v>
      </c>
      <c r="CZ119" s="62">
        <f t="shared" si="96"/>
        <v>283.48738729114024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3.979039320256561E-13</v>
      </c>
      <c r="DP119" s="18">
        <f>DO119*VLOOKUP('Données projet'!$B$14,Paramètres!$A$1:$I$89,3,0)*VLOOKUP('Données projet'!$B$14,Paramètres!$A$1:$I$89,5,0)</f>
        <v>2.669139576028101E-13</v>
      </c>
      <c r="DQ119" s="14">
        <f t="shared" si="97"/>
        <v>3.5767923834585247E-12</v>
      </c>
      <c r="DR119" s="22">
        <f t="shared" si="70"/>
        <v>6.6944552106818241E-12</v>
      </c>
      <c r="DS119" s="62">
        <f t="shared" si="71"/>
        <v>293.33333333334002</v>
      </c>
      <c r="DT119" s="62">
        <f ca="1">AVERAGE(OFFSET($DS$3,0,0,'Données projet'!$E$14+1,1))-AVERAGE(OFFSET($H$3,0,0,'Données projet'!$E$14+1,1))</f>
        <v>343.33067866534634</v>
      </c>
      <c r="DU119" s="62">
        <f t="shared" si="98"/>
        <v>261.91036689641402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2">
        <f t="shared" si="55"/>
        <v>864.09321134313223</v>
      </c>
      <c r="S120" s="62">
        <f ca="1">AVERAGE(OFFSET($R$3,0,0,'Données projet'!$E$9+1,1))-AVERAGE(OFFSET($H$3,0,0,'Données projet'!$E$9+1,1))</f>
        <v>428.8489304403459</v>
      </c>
      <c r="T120" s="62">
        <f t="shared" si="88"/>
        <v>247.01165577562966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2">
        <f t="shared" si="59"/>
        <v>931.34248202325739</v>
      </c>
      <c r="AN120" s="62">
        <f ca="1">AVERAGE(OFFSET($AM$3,0,0,'Données projet'!$E$10+1,1))-AVERAGE(OFFSET($H$3,0,0,'Données projet'!$E$10+1,1))</f>
        <v>475.47920969424894</v>
      </c>
      <c r="AO120" s="62">
        <f t="shared" si="90"/>
        <v>271.73544012419364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282.32567999999952</v>
      </c>
      <c r="BF120" s="14">
        <f t="shared" si="91"/>
        <v>67.458255064229917</v>
      </c>
      <c r="BG120" s="22">
        <f t="shared" si="61"/>
        <v>609.20702023686624</v>
      </c>
      <c r="BH120" s="62">
        <f t="shared" si="62"/>
        <v>902.54035357019961</v>
      </c>
      <c r="BI120" s="62">
        <f ca="1">AVERAGE(OFFSET($BH$3,0,0,'Données projet'!$E$11+1,1))-AVERAGE(OFFSET($H$3,0,0,'Données projet'!$E$11+1,1))</f>
        <v>455.50822833641354</v>
      </c>
      <c r="BJ120" s="62">
        <f t="shared" si="92"/>
        <v>261.14722581688039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314.2011599999995</v>
      </c>
      <c r="CA120" s="14">
        <f t="shared" si="93"/>
        <v>74.145511044675771</v>
      </c>
      <c r="CB120" s="22">
        <f t="shared" si="64"/>
        <v>676.37045206947607</v>
      </c>
      <c r="CC120" s="62">
        <f t="shared" si="65"/>
        <v>969.70378540280944</v>
      </c>
      <c r="CD120" s="62">
        <f ca="1">AVERAGE(OFFSET($CC$3,0,0,'Données projet'!$E$12+1,1))-AVERAGE(OFFSET($H$3,0,0,'Données projet'!$E$12+1,1))</f>
        <v>502.07782026233912</v>
      </c>
      <c r="CE120" s="62">
        <f t="shared" si="94"/>
        <v>285.83623046025156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5.6843418860808015E-14</v>
      </c>
      <c r="CU120" s="18">
        <f>CT120*VLOOKUP('Données projet'!$B$13,Paramètres!$A$1:$I$89,3,0)*VLOOKUP('Données projet'!$B$13,Paramètres!$A$1:$I$89,5,0)</f>
        <v>4.4337866711430253E-14</v>
      </c>
      <c r="CV120" s="14">
        <f t="shared" si="95"/>
        <v>7.3222115536967035E-13</v>
      </c>
      <c r="CW120" s="22">
        <f t="shared" si="67"/>
        <v>1.3525069634579169E-12</v>
      </c>
      <c r="CX120" s="62">
        <f t="shared" si="68"/>
        <v>293.33333333333468</v>
      </c>
      <c r="CY120" s="62">
        <f ca="1">AVERAGE(OFFSET($CX$3,0,0,'Données projet'!$E$13+1,1))-AVERAGE(OFFSET($H$3,0,0,'Données projet'!$E$13+1,1))</f>
        <v>289.19475369871481</v>
      </c>
      <c r="CZ120" s="62">
        <f t="shared" si="96"/>
        <v>283.48738729114024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3.979039320256561E-13</v>
      </c>
      <c r="DP120" s="18">
        <f>DO120*VLOOKUP('Données projet'!$B$14,Paramètres!$A$1:$I$89,3,0)*VLOOKUP('Données projet'!$B$14,Paramètres!$A$1:$I$89,5,0)</f>
        <v>2.669139576028101E-13</v>
      </c>
      <c r="DQ120" s="14">
        <f t="shared" si="97"/>
        <v>3.5767923834585247E-12</v>
      </c>
      <c r="DR120" s="22">
        <f t="shared" si="70"/>
        <v>6.6944552106818241E-12</v>
      </c>
      <c r="DS120" s="62">
        <f t="shared" si="71"/>
        <v>293.33333333334002</v>
      </c>
      <c r="DT120" s="62">
        <f ca="1">AVERAGE(OFFSET($DS$3,0,0,'Données projet'!$E$14+1,1))-AVERAGE(OFFSET($H$3,0,0,'Données projet'!$E$14+1,1))</f>
        <v>343.33067866534634</v>
      </c>
      <c r="DU120" s="62">
        <f t="shared" si="98"/>
        <v>261.91036689641402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2">
        <f t="shared" si="55"/>
        <v>871.16358065090617</v>
      </c>
      <c r="S121" s="62">
        <f ca="1">AVERAGE(OFFSET($R$3,0,0,'Données projet'!$E$9+1,1))-AVERAGE(OFFSET($H$3,0,0,'Données projet'!$E$9+1,1))</f>
        <v>428.8489304403459</v>
      </c>
      <c r="T121" s="62">
        <f t="shared" si="88"/>
        <v>247.01165577562966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2">
        <f t="shared" si="59"/>
        <v>939.24786691857776</v>
      </c>
      <c r="AN121" s="62">
        <f ca="1">AVERAGE(OFFSET($AM$3,0,0,'Données projet'!$E$10+1,1))-AVERAGE(OFFSET($H$3,0,0,'Données projet'!$E$10+1,1))</f>
        <v>475.47920969424894</v>
      </c>
      <c r="AO121" s="62">
        <f t="shared" si="90"/>
        <v>271.73544012419364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285.90431999999953</v>
      </c>
      <c r="BF121" s="14">
        <f t="shared" si="91"/>
        <v>68.213241999614453</v>
      </c>
      <c r="BG121" s="22">
        <f t="shared" si="61"/>
        <v>616.75475381599438</v>
      </c>
      <c r="BH121" s="62">
        <f t="shared" si="62"/>
        <v>910.08808714932775</v>
      </c>
      <c r="BI121" s="62">
        <f ca="1">AVERAGE(OFFSET($BH$3,0,0,'Données projet'!$E$11+1,1))-AVERAGE(OFFSET($H$3,0,0,'Données projet'!$E$11+1,1))</f>
        <v>455.50822833641354</v>
      </c>
      <c r="BJ121" s="62">
        <f t="shared" si="92"/>
        <v>261.14722581688039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318.18383999999946</v>
      </c>
      <c r="CA121" s="14">
        <f t="shared" si="93"/>
        <v>74.975341168547786</v>
      </c>
      <c r="CB121" s="22">
        <f t="shared" si="64"/>
        <v>684.75224053521981</v>
      </c>
      <c r="CC121" s="62">
        <f t="shared" si="65"/>
        <v>978.08557386855318</v>
      </c>
      <c r="CD121" s="62">
        <f ca="1">AVERAGE(OFFSET($CC$3,0,0,'Données projet'!$E$12+1,1))-AVERAGE(OFFSET($H$3,0,0,'Données projet'!$E$12+1,1))</f>
        <v>502.07782026233912</v>
      </c>
      <c r="CE121" s="62">
        <f t="shared" si="94"/>
        <v>285.83623046025156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5.6843418860808015E-14</v>
      </c>
      <c r="CU121" s="18">
        <f>CT121*VLOOKUP('Données projet'!$B$13,Paramètres!$A$1:$I$89,3,0)*VLOOKUP('Données projet'!$B$13,Paramètres!$A$1:$I$89,5,0)</f>
        <v>4.4337866711430253E-14</v>
      </c>
      <c r="CV121" s="14">
        <f t="shared" si="95"/>
        <v>7.3222115536967035E-13</v>
      </c>
      <c r="CW121" s="22">
        <f t="shared" si="67"/>
        <v>1.3525069634579169E-12</v>
      </c>
      <c r="CX121" s="62">
        <f t="shared" si="68"/>
        <v>293.33333333333468</v>
      </c>
      <c r="CY121" s="62">
        <f ca="1">AVERAGE(OFFSET($CX$3,0,0,'Données projet'!$E$13+1,1))-AVERAGE(OFFSET($H$3,0,0,'Données projet'!$E$13+1,1))</f>
        <v>289.19475369871481</v>
      </c>
      <c r="CZ121" s="62">
        <f t="shared" si="96"/>
        <v>283.48738729114024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3.979039320256561E-13</v>
      </c>
      <c r="DP121" s="18">
        <f>DO121*VLOOKUP('Données projet'!$B$14,Paramètres!$A$1:$I$89,3,0)*VLOOKUP('Données projet'!$B$14,Paramètres!$A$1:$I$89,5,0)</f>
        <v>2.669139576028101E-13</v>
      </c>
      <c r="DQ121" s="14">
        <f t="shared" si="97"/>
        <v>3.5767923834585247E-12</v>
      </c>
      <c r="DR121" s="22">
        <f t="shared" si="70"/>
        <v>6.6944552106818241E-12</v>
      </c>
      <c r="DS121" s="62">
        <f t="shared" si="71"/>
        <v>293.33333333334002</v>
      </c>
      <c r="DT121" s="62">
        <f ca="1">AVERAGE(OFFSET($DS$3,0,0,'Données projet'!$E$14+1,1))-AVERAGE(OFFSET($H$3,0,0,'Données projet'!$E$14+1,1))</f>
        <v>343.33067866534634</v>
      </c>
      <c r="DU121" s="62">
        <f t="shared" si="98"/>
        <v>261.91036689641402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2">
        <f t="shared" si="55"/>
        <v>878.23214503815643</v>
      </c>
      <c r="S122" s="62">
        <f ca="1">AVERAGE(OFFSET($R$3,0,0,'Données projet'!$E$9+1,1))-AVERAGE(OFFSET($H$3,0,0,'Données projet'!$E$9+1,1))</f>
        <v>428.8489304403459</v>
      </c>
      <c r="T122" s="62">
        <f t="shared" si="88"/>
        <v>247.01165577562966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2">
        <f t="shared" si="59"/>
        <v>947.15125570904661</v>
      </c>
      <c r="AN122" s="62">
        <f ca="1">AVERAGE(OFFSET($AM$3,0,0,'Données projet'!$E$10+1,1))-AVERAGE(OFFSET($H$3,0,0,'Données projet'!$E$10+1,1))</f>
        <v>475.47920969424894</v>
      </c>
      <c r="AO122" s="62">
        <f t="shared" si="90"/>
        <v>271.73544012419364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289.48295999999954</v>
      </c>
      <c r="BF122" s="14">
        <f t="shared" si="91"/>
        <v>68.967129713117401</v>
      </c>
      <c r="BG122" s="22">
        <f t="shared" si="61"/>
        <v>624.300572917012</v>
      </c>
      <c r="BH122" s="62">
        <f t="shared" si="62"/>
        <v>917.63390625034526</v>
      </c>
      <c r="BI122" s="62">
        <f ca="1">AVERAGE(OFFSET($BH$3,0,0,'Données projet'!$E$11+1,1))-AVERAGE(OFFSET($H$3,0,0,'Données projet'!$E$11+1,1))</f>
        <v>455.50822833641354</v>
      </c>
      <c r="BJ122" s="62">
        <f t="shared" si="92"/>
        <v>261.14722581688039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322.16651999999942</v>
      </c>
      <c r="CA122" s="14">
        <f t="shared" si="93"/>
        <v>75.803963102731529</v>
      </c>
      <c r="CB122" s="22">
        <f t="shared" si="64"/>
        <v>693.13192473725633</v>
      </c>
      <c r="CC122" s="62">
        <f t="shared" si="65"/>
        <v>986.4652580705897</v>
      </c>
      <c r="CD122" s="62">
        <f ca="1">AVERAGE(OFFSET($CC$3,0,0,'Données projet'!$E$12+1,1))-AVERAGE(OFFSET($H$3,0,0,'Données projet'!$E$12+1,1))</f>
        <v>502.07782026233912</v>
      </c>
      <c r="CE122" s="62">
        <f t="shared" si="94"/>
        <v>285.83623046025156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5.6843418860808015E-14</v>
      </c>
      <c r="CU122" s="18">
        <f>CT122*VLOOKUP('Données projet'!$B$13,Paramètres!$A$1:$I$89,3,0)*VLOOKUP('Données projet'!$B$13,Paramètres!$A$1:$I$89,5,0)</f>
        <v>4.4337866711430253E-14</v>
      </c>
      <c r="CV122" s="14">
        <f t="shared" si="95"/>
        <v>7.3222115536967035E-13</v>
      </c>
      <c r="CW122" s="22">
        <f t="shared" si="67"/>
        <v>1.3525069634579169E-12</v>
      </c>
      <c r="CX122" s="62">
        <f t="shared" si="68"/>
        <v>293.33333333333468</v>
      </c>
      <c r="CY122" s="62">
        <f ca="1">AVERAGE(OFFSET($CX$3,0,0,'Données projet'!$E$13+1,1))-AVERAGE(OFFSET($H$3,0,0,'Données projet'!$E$13+1,1))</f>
        <v>289.19475369871481</v>
      </c>
      <c r="CZ122" s="62">
        <f t="shared" si="96"/>
        <v>283.48738729114024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3.979039320256561E-13</v>
      </c>
      <c r="DP122" s="18">
        <f>DO122*VLOOKUP('Données projet'!$B$14,Paramètres!$A$1:$I$89,3,0)*VLOOKUP('Données projet'!$B$14,Paramètres!$A$1:$I$89,5,0)</f>
        <v>2.669139576028101E-13</v>
      </c>
      <c r="DQ122" s="14">
        <f t="shared" si="97"/>
        <v>3.5767923834585247E-12</v>
      </c>
      <c r="DR122" s="22">
        <f t="shared" si="70"/>
        <v>6.6944552106818241E-12</v>
      </c>
      <c r="DS122" s="62">
        <f t="shared" si="71"/>
        <v>293.33333333334002</v>
      </c>
      <c r="DT122" s="62">
        <f ca="1">AVERAGE(OFFSET($DS$3,0,0,'Données projet'!$E$14+1,1))-AVERAGE(OFFSET($H$3,0,0,'Données projet'!$E$14+1,1))</f>
        <v>343.33067866534634</v>
      </c>
      <c r="DU122" s="62">
        <f t="shared" si="98"/>
        <v>261.91036689641402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2">
        <f t="shared" si="55"/>
        <v>885.29892939819752</v>
      </c>
      <c r="S123" s="62">
        <f ca="1">AVERAGE(OFFSET($R$3,0,0,'Données projet'!$E$9+1,1))-AVERAGE(OFFSET($H$3,0,0,'Données projet'!$E$9+1,1))</f>
        <v>428.8489304403459</v>
      </c>
      <c r="T123" s="62">
        <f t="shared" si="88"/>
        <v>247.01165577562966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2">
        <f t="shared" si="59"/>
        <v>955.05267592477753</v>
      </c>
      <c r="AN123" s="62">
        <f ca="1">AVERAGE(OFFSET($AM$3,0,0,'Données projet'!$E$10+1,1))-AVERAGE(OFFSET($H$3,0,0,'Données projet'!$E$10+1,1))</f>
        <v>475.47920969424894</v>
      </c>
      <c r="AO123" s="62">
        <f t="shared" si="90"/>
        <v>271.73544012419364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293.06159999999949</v>
      </c>
      <c r="BF123" s="14">
        <f t="shared" si="91"/>
        <v>69.719933365116432</v>
      </c>
      <c r="BG123" s="22">
        <f t="shared" si="61"/>
        <v>631.84450394424357</v>
      </c>
      <c r="BH123" s="62">
        <f t="shared" si="62"/>
        <v>925.17783727757683</v>
      </c>
      <c r="BI123" s="62">
        <f ca="1">AVERAGE(OFFSET($BH$3,0,0,'Données projet'!$E$11+1,1))-AVERAGE(OFFSET($H$3,0,0,'Données projet'!$E$11+1,1))</f>
        <v>455.50822833641354</v>
      </c>
      <c r="BJ123" s="62">
        <f t="shared" si="92"/>
        <v>261.14722581688039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326.14919999999944</v>
      </c>
      <c r="CA123" s="14">
        <f t="shared" si="93"/>
        <v>76.631393510479555</v>
      </c>
      <c r="CB123" s="22">
        <f t="shared" si="64"/>
        <v>701.50953369741762</v>
      </c>
      <c r="CC123" s="62">
        <f t="shared" si="65"/>
        <v>994.84286703075099</v>
      </c>
      <c r="CD123" s="62">
        <f ca="1">AVERAGE(OFFSET($CC$3,0,0,'Données projet'!$E$12+1,1))-AVERAGE(OFFSET($H$3,0,0,'Données projet'!$E$12+1,1))</f>
        <v>502.07782026233912</v>
      </c>
      <c r="CE123" s="62">
        <f t="shared" si="94"/>
        <v>285.83623046025156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5.6843418860808015E-14</v>
      </c>
      <c r="CU123" s="18">
        <f>CT123*VLOOKUP('Données projet'!$B$13,Paramètres!$A$1:$I$89,3,0)*VLOOKUP('Données projet'!$B$13,Paramètres!$A$1:$I$89,5,0)</f>
        <v>4.4337866711430253E-14</v>
      </c>
      <c r="CV123" s="14">
        <f t="shared" si="95"/>
        <v>7.3222115536967035E-13</v>
      </c>
      <c r="CW123" s="22">
        <f t="shared" si="67"/>
        <v>1.3525069634579169E-12</v>
      </c>
      <c r="CX123" s="62">
        <f t="shared" si="68"/>
        <v>293.33333333333468</v>
      </c>
      <c r="CY123" s="62">
        <f ca="1">AVERAGE(OFFSET($CX$3,0,0,'Données projet'!$E$13+1,1))-AVERAGE(OFFSET($H$3,0,0,'Données projet'!$E$13+1,1))</f>
        <v>289.19475369871481</v>
      </c>
      <c r="CZ123" s="62">
        <f t="shared" si="96"/>
        <v>283.48738729114024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3.979039320256561E-13</v>
      </c>
      <c r="DP123" s="18">
        <f>DO123*VLOOKUP('Données projet'!$B$14,Paramètres!$A$1:$I$89,3,0)*VLOOKUP('Données projet'!$B$14,Paramètres!$A$1:$I$89,5,0)</f>
        <v>2.669139576028101E-13</v>
      </c>
      <c r="DQ123" s="14">
        <f t="shared" si="97"/>
        <v>3.5767923834585247E-12</v>
      </c>
      <c r="DR123" s="22">
        <f t="shared" si="70"/>
        <v>6.6944552106818241E-12</v>
      </c>
      <c r="DS123" s="62">
        <f t="shared" si="71"/>
        <v>293.33333333334002</v>
      </c>
      <c r="DT123" s="62">
        <f ca="1">AVERAGE(OFFSET($DS$3,0,0,'Données projet'!$E$14+1,1))-AVERAGE(OFFSET($H$3,0,0,'Données projet'!$E$14+1,1))</f>
        <v>343.33067866534634</v>
      </c>
      <c r="DU123" s="62">
        <f t="shared" si="98"/>
        <v>261.91036689641402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2">
        <f t="shared" si="55"/>
        <v>824.50283387733225</v>
      </c>
      <c r="S124" s="62">
        <f ca="1">AVERAGE(OFFSET($R$3,0,0,'Données projet'!$E$9+1,1))-AVERAGE(OFFSET($H$3,0,0,'Données projet'!$E$9+1,1))</f>
        <v>428.8489304403459</v>
      </c>
      <c r="T124" s="62">
        <f t="shared" si="88"/>
        <v>247.01165577562966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2">
        <f t="shared" si="59"/>
        <v>887.07687356967608</v>
      </c>
      <c r="AN124" s="62">
        <f ca="1">AVERAGE(OFFSET($AM$3,0,0,'Données projet'!$E$10+1,1))-AVERAGE(OFFSET($H$3,0,0,'Données projet'!$E$10+1,1))</f>
        <v>475.47920969424894</v>
      </c>
      <c r="AO124" s="62">
        <f t="shared" si="90"/>
        <v>271.73544012419364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262.30463999999949</v>
      </c>
      <c r="BF124" s="14">
        <f t="shared" si="91"/>
        <v>63.213381472055985</v>
      </c>
      <c r="BG124" s="22">
        <f t="shared" si="61"/>
        <v>566.94388739716328</v>
      </c>
      <c r="BH124" s="62">
        <f t="shared" si="62"/>
        <v>860.27722073049654</v>
      </c>
      <c r="BI124" s="62">
        <f ca="1">AVERAGE(OFFSET($BH$3,0,0,'Données projet'!$E$11+1,1))-AVERAGE(OFFSET($H$3,0,0,'Données projet'!$E$11+1,1))</f>
        <v>455.50822833641354</v>
      </c>
      <c r="BJ124" s="62">
        <f t="shared" si="92"/>
        <v>261.14722581688039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291.9196799999994</v>
      </c>
      <c r="CA124" s="14">
        <f t="shared" si="93"/>
        <v>69.47983563531173</v>
      </c>
      <c r="CB124" s="22">
        <f t="shared" si="64"/>
        <v>629.43748973150025</v>
      </c>
      <c r="CC124" s="62">
        <f t="shared" si="65"/>
        <v>922.77082306483362</v>
      </c>
      <c r="CD124" s="62">
        <f ca="1">AVERAGE(OFFSET($CC$3,0,0,'Données projet'!$E$12+1,1))-AVERAGE(OFFSET($H$3,0,0,'Données projet'!$E$12+1,1))</f>
        <v>502.07782026233912</v>
      </c>
      <c r="CE124" s="62">
        <f t="shared" si="94"/>
        <v>285.83623046025156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5.6843418860808015E-14</v>
      </c>
      <c r="CU124" s="18">
        <f>CT124*VLOOKUP('Données projet'!$B$13,Paramètres!$A$1:$I$89,3,0)*VLOOKUP('Données projet'!$B$13,Paramètres!$A$1:$I$89,5,0)</f>
        <v>4.4337866711430253E-14</v>
      </c>
      <c r="CV124" s="14">
        <f t="shared" si="95"/>
        <v>7.3222115536967035E-13</v>
      </c>
      <c r="CW124" s="22">
        <f t="shared" si="67"/>
        <v>1.3525069634579169E-12</v>
      </c>
      <c r="CX124" s="62">
        <f t="shared" si="68"/>
        <v>293.33333333333468</v>
      </c>
      <c r="CY124" s="62">
        <f ca="1">AVERAGE(OFFSET($CX$3,0,0,'Données projet'!$E$13+1,1))-AVERAGE(OFFSET($H$3,0,0,'Données projet'!$E$13+1,1))</f>
        <v>289.19475369871481</v>
      </c>
      <c r="CZ124" s="62">
        <f t="shared" si="96"/>
        <v>283.48738729114024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3.979039320256561E-13</v>
      </c>
      <c r="DP124" s="18">
        <f>DO124*VLOOKUP('Données projet'!$B$14,Paramètres!$A$1:$I$89,3,0)*VLOOKUP('Données projet'!$B$14,Paramètres!$A$1:$I$89,5,0)</f>
        <v>2.669139576028101E-13</v>
      </c>
      <c r="DQ124" s="14">
        <f t="shared" si="97"/>
        <v>3.5767923834585247E-12</v>
      </c>
      <c r="DR124" s="22">
        <f t="shared" si="70"/>
        <v>6.6944552106818241E-12</v>
      </c>
      <c r="DS124" s="62">
        <f t="shared" si="71"/>
        <v>293.33333333334002</v>
      </c>
      <c r="DT124" s="62">
        <f ca="1">AVERAGE(OFFSET($DS$3,0,0,'Données projet'!$E$14+1,1))-AVERAGE(OFFSET($H$3,0,0,'Données projet'!$E$14+1,1))</f>
        <v>343.33067866534634</v>
      </c>
      <c r="DU124" s="62">
        <f t="shared" si="98"/>
        <v>261.91036689641402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2">
        <f t="shared" si="55"/>
        <v>830.62702157178478</v>
      </c>
      <c r="S125" s="62">
        <f ca="1">AVERAGE(OFFSET($R$3,0,0,'Données projet'!$E$9+1,1))-AVERAGE(OFFSET($H$3,0,0,'Données projet'!$E$9+1,1))</f>
        <v>428.8489304403459</v>
      </c>
      <c r="T125" s="62">
        <f t="shared" si="88"/>
        <v>247.01165577562966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2">
        <f t="shared" si="59"/>
        <v>893.92421921427581</v>
      </c>
      <c r="AN125" s="62">
        <f ca="1">AVERAGE(OFFSET($AM$3,0,0,'Données projet'!$E$10+1,1))-AVERAGE(OFFSET($H$3,0,0,'Données projet'!$E$10+1,1))</f>
        <v>475.47920969424894</v>
      </c>
      <c r="AO125" s="62">
        <f t="shared" si="90"/>
        <v>271.73544012419364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265.39967999999948</v>
      </c>
      <c r="BF125" s="14">
        <f t="shared" si="91"/>
        <v>63.87199095821434</v>
      </c>
      <c r="BG125" s="22">
        <f t="shared" si="61"/>
        <v>573.48149358555565</v>
      </c>
      <c r="BH125" s="62">
        <f t="shared" si="62"/>
        <v>866.81482691888891</v>
      </c>
      <c r="BI125" s="62">
        <f ca="1">AVERAGE(OFFSET($BH$3,0,0,'Données projet'!$E$11+1,1))-AVERAGE(OFFSET($H$3,0,0,'Données projet'!$E$11+1,1))</f>
        <v>455.50822833641354</v>
      </c>
      <c r="BJ125" s="62">
        <f t="shared" si="92"/>
        <v>261.14722581688039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295.3641599999994</v>
      </c>
      <c r="CA125" s="14">
        <f t="shared" si="93"/>
        <v>70.203734243178047</v>
      </c>
      <c r="CB125" s="22">
        <f t="shared" si="64"/>
        <v>636.6974158068673</v>
      </c>
      <c r="CC125" s="62">
        <f t="shared" si="65"/>
        <v>930.03074914020067</v>
      </c>
      <c r="CD125" s="62">
        <f ca="1">AVERAGE(OFFSET($CC$3,0,0,'Données projet'!$E$12+1,1))-AVERAGE(OFFSET($H$3,0,0,'Données projet'!$E$12+1,1))</f>
        <v>502.07782026233912</v>
      </c>
      <c r="CE125" s="62">
        <f t="shared" si="94"/>
        <v>285.83623046025156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5.6843418860808015E-14</v>
      </c>
      <c r="CU125" s="18">
        <f>CT125*VLOOKUP('Données projet'!$B$13,Paramètres!$A$1:$I$89,3,0)*VLOOKUP('Données projet'!$B$13,Paramètres!$A$1:$I$89,5,0)</f>
        <v>4.4337866711430253E-14</v>
      </c>
      <c r="CV125" s="14">
        <f t="shared" si="95"/>
        <v>7.3222115536967035E-13</v>
      </c>
      <c r="CW125" s="22">
        <f t="shared" si="67"/>
        <v>1.3525069634579169E-12</v>
      </c>
      <c r="CX125" s="62">
        <f t="shared" si="68"/>
        <v>293.33333333333468</v>
      </c>
      <c r="CY125" s="62">
        <f ca="1">AVERAGE(OFFSET($CX$3,0,0,'Données projet'!$E$13+1,1))-AVERAGE(OFFSET($H$3,0,0,'Données projet'!$E$13+1,1))</f>
        <v>289.19475369871481</v>
      </c>
      <c r="CZ125" s="62">
        <f t="shared" si="96"/>
        <v>283.48738729114024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3.979039320256561E-13</v>
      </c>
      <c r="DP125" s="18">
        <f>DO125*VLOOKUP('Données projet'!$B$14,Paramètres!$A$1:$I$89,3,0)*VLOOKUP('Données projet'!$B$14,Paramètres!$A$1:$I$89,5,0)</f>
        <v>2.669139576028101E-13</v>
      </c>
      <c r="DQ125" s="14">
        <f t="shared" si="97"/>
        <v>3.5767923834585247E-12</v>
      </c>
      <c r="DR125" s="22">
        <f t="shared" si="70"/>
        <v>6.6944552106818241E-12</v>
      </c>
      <c r="DS125" s="62">
        <f t="shared" si="71"/>
        <v>293.33333333334002</v>
      </c>
      <c r="DT125" s="62">
        <f ca="1">AVERAGE(OFFSET($DS$3,0,0,'Données projet'!$E$14+1,1))-AVERAGE(OFFSET($H$3,0,0,'Données projet'!$E$14+1,1))</f>
        <v>343.33067866534634</v>
      </c>
      <c r="DU125" s="62">
        <f t="shared" si="98"/>
        <v>261.91036689641402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2">
        <f t="shared" si="55"/>
        <v>836.74974224894845</v>
      </c>
      <c r="S126" s="62">
        <f ca="1">AVERAGE(OFFSET($R$3,0,0,'Données projet'!$E$9+1,1))-AVERAGE(OFFSET($H$3,0,0,'Données projet'!$E$9+1,1))</f>
        <v>428.8489304403459</v>
      </c>
      <c r="T126" s="62">
        <f t="shared" si="88"/>
        <v>247.01165577562966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2">
        <f t="shared" si="59"/>
        <v>900.76994244930756</v>
      </c>
      <c r="AN126" s="62">
        <f ca="1">AVERAGE(OFFSET($AM$3,0,0,'Données projet'!$E$10+1,1))-AVERAGE(OFFSET($H$3,0,0,'Données projet'!$E$10+1,1))</f>
        <v>475.47920969424894</v>
      </c>
      <c r="AO126" s="62">
        <f t="shared" si="90"/>
        <v>271.73544012419364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268.49471999999946</v>
      </c>
      <c r="BF126" s="14">
        <f t="shared" si="91"/>
        <v>64.529707010294615</v>
      </c>
      <c r="BG126" s="22">
        <f t="shared" si="61"/>
        <v>580.01754370959543</v>
      </c>
      <c r="BH126" s="62">
        <f t="shared" si="62"/>
        <v>873.35087704292869</v>
      </c>
      <c r="BI126" s="62">
        <f ca="1">AVERAGE(OFFSET($BH$3,0,0,'Données projet'!$E$11+1,1))-AVERAGE(OFFSET($H$3,0,0,'Données projet'!$E$11+1,1))</f>
        <v>455.50822833641354</v>
      </c>
      <c r="BJ126" s="62">
        <f t="shared" si="92"/>
        <v>261.14722581688039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298.8086399999994</v>
      </c>
      <c r="CA126" s="14">
        <f t="shared" si="93"/>
        <v>70.926650849267929</v>
      </c>
      <c r="CB126" s="22">
        <f t="shared" si="64"/>
        <v>643.95563156247397</v>
      </c>
      <c r="CC126" s="62">
        <f t="shared" si="65"/>
        <v>937.28896489580734</v>
      </c>
      <c r="CD126" s="62">
        <f ca="1">AVERAGE(OFFSET($CC$3,0,0,'Données projet'!$E$12+1,1))-AVERAGE(OFFSET($H$3,0,0,'Données projet'!$E$12+1,1))</f>
        <v>502.07782026233912</v>
      </c>
      <c r="CE126" s="62">
        <f t="shared" si="94"/>
        <v>285.83623046025156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5.6843418860808015E-14</v>
      </c>
      <c r="CU126" s="18">
        <f>CT126*VLOOKUP('Données projet'!$B$13,Paramètres!$A$1:$I$89,3,0)*VLOOKUP('Données projet'!$B$13,Paramètres!$A$1:$I$89,5,0)</f>
        <v>4.4337866711430253E-14</v>
      </c>
      <c r="CV126" s="14">
        <f t="shared" si="95"/>
        <v>7.3222115536967035E-13</v>
      </c>
      <c r="CW126" s="22">
        <f t="shared" si="67"/>
        <v>1.3525069634579169E-12</v>
      </c>
      <c r="CX126" s="62">
        <f t="shared" si="68"/>
        <v>293.33333333333468</v>
      </c>
      <c r="CY126" s="62">
        <f ca="1">AVERAGE(OFFSET($CX$3,0,0,'Données projet'!$E$13+1,1))-AVERAGE(OFFSET($H$3,0,0,'Données projet'!$E$13+1,1))</f>
        <v>289.19475369871481</v>
      </c>
      <c r="CZ126" s="62">
        <f t="shared" si="96"/>
        <v>283.48738729114024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3.979039320256561E-13</v>
      </c>
      <c r="DP126" s="18">
        <f>DO126*VLOOKUP('Données projet'!$B$14,Paramètres!$A$1:$I$89,3,0)*VLOOKUP('Données projet'!$B$14,Paramètres!$A$1:$I$89,5,0)</f>
        <v>2.669139576028101E-13</v>
      </c>
      <c r="DQ126" s="14">
        <f t="shared" si="97"/>
        <v>3.5767923834585247E-12</v>
      </c>
      <c r="DR126" s="22">
        <f t="shared" si="70"/>
        <v>6.6944552106818241E-12</v>
      </c>
      <c r="DS126" s="62">
        <f t="shared" si="71"/>
        <v>293.33333333334002</v>
      </c>
      <c r="DT126" s="62">
        <f ca="1">AVERAGE(OFFSET($DS$3,0,0,'Données projet'!$E$14+1,1))-AVERAGE(OFFSET($H$3,0,0,'Données projet'!$E$14+1,1))</f>
        <v>343.33067866534634</v>
      </c>
      <c r="DU126" s="62">
        <f t="shared" si="98"/>
        <v>261.91036689641402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2">
        <f t="shared" si="55"/>
        <v>842.87101477628971</v>
      </c>
      <c r="S127" s="62">
        <f ca="1">AVERAGE(OFFSET($R$3,0,0,'Données projet'!$E$9+1,1))-AVERAGE(OFFSET($H$3,0,0,'Données projet'!$E$9+1,1))</f>
        <v>428.8489304403459</v>
      </c>
      <c r="T127" s="62">
        <f t="shared" si="88"/>
        <v>247.01165577562966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2">
        <f t="shared" si="59"/>
        <v>907.61406414075418</v>
      </c>
      <c r="AN127" s="62">
        <f ca="1">AVERAGE(OFFSET($AM$3,0,0,'Données projet'!$E$10+1,1))-AVERAGE(OFFSET($H$3,0,0,'Données projet'!$E$10+1,1))</f>
        <v>475.47920969424894</v>
      </c>
      <c r="AO127" s="62">
        <f t="shared" si="90"/>
        <v>271.73544012419364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271.5897599999995</v>
      </c>
      <c r="BF127" s="14">
        <f t="shared" si="91"/>
        <v>65.186541118848012</v>
      </c>
      <c r="BG127" s="22">
        <f t="shared" si="61"/>
        <v>586.55205778199274</v>
      </c>
      <c r="BH127" s="62">
        <f t="shared" si="62"/>
        <v>879.885391115326</v>
      </c>
      <c r="BI127" s="62">
        <f ca="1">AVERAGE(OFFSET($BH$3,0,0,'Données projet'!$E$11+1,1))-AVERAGE(OFFSET($H$3,0,0,'Données projet'!$E$11+1,1))</f>
        <v>455.50822833641354</v>
      </c>
      <c r="BJ127" s="62">
        <f t="shared" si="92"/>
        <v>261.14722581688039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302.2531199999994</v>
      </c>
      <c r="CA127" s="14">
        <f t="shared" si="93"/>
        <v>71.648598083211283</v>
      </c>
      <c r="CB127" s="22">
        <f t="shared" si="64"/>
        <v>651.21215899492529</v>
      </c>
      <c r="CC127" s="62">
        <f t="shared" si="65"/>
        <v>944.54549232825866</v>
      </c>
      <c r="CD127" s="62">
        <f ca="1">AVERAGE(OFFSET($CC$3,0,0,'Données projet'!$E$12+1,1))-AVERAGE(OFFSET($H$3,0,0,'Données projet'!$E$12+1,1))</f>
        <v>502.07782026233912</v>
      </c>
      <c r="CE127" s="62">
        <f t="shared" si="94"/>
        <v>285.83623046025156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5.6843418860808015E-14</v>
      </c>
      <c r="CU127" s="18">
        <f>CT127*VLOOKUP('Données projet'!$B$13,Paramètres!$A$1:$I$89,3,0)*VLOOKUP('Données projet'!$B$13,Paramètres!$A$1:$I$89,5,0)</f>
        <v>4.4337866711430253E-14</v>
      </c>
      <c r="CV127" s="14">
        <f t="shared" si="95"/>
        <v>7.3222115536967035E-13</v>
      </c>
      <c r="CW127" s="22">
        <f t="shared" si="67"/>
        <v>1.3525069634579169E-12</v>
      </c>
      <c r="CX127" s="62">
        <f t="shared" si="68"/>
        <v>293.33333333333468</v>
      </c>
      <c r="CY127" s="62">
        <f ca="1">AVERAGE(OFFSET($CX$3,0,0,'Données projet'!$E$13+1,1))-AVERAGE(OFFSET($H$3,0,0,'Données projet'!$E$13+1,1))</f>
        <v>289.19475369871481</v>
      </c>
      <c r="CZ127" s="62">
        <f t="shared" si="96"/>
        <v>283.48738729114024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3.979039320256561E-13</v>
      </c>
      <c r="DP127" s="18">
        <f>DO127*VLOOKUP('Données projet'!$B$14,Paramètres!$A$1:$I$89,3,0)*VLOOKUP('Données projet'!$B$14,Paramètres!$A$1:$I$89,5,0)</f>
        <v>2.669139576028101E-13</v>
      </c>
      <c r="DQ127" s="14">
        <f t="shared" si="97"/>
        <v>3.5767923834585247E-12</v>
      </c>
      <c r="DR127" s="22">
        <f t="shared" si="70"/>
        <v>6.6944552106818241E-12</v>
      </c>
      <c r="DS127" s="62">
        <f t="shared" si="71"/>
        <v>293.33333333334002</v>
      </c>
      <c r="DT127" s="62">
        <f ca="1">AVERAGE(OFFSET($DS$3,0,0,'Données projet'!$E$14+1,1))-AVERAGE(OFFSET($H$3,0,0,'Données projet'!$E$14+1,1))</f>
        <v>343.33067866534634</v>
      </c>
      <c r="DU127" s="62">
        <f t="shared" si="98"/>
        <v>261.91036689641402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2">
        <f t="shared" si="55"/>
        <v>848.99085756649174</v>
      </c>
      <c r="S128" s="62">
        <f ca="1">AVERAGE(OFFSET($R$3,0,0,'Données projet'!$E$9+1,1))-AVERAGE(OFFSET($H$3,0,0,'Données projet'!$E$9+1,1))</f>
        <v>428.8489304403459</v>
      </c>
      <c r="T128" s="62">
        <f t="shared" si="88"/>
        <v>247.01165577562966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2">
        <f t="shared" si="59"/>
        <v>914.45660465164383</v>
      </c>
      <c r="AN128" s="62">
        <f ca="1">AVERAGE(OFFSET($AM$3,0,0,'Données projet'!$E$10+1,1))-AVERAGE(OFFSET($H$3,0,0,'Données projet'!$E$10+1,1))</f>
        <v>475.47920969424894</v>
      </c>
      <c r="AO128" s="62">
        <f t="shared" si="90"/>
        <v>271.73544012419364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274.68479999999943</v>
      </c>
      <c r="BF128" s="14">
        <f t="shared" si="91"/>
        <v>65.842504497456545</v>
      </c>
      <c r="BG128" s="22">
        <f t="shared" si="61"/>
        <v>593.08505533306914</v>
      </c>
      <c r="BH128" s="62">
        <f t="shared" si="62"/>
        <v>886.41838866640251</v>
      </c>
      <c r="BI128" s="62">
        <f ca="1">AVERAGE(OFFSET($BH$3,0,0,'Données projet'!$E$11+1,1))-AVERAGE(OFFSET($H$3,0,0,'Données projet'!$E$11+1,1))</f>
        <v>455.50822833641354</v>
      </c>
      <c r="BJ128" s="62">
        <f t="shared" si="92"/>
        <v>261.14722581688039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305.69759999999934</v>
      </c>
      <c r="CA128" s="14">
        <f t="shared" si="93"/>
        <v>72.369588270212233</v>
      </c>
      <c r="CB128" s="22">
        <f t="shared" si="64"/>
        <v>658.46701957061839</v>
      </c>
      <c r="CC128" s="62">
        <f t="shared" si="65"/>
        <v>951.80035290395176</v>
      </c>
      <c r="CD128" s="62">
        <f ca="1">AVERAGE(OFFSET($CC$3,0,0,'Données projet'!$E$12+1,1))-AVERAGE(OFFSET($H$3,0,0,'Données projet'!$E$12+1,1))</f>
        <v>502.07782026233912</v>
      </c>
      <c r="CE128" s="62">
        <f t="shared" si="94"/>
        <v>285.83623046025156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5.6843418860808015E-14</v>
      </c>
      <c r="CU128" s="18">
        <f>CT128*VLOOKUP('Données projet'!$B$13,Paramètres!$A$1:$I$89,3,0)*VLOOKUP('Données projet'!$B$13,Paramètres!$A$1:$I$89,5,0)</f>
        <v>4.4337866711430253E-14</v>
      </c>
      <c r="CV128" s="14">
        <f t="shared" si="95"/>
        <v>7.3222115536967035E-13</v>
      </c>
      <c r="CW128" s="22">
        <f t="shared" si="67"/>
        <v>1.3525069634579169E-12</v>
      </c>
      <c r="CX128" s="62">
        <f t="shared" si="68"/>
        <v>293.33333333333468</v>
      </c>
      <c r="CY128" s="62">
        <f ca="1">AVERAGE(OFFSET($CX$3,0,0,'Données projet'!$E$13+1,1))-AVERAGE(OFFSET($H$3,0,0,'Données projet'!$E$13+1,1))</f>
        <v>289.19475369871481</v>
      </c>
      <c r="CZ128" s="62">
        <f t="shared" si="96"/>
        <v>283.48738729114024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3.979039320256561E-13</v>
      </c>
      <c r="DP128" s="18">
        <f>DO128*VLOOKUP('Données projet'!$B$14,Paramètres!$A$1:$I$89,3,0)*VLOOKUP('Données projet'!$B$14,Paramètres!$A$1:$I$89,5,0)</f>
        <v>2.669139576028101E-13</v>
      </c>
      <c r="DQ128" s="14">
        <f t="shared" si="97"/>
        <v>3.5767923834585247E-12</v>
      </c>
      <c r="DR128" s="22">
        <f t="shared" si="70"/>
        <v>6.6944552106818241E-12</v>
      </c>
      <c r="DS128" s="62">
        <f t="shared" si="71"/>
        <v>293.33333333334002</v>
      </c>
      <c r="DT128" s="62">
        <f ca="1">AVERAGE(OFFSET($DS$3,0,0,'Données projet'!$E$14+1,1))-AVERAGE(OFFSET($H$3,0,0,'Données projet'!$E$14+1,1))</f>
        <v>343.33067866534634</v>
      </c>
      <c r="DU128" s="62">
        <f t="shared" si="98"/>
        <v>261.91036689641402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2">
        <f t="shared" si="55"/>
        <v>855.10928859341493</v>
      </c>
      <c r="S129" s="62">
        <f ca="1">AVERAGE(OFFSET($R$3,0,0,'Données projet'!$E$9+1,1))-AVERAGE(OFFSET($H$3,0,0,'Données projet'!$E$9+1,1))</f>
        <v>428.8489304403459</v>
      </c>
      <c r="T129" s="62">
        <f t="shared" si="88"/>
        <v>247.01165577562966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2">
        <f t="shared" si="59"/>
        <v>921.29758385969899</v>
      </c>
      <c r="AN129" s="62">
        <f ca="1">AVERAGE(OFFSET($AM$3,0,0,'Données projet'!$E$10+1,1))-AVERAGE(OFFSET($H$3,0,0,'Données projet'!$E$10+1,1))</f>
        <v>475.47920969424894</v>
      </c>
      <c r="AO129" s="62">
        <f t="shared" si="90"/>
        <v>271.73544012419364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277.77983999999947</v>
      </c>
      <c r="BF129" s="14">
        <f t="shared" si="91"/>
        <v>66.497608092453063</v>
      </c>
      <c r="BG129" s="22">
        <f t="shared" si="61"/>
        <v>599.61655542768813</v>
      </c>
      <c r="BH129" s="62">
        <f t="shared" si="62"/>
        <v>892.94988876102138</v>
      </c>
      <c r="BI129" s="62">
        <f ca="1">AVERAGE(OFFSET($BH$3,0,0,'Données projet'!$E$11+1,1))-AVERAGE(OFFSET($H$3,0,0,'Données projet'!$E$11+1,1))</f>
        <v>455.50822833641354</v>
      </c>
      <c r="BJ129" s="62">
        <f t="shared" si="92"/>
        <v>261.14722581688039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309.14207999999934</v>
      </c>
      <c r="CA129" s="14">
        <f t="shared" si="93"/>
        <v>73.089633441733085</v>
      </c>
      <c r="CB129" s="22">
        <f t="shared" si="64"/>
        <v>665.72023424435065</v>
      </c>
      <c r="CC129" s="62">
        <f t="shared" si="65"/>
        <v>959.05356757768391</v>
      </c>
      <c r="CD129" s="62">
        <f ca="1">AVERAGE(OFFSET($CC$3,0,0,'Données projet'!$E$12+1,1))-AVERAGE(OFFSET($H$3,0,0,'Données projet'!$E$12+1,1))</f>
        <v>502.07782026233912</v>
      </c>
      <c r="CE129" s="62">
        <f t="shared" si="94"/>
        <v>285.83623046025156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5.6843418860808015E-14</v>
      </c>
      <c r="CU129" s="18">
        <f>CT129*VLOOKUP('Données projet'!$B$13,Paramètres!$A$1:$I$89,3,0)*VLOOKUP('Données projet'!$B$13,Paramètres!$A$1:$I$89,5,0)</f>
        <v>4.4337866711430253E-14</v>
      </c>
      <c r="CV129" s="14">
        <f t="shared" si="95"/>
        <v>7.3222115536967035E-13</v>
      </c>
      <c r="CW129" s="22">
        <f t="shared" si="67"/>
        <v>1.3525069634579169E-12</v>
      </c>
      <c r="CX129" s="62">
        <f t="shared" si="68"/>
        <v>293.33333333333468</v>
      </c>
      <c r="CY129" s="62">
        <f ca="1">AVERAGE(OFFSET($CX$3,0,0,'Données projet'!$E$13+1,1))-AVERAGE(OFFSET($H$3,0,0,'Données projet'!$E$13+1,1))</f>
        <v>289.19475369871481</v>
      </c>
      <c r="CZ129" s="62">
        <f t="shared" si="96"/>
        <v>283.48738729114024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3.979039320256561E-13</v>
      </c>
      <c r="DP129" s="18">
        <f>DO129*VLOOKUP('Données projet'!$B$14,Paramètres!$A$1:$I$89,3,0)*VLOOKUP('Données projet'!$B$14,Paramètres!$A$1:$I$89,5,0)</f>
        <v>2.669139576028101E-13</v>
      </c>
      <c r="DQ129" s="14">
        <f t="shared" si="97"/>
        <v>3.5767923834585247E-12</v>
      </c>
      <c r="DR129" s="22">
        <f t="shared" si="70"/>
        <v>6.6944552106818241E-12</v>
      </c>
      <c r="DS129" s="62">
        <f t="shared" si="71"/>
        <v>293.33333333334002</v>
      </c>
      <c r="DT129" s="62">
        <f ca="1">AVERAGE(OFFSET($DS$3,0,0,'Données projet'!$E$14+1,1))-AVERAGE(OFFSET($H$3,0,0,'Données projet'!$E$14+1,1))</f>
        <v>343.33067866534634</v>
      </c>
      <c r="DU129" s="62">
        <f t="shared" si="98"/>
        <v>261.91036689641402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2">
        <f t="shared" si="55"/>
        <v>861.22632540732639</v>
      </c>
      <c r="S130" s="62">
        <f ca="1">AVERAGE(OFFSET($R$3,0,0,'Données projet'!$E$9+1,1))-AVERAGE(OFFSET($H$3,0,0,'Données projet'!$E$9+1,1))</f>
        <v>428.8489304403459</v>
      </c>
      <c r="T130" s="62">
        <f t="shared" si="88"/>
        <v>247.01165577562966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2">
        <f t="shared" si="59"/>
        <v>928.13702117418029</v>
      </c>
      <c r="AN130" s="62">
        <f ca="1">AVERAGE(OFFSET($AM$3,0,0,'Données projet'!$E$10+1,1))-AVERAGE(OFFSET($H$3,0,0,'Données projet'!$E$10+1,1))</f>
        <v>475.47920969424894</v>
      </c>
      <c r="AO130" s="62">
        <f t="shared" si="90"/>
        <v>271.73544012419364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280.87487999999945</v>
      </c>
      <c r="BF130" s="14">
        <f t="shared" si="91"/>
        <v>67.151862592195727</v>
      </c>
      <c r="BG130" s="22">
        <f t="shared" si="61"/>
        <v>606.1465766814066</v>
      </c>
      <c r="BH130" s="62">
        <f t="shared" si="62"/>
        <v>899.47991001473997</v>
      </c>
      <c r="BI130" s="62">
        <f ca="1">AVERAGE(OFFSET($BH$3,0,0,'Données projet'!$E$11+1,1))-AVERAGE(OFFSET($H$3,0,0,'Données projet'!$E$11+1,1))</f>
        <v>455.50822833641354</v>
      </c>
      <c r="BJ130" s="62">
        <f t="shared" si="92"/>
        <v>261.14722581688039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312.58655999999934</v>
      </c>
      <c r="CA130" s="14">
        <f t="shared" si="93"/>
        <v>73.808745345687839</v>
      </c>
      <c r="CB130" s="22">
        <f t="shared" si="64"/>
        <v>672.97182347707178</v>
      </c>
      <c r="CC130" s="62">
        <f t="shared" si="65"/>
        <v>966.30515681040515</v>
      </c>
      <c r="CD130" s="62">
        <f ca="1">AVERAGE(OFFSET($CC$3,0,0,'Données projet'!$E$12+1,1))-AVERAGE(OFFSET($H$3,0,0,'Données projet'!$E$12+1,1))</f>
        <v>502.07782026233912</v>
      </c>
      <c r="CE130" s="62">
        <f t="shared" si="94"/>
        <v>285.83623046025156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5.6843418860808015E-14</v>
      </c>
      <c r="CU130" s="18">
        <f>CT130*VLOOKUP('Données projet'!$B$13,Paramètres!$A$1:$I$89,3,0)*VLOOKUP('Données projet'!$B$13,Paramètres!$A$1:$I$89,5,0)</f>
        <v>4.4337866711430253E-14</v>
      </c>
      <c r="CV130" s="14">
        <f t="shared" si="95"/>
        <v>7.3222115536967035E-13</v>
      </c>
      <c r="CW130" s="22">
        <f t="shared" si="67"/>
        <v>1.3525069634579169E-12</v>
      </c>
      <c r="CX130" s="62">
        <f t="shared" si="68"/>
        <v>293.33333333333468</v>
      </c>
      <c r="CY130" s="62">
        <f ca="1">AVERAGE(OFFSET($CX$3,0,0,'Données projet'!$E$13+1,1))-AVERAGE(OFFSET($H$3,0,0,'Données projet'!$E$13+1,1))</f>
        <v>289.19475369871481</v>
      </c>
      <c r="CZ130" s="62">
        <f t="shared" si="96"/>
        <v>283.48738729114024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3.979039320256561E-13</v>
      </c>
      <c r="DP130" s="18">
        <f>DO130*VLOOKUP('Données projet'!$B$14,Paramètres!$A$1:$I$89,3,0)*VLOOKUP('Données projet'!$B$14,Paramètres!$A$1:$I$89,5,0)</f>
        <v>2.669139576028101E-13</v>
      </c>
      <c r="DQ130" s="14">
        <f t="shared" si="97"/>
        <v>3.5767923834585247E-12</v>
      </c>
      <c r="DR130" s="22">
        <f t="shared" si="70"/>
        <v>6.6944552106818241E-12</v>
      </c>
      <c r="DS130" s="62">
        <f t="shared" si="71"/>
        <v>293.33333333334002</v>
      </c>
      <c r="DT130" s="62">
        <f ca="1">AVERAGE(OFFSET($DS$3,0,0,'Données projet'!$E$14+1,1))-AVERAGE(OFFSET($H$3,0,0,'Données projet'!$E$14+1,1))</f>
        <v>343.33067866534634</v>
      </c>
      <c r="DU130" s="62">
        <f t="shared" si="98"/>
        <v>261.91036689641402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2">
        <f t="shared" ref="R131:R194" si="109">Q131+(I131+J131)*44/12</f>
        <v>867.3419851494366</v>
      </c>
      <c r="S131" s="62">
        <f ca="1">AVERAGE(OFFSET($R$3,0,0,'Données projet'!$E$9+1,1))-AVERAGE(OFFSET($H$3,0,0,'Données projet'!$E$9+1,1))</f>
        <v>428.8489304403459</v>
      </c>
      <c r="T131" s="62">
        <f t="shared" si="88"/>
        <v>247.01165577562966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2">
        <f t="shared" si="59"/>
        <v>934.9749355519632</v>
      </c>
      <c r="AN131" s="62">
        <f ca="1">AVERAGE(OFFSET($AM$3,0,0,'Données projet'!$E$10+1,1))-AVERAGE(OFFSET($H$3,0,0,'Données projet'!$E$10+1,1))</f>
        <v>475.47920969424894</v>
      </c>
      <c r="AO131" s="62">
        <f t="shared" si="90"/>
        <v>271.73544012419364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283.96991999999943</v>
      </c>
      <c r="BF131" s="14">
        <f t="shared" si="91"/>
        <v>67.805278435922148</v>
      </c>
      <c r="BG131" s="22">
        <f t="shared" si="61"/>
        <v>612.67513727589676</v>
      </c>
      <c r="BH131" s="62">
        <f t="shared" si="62"/>
        <v>906.00847060923002</v>
      </c>
      <c r="BI131" s="62">
        <f ca="1">AVERAGE(OFFSET($BH$3,0,0,'Données projet'!$E$11+1,1))-AVERAGE(OFFSET($H$3,0,0,'Données projet'!$E$11+1,1))</f>
        <v>455.50822833641354</v>
      </c>
      <c r="BJ131" s="62">
        <f t="shared" si="92"/>
        <v>261.14722581688039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316.03103999999934</v>
      </c>
      <c r="CA131" s="14">
        <f t="shared" si="93"/>
        <v>74.526935456174002</v>
      </c>
      <c r="CB131" s="22">
        <f t="shared" si="64"/>
        <v>680.22180725283522</v>
      </c>
      <c r="CC131" s="62">
        <f t="shared" si="65"/>
        <v>973.55514058616859</v>
      </c>
      <c r="CD131" s="62">
        <f ca="1">AVERAGE(OFFSET($CC$3,0,0,'Données projet'!$E$12+1,1))-AVERAGE(OFFSET($H$3,0,0,'Données projet'!$E$12+1,1))</f>
        <v>502.07782026233912</v>
      </c>
      <c r="CE131" s="62">
        <f t="shared" si="94"/>
        <v>285.83623046025156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5.6843418860808015E-14</v>
      </c>
      <c r="CU131" s="18">
        <f>CT131*VLOOKUP('Données projet'!$B$13,Paramètres!$A$1:$I$89,3,0)*VLOOKUP('Données projet'!$B$13,Paramètres!$A$1:$I$89,5,0)</f>
        <v>4.4337866711430253E-14</v>
      </c>
      <c r="CV131" s="14">
        <f t="shared" si="95"/>
        <v>7.3222115536967035E-13</v>
      </c>
      <c r="CW131" s="22">
        <f t="shared" si="67"/>
        <v>1.3525069634579169E-12</v>
      </c>
      <c r="CX131" s="62">
        <f t="shared" si="68"/>
        <v>293.33333333333468</v>
      </c>
      <c r="CY131" s="62">
        <f ca="1">AVERAGE(OFFSET($CX$3,0,0,'Données projet'!$E$13+1,1))-AVERAGE(OFFSET($H$3,0,0,'Données projet'!$E$13+1,1))</f>
        <v>289.19475369871481</v>
      </c>
      <c r="CZ131" s="62">
        <f t="shared" si="96"/>
        <v>283.48738729114024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3.979039320256561E-13</v>
      </c>
      <c r="DP131" s="18">
        <f>DO131*VLOOKUP('Données projet'!$B$14,Paramètres!$A$1:$I$89,3,0)*VLOOKUP('Données projet'!$B$14,Paramètres!$A$1:$I$89,5,0)</f>
        <v>2.669139576028101E-13</v>
      </c>
      <c r="DQ131" s="14">
        <f t="shared" si="97"/>
        <v>3.5767923834585247E-12</v>
      </c>
      <c r="DR131" s="22">
        <f t="shared" si="70"/>
        <v>6.6944552106818241E-12</v>
      </c>
      <c r="DS131" s="62">
        <f t="shared" si="71"/>
        <v>293.33333333334002</v>
      </c>
      <c r="DT131" s="62">
        <f ca="1">AVERAGE(OFFSET($DS$3,0,0,'Données projet'!$E$14+1,1))-AVERAGE(OFFSET($H$3,0,0,'Données projet'!$E$14+1,1))</f>
        <v>343.33067866534634</v>
      </c>
      <c r="DU131" s="62">
        <f t="shared" si="98"/>
        <v>261.91036689641402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2">
        <f t="shared" si="109"/>
        <v>873.4562845657872</v>
      </c>
      <c r="S132" s="62">
        <f ca="1">AVERAGE(OFFSET($R$3,0,0,'Données projet'!$E$9+1,1))-AVERAGE(OFFSET($H$3,0,0,'Données projet'!$E$9+1,1))</f>
        <v>428.8489304403459</v>
      </c>
      <c r="T132" s="62">
        <f t="shared" si="88"/>
        <v>247.01165577562966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2">
        <f t="shared" ref="AM132:AM195" si="113">AL132+(AD132+AE132)*44/12</f>
        <v>941.81134551289711</v>
      </c>
      <c r="AN132" s="62">
        <f ca="1">AVERAGE(OFFSET($AM$3,0,0,'Données projet'!$E$10+1,1))-AVERAGE(OFFSET($H$3,0,0,'Données projet'!$E$10+1,1))</f>
        <v>475.47920969424894</v>
      </c>
      <c r="AO132" s="62">
        <f t="shared" si="90"/>
        <v>271.73544012419364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287.06495999999942</v>
      </c>
      <c r="BF132" s="14">
        <f t="shared" si="91"/>
        <v>68.457865822206202</v>
      </c>
      <c r="BG132" s="22">
        <f t="shared" ref="BG132:BG153" si="115">(BE132+BF132)*0.475*44/12</f>
        <v>619.20225497367471</v>
      </c>
      <c r="BH132" s="62">
        <f t="shared" ref="BH132:BH195" si="116">BG132+(AY132+AZ132)*44/12</f>
        <v>912.53558830700808</v>
      </c>
      <c r="BI132" s="62">
        <f ca="1">AVERAGE(OFFSET($BH$3,0,0,'Données projet'!$E$11+1,1))-AVERAGE(OFFSET($H$3,0,0,'Données projet'!$E$11+1,1))</f>
        <v>455.50822833641354</v>
      </c>
      <c r="BJ132" s="62">
        <f t="shared" si="92"/>
        <v>261.14722581688039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319.47551999999928</v>
      </c>
      <c r="CA132" s="14">
        <f t="shared" si="93"/>
        <v>75.244214982768113</v>
      </c>
      <c r="CB132" s="22">
        <f t="shared" ref="CB132:CB153" si="118">(BZ132+CA132)*0.475*44/12</f>
        <v>687.47020509498645</v>
      </c>
      <c r="CC132" s="62">
        <f t="shared" ref="CC132:CC195" si="119">CB132+(BT132+BU132)*44/12</f>
        <v>980.80353842831983</v>
      </c>
      <c r="CD132" s="62">
        <f ca="1">AVERAGE(OFFSET($CC$3,0,0,'Données projet'!$E$12+1,1))-AVERAGE(OFFSET($H$3,0,0,'Données projet'!$E$12+1,1))</f>
        <v>502.07782026233912</v>
      </c>
      <c r="CE132" s="62">
        <f t="shared" si="94"/>
        <v>285.83623046025156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5.6843418860808015E-14</v>
      </c>
      <c r="CU132" s="18">
        <f>CT132*VLOOKUP('Données projet'!$B$13,Paramètres!$A$1:$I$89,3,0)*VLOOKUP('Données projet'!$B$13,Paramètres!$A$1:$I$89,5,0)</f>
        <v>4.4337866711430253E-14</v>
      </c>
      <c r="CV132" s="14">
        <f t="shared" si="95"/>
        <v>7.3222115536967035E-13</v>
      </c>
      <c r="CW132" s="22">
        <f t="shared" ref="CW132:CW153" si="121">(CU132+CV132)*0.475*44/12</f>
        <v>1.3525069634579169E-12</v>
      </c>
      <c r="CX132" s="62">
        <f t="shared" ref="CX132:CX195" si="122">CW132+(CO132+CP132)*44/12</f>
        <v>293.33333333333468</v>
      </c>
      <c r="CY132" s="62">
        <f ca="1">AVERAGE(OFFSET($CX$3,0,0,'Données projet'!$E$13+1,1))-AVERAGE(OFFSET($H$3,0,0,'Données projet'!$E$13+1,1))</f>
        <v>289.19475369871481</v>
      </c>
      <c r="CZ132" s="62">
        <f t="shared" si="96"/>
        <v>283.48738729114024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3.979039320256561E-13</v>
      </c>
      <c r="DP132" s="18">
        <f>DO132*VLOOKUP('Données projet'!$B$14,Paramètres!$A$1:$I$89,3,0)*VLOOKUP('Données projet'!$B$14,Paramètres!$A$1:$I$89,5,0)</f>
        <v>2.669139576028101E-13</v>
      </c>
      <c r="DQ132" s="14">
        <f t="shared" si="97"/>
        <v>3.5767923834585247E-12</v>
      </c>
      <c r="DR132" s="22">
        <f t="shared" ref="DR132:DR153" si="124">(DP132+DQ132)*0.475*44/12</f>
        <v>6.6944552106818241E-12</v>
      </c>
      <c r="DS132" s="62">
        <f t="shared" ref="DS132:DS195" si="125">DR132+(DJ132+DK132)*44/12</f>
        <v>293.33333333334002</v>
      </c>
      <c r="DT132" s="62">
        <f ca="1">AVERAGE(OFFSET($DS$3,0,0,'Données projet'!$E$14+1,1))-AVERAGE(OFFSET($H$3,0,0,'Données projet'!$E$14+1,1))</f>
        <v>343.33067866534634</v>
      </c>
      <c r="DU132" s="62">
        <f t="shared" si="98"/>
        <v>261.91036689641402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2">
        <f t="shared" si="109"/>
        <v>879.56924002052051</v>
      </c>
      <c r="S133" s="62">
        <f ca="1">AVERAGE(OFFSET($R$3,0,0,'Données projet'!$E$9+1,1))-AVERAGE(OFFSET($H$3,0,0,'Données projet'!$E$9+1,1))</f>
        <v>428.8489304403459</v>
      </c>
      <c r="T133" s="62">
        <f t="shared" ref="T133:T196" si="142">$T$3</f>
        <v>247.01165577562966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2">
        <f t="shared" si="113"/>
        <v>948.6462691544782</v>
      </c>
      <c r="AN133" s="62">
        <f ca="1">AVERAGE(OFFSET($AM$3,0,0,'Données projet'!$E$10+1,1))-AVERAGE(OFFSET($H$3,0,0,'Données projet'!$E$10+1,1))</f>
        <v>475.47920969424894</v>
      </c>
      <c r="AO133" s="62">
        <f t="shared" ref="AO133:AO196" si="144">$AO$3</f>
        <v>271.73544012419364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290.1599999999994</v>
      </c>
      <c r="BF133" s="14">
        <f t="shared" ref="BF133:BF153" si="145">EXP(-1.0587+0.8836*LN(BE133)+0.284)</f>
        <v>69.10963471703981</v>
      </c>
      <c r="BG133" s="22">
        <f t="shared" si="115"/>
        <v>625.72794713217661</v>
      </c>
      <c r="BH133" s="62">
        <f t="shared" si="116"/>
        <v>919.06128046550998</v>
      </c>
      <c r="BI133" s="62">
        <f ca="1">AVERAGE(OFFSET($BH$3,0,0,'Données projet'!$E$11+1,1))-AVERAGE(OFFSET($H$3,0,0,'Données projet'!$E$11+1,1))</f>
        <v>455.50822833641354</v>
      </c>
      <c r="BJ133" s="62">
        <f t="shared" ref="BJ133:BJ196" si="146">$BJ$3</f>
        <v>261.14722581688039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322.91999999999928</v>
      </c>
      <c r="CA133" s="14">
        <f t="shared" ref="CA133:CA153" si="147">EXP(-1.0587+0.8836*LN(BZ133)+0.284)</f>
        <v>75.960594879408617</v>
      </c>
      <c r="CB133" s="22">
        <f t="shared" si="118"/>
        <v>694.71703608163534</v>
      </c>
      <c r="CC133" s="62">
        <f t="shared" si="119"/>
        <v>988.0503694149686</v>
      </c>
      <c r="CD133" s="62">
        <f ca="1">AVERAGE(OFFSET($CC$3,0,0,'Données projet'!$E$12+1,1))-AVERAGE(OFFSET($H$3,0,0,'Données projet'!$E$12+1,1))</f>
        <v>502.07782026233912</v>
      </c>
      <c r="CE133" s="62">
        <f t="shared" ref="CE133:CE196" si="148">$CE$3</f>
        <v>285.83623046025156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5.6843418860808015E-14</v>
      </c>
      <c r="CU133" s="18">
        <f>CT133*VLOOKUP('Données projet'!$B$13,Paramètres!$A$1:$I$89,3,0)*VLOOKUP('Données projet'!$B$13,Paramètres!$A$1:$I$89,5,0)</f>
        <v>4.4337866711430253E-14</v>
      </c>
      <c r="CV133" s="14">
        <f t="shared" ref="CV133:CV153" si="149">EXP(-1.0587+0.8836*LN(CU133)+0.284)</f>
        <v>7.3222115536967035E-13</v>
      </c>
      <c r="CW133" s="22">
        <f t="shared" si="121"/>
        <v>1.3525069634579169E-12</v>
      </c>
      <c r="CX133" s="62">
        <f t="shared" si="122"/>
        <v>293.33333333333468</v>
      </c>
      <c r="CY133" s="62">
        <f ca="1">AVERAGE(OFFSET($CX$3,0,0,'Données projet'!$E$13+1,1))-AVERAGE(OFFSET($H$3,0,0,'Données projet'!$E$13+1,1))</f>
        <v>289.19475369871481</v>
      </c>
      <c r="CZ133" s="62">
        <f t="shared" ref="CZ133:CZ196" si="150">$CZ$3</f>
        <v>283.48738729114024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3.979039320256561E-13</v>
      </c>
      <c r="DP133" s="18">
        <f>DO133*VLOOKUP('Données projet'!$B$14,Paramètres!$A$1:$I$89,3,0)*VLOOKUP('Données projet'!$B$14,Paramètres!$A$1:$I$89,5,0)</f>
        <v>2.669139576028101E-13</v>
      </c>
      <c r="DQ133" s="14">
        <f t="shared" ref="DQ133:DQ153" si="151">EXP(-1.0587+0.8836*LN(DP133)+0.284)</f>
        <v>3.5767923834585247E-12</v>
      </c>
      <c r="DR133" s="22">
        <f t="shared" si="124"/>
        <v>6.6944552106818241E-12</v>
      </c>
      <c r="DS133" s="62">
        <f t="shared" si="125"/>
        <v>293.33333333334002</v>
      </c>
      <c r="DT133" s="62">
        <f ca="1">AVERAGE(OFFSET($DS$3,0,0,'Données projet'!$E$14+1,1))-AVERAGE(OFFSET($H$3,0,0,'Données projet'!$E$14+1,1))</f>
        <v>343.33067866534634</v>
      </c>
      <c r="DU133" s="62">
        <f t="shared" ref="DU133:DU196" si="152">$DU$3</f>
        <v>261.91036689641402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2">
        <f t="shared" si="109"/>
        <v>825.45983568521592</v>
      </c>
      <c r="S134" s="62">
        <f ca="1">AVERAGE(OFFSET($R$3,0,0,'Données projet'!$E$9+1,1))-AVERAGE(OFFSET($H$3,0,0,'Données projet'!$E$9+1,1))</f>
        <v>428.8489304403459</v>
      </c>
      <c r="T134" s="62">
        <f t="shared" si="142"/>
        <v>247.01165577562966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2">
        <f t="shared" si="113"/>
        <v>888.14687913280409</v>
      </c>
      <c r="AN134" s="62">
        <f ca="1">AVERAGE(OFFSET($AM$3,0,0,'Données projet'!$E$10+1,1))-AVERAGE(OFFSET($H$3,0,0,'Données projet'!$E$10+1,1))</f>
        <v>475.47920969424894</v>
      </c>
      <c r="AO134" s="62">
        <f t="shared" si="144"/>
        <v>271.73544012419364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262.7882399999994</v>
      </c>
      <c r="BF134" s="14">
        <f t="shared" si="145"/>
        <v>63.316348571334714</v>
      </c>
      <c r="BG134" s="22">
        <f t="shared" si="115"/>
        <v>567.96549176174028</v>
      </c>
      <c r="BH134" s="62">
        <f t="shared" si="116"/>
        <v>861.29882509507365</v>
      </c>
      <c r="BI134" s="62">
        <f ca="1">AVERAGE(OFFSET($BH$3,0,0,'Données projet'!$E$11+1,1))-AVERAGE(OFFSET($H$3,0,0,'Données projet'!$E$11+1,1))</f>
        <v>455.50822833641354</v>
      </c>
      <c r="BJ134" s="62">
        <f t="shared" si="146"/>
        <v>261.14722581688039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292.45787999999931</v>
      </c>
      <c r="CA134" s="14">
        <f t="shared" si="147"/>
        <v>69.59301004501954</v>
      </c>
      <c r="CB134" s="22">
        <f t="shared" si="118"/>
        <v>630.57196682840777</v>
      </c>
      <c r="CC134" s="62">
        <f t="shared" si="119"/>
        <v>923.90530016174102</v>
      </c>
      <c r="CD134" s="62">
        <f ca="1">AVERAGE(OFFSET($CC$3,0,0,'Données projet'!$E$12+1,1))-AVERAGE(OFFSET($H$3,0,0,'Données projet'!$E$12+1,1))</f>
        <v>502.07782026233912</v>
      </c>
      <c r="CE134" s="62">
        <f t="shared" si="148"/>
        <v>285.83623046025156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5.6843418860808015E-14</v>
      </c>
      <c r="CU134" s="18">
        <f>CT134*VLOOKUP('Données projet'!$B$13,Paramètres!$A$1:$I$89,3,0)*VLOOKUP('Données projet'!$B$13,Paramètres!$A$1:$I$89,5,0)</f>
        <v>4.4337866711430253E-14</v>
      </c>
      <c r="CV134" s="14">
        <f t="shared" si="149"/>
        <v>7.3222115536967035E-13</v>
      </c>
      <c r="CW134" s="22">
        <f t="shared" si="121"/>
        <v>1.3525069634579169E-12</v>
      </c>
      <c r="CX134" s="62">
        <f t="shared" si="122"/>
        <v>293.33333333333468</v>
      </c>
      <c r="CY134" s="62">
        <f ca="1">AVERAGE(OFFSET($CX$3,0,0,'Données projet'!$E$13+1,1))-AVERAGE(OFFSET($H$3,0,0,'Données projet'!$E$13+1,1))</f>
        <v>289.19475369871481</v>
      </c>
      <c r="CZ134" s="62">
        <f t="shared" si="150"/>
        <v>283.48738729114024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3.979039320256561E-13</v>
      </c>
      <c r="DP134" s="18">
        <f>DO134*VLOOKUP('Données projet'!$B$14,Paramètres!$A$1:$I$89,3,0)*VLOOKUP('Données projet'!$B$14,Paramètres!$A$1:$I$89,5,0)</f>
        <v>2.669139576028101E-13</v>
      </c>
      <c r="DQ134" s="14">
        <f t="shared" si="151"/>
        <v>3.5767923834585247E-12</v>
      </c>
      <c r="DR134" s="22">
        <f t="shared" si="124"/>
        <v>6.6944552106818241E-12</v>
      </c>
      <c r="DS134" s="62">
        <f t="shared" si="125"/>
        <v>293.33333333334002</v>
      </c>
      <c r="DT134" s="62">
        <f ca="1">AVERAGE(OFFSET($DS$3,0,0,'Données projet'!$E$14+1,1))-AVERAGE(OFFSET($H$3,0,0,'Données projet'!$E$14+1,1))</f>
        <v>343.33067866534634</v>
      </c>
      <c r="DU134" s="62">
        <f t="shared" si="152"/>
        <v>261.91036689641402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2">
        <f t="shared" si="109"/>
        <v>830.62702157178455</v>
      </c>
      <c r="S135" s="62">
        <f ca="1">AVERAGE(OFFSET($R$3,0,0,'Données projet'!$E$9+1,1))-AVERAGE(OFFSET($H$3,0,0,'Données projet'!$E$9+1,1))</f>
        <v>428.8489304403459</v>
      </c>
      <c r="T135" s="62">
        <f t="shared" si="142"/>
        <v>247.01165577562966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2">
        <f t="shared" si="113"/>
        <v>893.92421921427535</v>
      </c>
      <c r="AN135" s="62">
        <f ca="1">AVERAGE(OFFSET($AM$3,0,0,'Données projet'!$E$10+1,1))-AVERAGE(OFFSET($H$3,0,0,'Données projet'!$E$10+1,1))</f>
        <v>475.47920969424894</v>
      </c>
      <c r="AO135" s="62">
        <f t="shared" si="144"/>
        <v>271.73544012419364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265.39967999999936</v>
      </c>
      <c r="BF135" s="14">
        <f t="shared" si="145"/>
        <v>63.87199095821434</v>
      </c>
      <c r="BG135" s="22">
        <f t="shared" si="115"/>
        <v>573.48149358555554</v>
      </c>
      <c r="BH135" s="62">
        <f t="shared" si="116"/>
        <v>866.81482691888891</v>
      </c>
      <c r="BI135" s="62">
        <f ca="1">AVERAGE(OFFSET($BH$3,0,0,'Données projet'!$E$11+1,1))-AVERAGE(OFFSET($H$3,0,0,'Données projet'!$E$11+1,1))</f>
        <v>455.50822833641354</v>
      </c>
      <c r="BJ135" s="62">
        <f t="shared" si="146"/>
        <v>261.14722581688039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295.36415999999929</v>
      </c>
      <c r="CA135" s="14">
        <f t="shared" si="147"/>
        <v>70.203734243177976</v>
      </c>
      <c r="CB135" s="22">
        <f t="shared" si="118"/>
        <v>636.69741580686696</v>
      </c>
      <c r="CC135" s="62">
        <f t="shared" si="119"/>
        <v>930.03074914020021</v>
      </c>
      <c r="CD135" s="62">
        <f ca="1">AVERAGE(OFFSET($CC$3,0,0,'Données projet'!$E$12+1,1))-AVERAGE(OFFSET($H$3,0,0,'Données projet'!$E$12+1,1))</f>
        <v>502.07782026233912</v>
      </c>
      <c r="CE135" s="62">
        <f t="shared" si="148"/>
        <v>285.83623046025156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5.6843418860808015E-14</v>
      </c>
      <c r="CU135" s="18">
        <f>CT135*VLOOKUP('Données projet'!$B$13,Paramètres!$A$1:$I$89,3,0)*VLOOKUP('Données projet'!$B$13,Paramètres!$A$1:$I$89,5,0)</f>
        <v>4.4337866711430253E-14</v>
      </c>
      <c r="CV135" s="14">
        <f t="shared" si="149"/>
        <v>7.3222115536967035E-13</v>
      </c>
      <c r="CW135" s="22">
        <f t="shared" si="121"/>
        <v>1.3525069634579169E-12</v>
      </c>
      <c r="CX135" s="62">
        <f t="shared" si="122"/>
        <v>293.33333333333468</v>
      </c>
      <c r="CY135" s="62">
        <f ca="1">AVERAGE(OFFSET($CX$3,0,0,'Données projet'!$E$13+1,1))-AVERAGE(OFFSET($H$3,0,0,'Données projet'!$E$13+1,1))</f>
        <v>289.19475369871481</v>
      </c>
      <c r="CZ135" s="62">
        <f t="shared" si="150"/>
        <v>283.48738729114024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3.979039320256561E-13</v>
      </c>
      <c r="DP135" s="18">
        <f>DO135*VLOOKUP('Données projet'!$B$14,Paramètres!$A$1:$I$89,3,0)*VLOOKUP('Données projet'!$B$14,Paramètres!$A$1:$I$89,5,0)</f>
        <v>2.669139576028101E-13</v>
      </c>
      <c r="DQ135" s="14">
        <f t="shared" si="151"/>
        <v>3.5767923834585247E-12</v>
      </c>
      <c r="DR135" s="22">
        <f t="shared" si="124"/>
        <v>6.6944552106818241E-12</v>
      </c>
      <c r="DS135" s="62">
        <f t="shared" si="125"/>
        <v>293.33333333334002</v>
      </c>
      <c r="DT135" s="62">
        <f ca="1">AVERAGE(OFFSET($DS$3,0,0,'Données projet'!$E$14+1,1))-AVERAGE(OFFSET($H$3,0,0,'Données projet'!$E$14+1,1))</f>
        <v>343.33067866534634</v>
      </c>
      <c r="DU135" s="62">
        <f t="shared" si="152"/>
        <v>261.91036689641402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2">
        <f t="shared" si="109"/>
        <v>835.7931630761725</v>
      </c>
      <c r="S136" s="62">
        <f ca="1">AVERAGE(OFFSET($R$3,0,0,'Données projet'!$E$9+1,1))-AVERAGE(OFFSET($H$3,0,0,'Données projet'!$E$9+1,1))</f>
        <v>428.8489304403459</v>
      </c>
      <c r="T136" s="62">
        <f t="shared" si="142"/>
        <v>247.01165577562966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2">
        <f t="shared" si="113"/>
        <v>899.70040428847096</v>
      </c>
      <c r="AN136" s="62">
        <f ca="1">AVERAGE(OFFSET($AM$3,0,0,'Données projet'!$E$10+1,1))-AVERAGE(OFFSET($H$3,0,0,'Données projet'!$E$10+1,1))</f>
        <v>475.47920969424894</v>
      </c>
      <c r="AO136" s="62">
        <f t="shared" si="144"/>
        <v>271.73544012419364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268.01111999999938</v>
      </c>
      <c r="BF136" s="14">
        <f t="shared" si="145"/>
        <v>64.426997301716739</v>
      </c>
      <c r="BG136" s="22">
        <f t="shared" si="115"/>
        <v>578.99638763382234</v>
      </c>
      <c r="BH136" s="62">
        <f t="shared" si="116"/>
        <v>872.32972096715571</v>
      </c>
      <c r="BI136" s="62">
        <f ca="1">AVERAGE(OFFSET($BH$3,0,0,'Données projet'!$E$11+1,1))-AVERAGE(OFFSET($H$3,0,0,'Données projet'!$E$11+1,1))</f>
        <v>455.50822833641354</v>
      </c>
      <c r="BJ136" s="62">
        <f t="shared" si="146"/>
        <v>261.14722581688039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298.27043999999927</v>
      </c>
      <c r="CA136" s="14">
        <f t="shared" si="147"/>
        <v>70.813759345855843</v>
      </c>
      <c r="CB136" s="22">
        <f t="shared" si="118"/>
        <v>642.8216471940309</v>
      </c>
      <c r="CC136" s="62">
        <f t="shared" si="119"/>
        <v>936.15498052736416</v>
      </c>
      <c r="CD136" s="62">
        <f ca="1">AVERAGE(OFFSET($CC$3,0,0,'Données projet'!$E$12+1,1))-AVERAGE(OFFSET($H$3,0,0,'Données projet'!$E$12+1,1))</f>
        <v>502.07782026233912</v>
      </c>
      <c r="CE136" s="62">
        <f t="shared" si="148"/>
        <v>285.83623046025156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5.6843418860808015E-14</v>
      </c>
      <c r="CU136" s="18">
        <f>CT136*VLOOKUP('Données projet'!$B$13,Paramètres!$A$1:$I$89,3,0)*VLOOKUP('Données projet'!$B$13,Paramètres!$A$1:$I$89,5,0)</f>
        <v>4.4337866711430253E-14</v>
      </c>
      <c r="CV136" s="14">
        <f t="shared" si="149"/>
        <v>7.3222115536967035E-13</v>
      </c>
      <c r="CW136" s="22">
        <f t="shared" si="121"/>
        <v>1.3525069634579169E-12</v>
      </c>
      <c r="CX136" s="62">
        <f t="shared" si="122"/>
        <v>293.33333333333468</v>
      </c>
      <c r="CY136" s="62">
        <f ca="1">AVERAGE(OFFSET($CX$3,0,0,'Données projet'!$E$13+1,1))-AVERAGE(OFFSET($H$3,0,0,'Données projet'!$E$13+1,1))</f>
        <v>289.19475369871481</v>
      </c>
      <c r="CZ136" s="62">
        <f t="shared" si="150"/>
        <v>283.48738729114024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3.979039320256561E-13</v>
      </c>
      <c r="DP136" s="18">
        <f>DO136*VLOOKUP('Données projet'!$B$14,Paramètres!$A$1:$I$89,3,0)*VLOOKUP('Données projet'!$B$14,Paramètres!$A$1:$I$89,5,0)</f>
        <v>2.669139576028101E-13</v>
      </c>
      <c r="DQ136" s="14">
        <f t="shared" si="151"/>
        <v>3.5767923834585247E-12</v>
      </c>
      <c r="DR136" s="22">
        <f t="shared" si="124"/>
        <v>6.6944552106818241E-12</v>
      </c>
      <c r="DS136" s="62">
        <f t="shared" si="125"/>
        <v>293.33333333334002</v>
      </c>
      <c r="DT136" s="62">
        <f ca="1">AVERAGE(OFFSET($DS$3,0,0,'Données projet'!$E$14+1,1))-AVERAGE(OFFSET($H$3,0,0,'Données projet'!$E$14+1,1))</f>
        <v>343.33067866534634</v>
      </c>
      <c r="DU136" s="62">
        <f t="shared" si="152"/>
        <v>261.91036689641402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2">
        <f t="shared" si="109"/>
        <v>840.958271553038</v>
      </c>
      <c r="S137" s="62">
        <f ca="1">AVERAGE(OFFSET($R$3,0,0,'Données projet'!$E$9+1,1))-AVERAGE(OFFSET($H$3,0,0,'Données projet'!$E$9+1,1))</f>
        <v>428.8489304403459</v>
      </c>
      <c r="T137" s="62">
        <f t="shared" si="142"/>
        <v>247.01165577562966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2">
        <f t="shared" si="113"/>
        <v>905.47544691277926</v>
      </c>
      <c r="AN137" s="62">
        <f ca="1">AVERAGE(OFFSET($AM$3,0,0,'Données projet'!$E$10+1,1))-AVERAGE(OFFSET($H$3,0,0,'Données projet'!$E$10+1,1))</f>
        <v>475.47920969424894</v>
      </c>
      <c r="AO137" s="62">
        <f t="shared" si="144"/>
        <v>271.73544012419364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270.62255999999934</v>
      </c>
      <c r="BF137" s="14">
        <f t="shared" si="145"/>
        <v>64.981374516987898</v>
      </c>
      <c r="BG137" s="22">
        <f t="shared" si="115"/>
        <v>584.51018595041944</v>
      </c>
      <c r="BH137" s="62">
        <f t="shared" si="116"/>
        <v>877.84351928375281</v>
      </c>
      <c r="BI137" s="62">
        <f ca="1">AVERAGE(OFFSET($BH$3,0,0,'Données projet'!$E$11+1,1))-AVERAGE(OFFSET($H$3,0,0,'Données projet'!$E$11+1,1))</f>
        <v>455.50822833641354</v>
      </c>
      <c r="BJ137" s="62">
        <f t="shared" si="146"/>
        <v>261.14722581688039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301.17671999999925</v>
      </c>
      <c r="CA137" s="14">
        <f t="shared" si="147"/>
        <v>71.423092953709514</v>
      </c>
      <c r="CB137" s="22">
        <f t="shared" si="118"/>
        <v>648.94467422770936</v>
      </c>
      <c r="CC137" s="62">
        <f t="shared" si="119"/>
        <v>942.27800756104261</v>
      </c>
      <c r="CD137" s="62">
        <f ca="1">AVERAGE(OFFSET($CC$3,0,0,'Données projet'!$E$12+1,1))-AVERAGE(OFFSET($H$3,0,0,'Données projet'!$E$12+1,1))</f>
        <v>502.07782026233912</v>
      </c>
      <c r="CE137" s="62">
        <f t="shared" si="148"/>
        <v>285.83623046025156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5.6843418860808015E-14</v>
      </c>
      <c r="CU137" s="18">
        <f>CT137*VLOOKUP('Données projet'!$B$13,Paramètres!$A$1:$I$89,3,0)*VLOOKUP('Données projet'!$B$13,Paramètres!$A$1:$I$89,5,0)</f>
        <v>4.4337866711430253E-14</v>
      </c>
      <c r="CV137" s="14">
        <f t="shared" si="149"/>
        <v>7.3222115536967035E-13</v>
      </c>
      <c r="CW137" s="22">
        <f t="shared" si="121"/>
        <v>1.3525069634579169E-12</v>
      </c>
      <c r="CX137" s="62">
        <f t="shared" si="122"/>
        <v>293.33333333333468</v>
      </c>
      <c r="CY137" s="62">
        <f ca="1">AVERAGE(OFFSET($CX$3,0,0,'Données projet'!$E$13+1,1))-AVERAGE(OFFSET($H$3,0,0,'Données projet'!$E$13+1,1))</f>
        <v>289.19475369871481</v>
      </c>
      <c r="CZ137" s="62">
        <f t="shared" si="150"/>
        <v>283.48738729114024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3.979039320256561E-13</v>
      </c>
      <c r="DP137" s="18">
        <f>DO137*VLOOKUP('Données projet'!$B$14,Paramètres!$A$1:$I$89,3,0)*VLOOKUP('Données projet'!$B$14,Paramètres!$A$1:$I$89,5,0)</f>
        <v>2.669139576028101E-13</v>
      </c>
      <c r="DQ137" s="14">
        <f t="shared" si="151"/>
        <v>3.5767923834585247E-12</v>
      </c>
      <c r="DR137" s="22">
        <f t="shared" si="124"/>
        <v>6.6944552106818241E-12</v>
      </c>
      <c r="DS137" s="62">
        <f t="shared" si="125"/>
        <v>293.33333333334002</v>
      </c>
      <c r="DT137" s="62">
        <f ca="1">AVERAGE(OFFSET($DS$3,0,0,'Données projet'!$E$14+1,1))-AVERAGE(OFFSET($H$3,0,0,'Données projet'!$E$14+1,1))</f>
        <v>343.33067866534634</v>
      </c>
      <c r="DU137" s="62">
        <f t="shared" si="152"/>
        <v>261.91036689641402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2">
        <f t="shared" si="109"/>
        <v>846.12235812526569</v>
      </c>
      <c r="S138" s="62">
        <f ca="1">AVERAGE(OFFSET($R$3,0,0,'Données projet'!$E$9+1,1))-AVERAGE(OFFSET($H$3,0,0,'Données projet'!$E$9+1,1))</f>
        <v>428.8489304403459</v>
      </c>
      <c r="T138" s="62">
        <f t="shared" si="142"/>
        <v>247.01165577562966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2">
        <f t="shared" si="113"/>
        <v>911.24935938826479</v>
      </c>
      <c r="AN138" s="62">
        <f ca="1">AVERAGE(OFFSET($AM$3,0,0,'Données projet'!$E$10+1,1))-AVERAGE(OFFSET($H$3,0,0,'Données projet'!$E$10+1,1))</f>
        <v>475.47920969424894</v>
      </c>
      <c r="AO138" s="62">
        <f t="shared" si="144"/>
        <v>271.73544012419364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273.23399999999936</v>
      </c>
      <c r="BF138" s="14">
        <f t="shared" si="145"/>
        <v>65.535129378020301</v>
      </c>
      <c r="BG138" s="22">
        <f t="shared" si="115"/>
        <v>590.0229003333842</v>
      </c>
      <c r="BH138" s="62">
        <f t="shared" si="116"/>
        <v>883.35623366671757</v>
      </c>
      <c r="BI138" s="62">
        <f ca="1">AVERAGE(OFFSET($BH$3,0,0,'Données projet'!$E$11+1,1))-AVERAGE(OFFSET($H$3,0,0,'Données projet'!$E$11+1,1))</f>
        <v>455.50822833641354</v>
      </c>
      <c r="BJ138" s="62">
        <f t="shared" si="146"/>
        <v>261.14722581688039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304.08299999999929</v>
      </c>
      <c r="CA138" s="14">
        <f t="shared" si="147"/>
        <v>72.031742512249494</v>
      </c>
      <c r="CB138" s="22">
        <f t="shared" si="118"/>
        <v>655.06650987549995</v>
      </c>
      <c r="CC138" s="62">
        <f t="shared" si="119"/>
        <v>948.39984320883332</v>
      </c>
      <c r="CD138" s="62">
        <f ca="1">AVERAGE(OFFSET($CC$3,0,0,'Données projet'!$E$12+1,1))-AVERAGE(OFFSET($H$3,0,0,'Données projet'!$E$12+1,1))</f>
        <v>502.07782026233912</v>
      </c>
      <c r="CE138" s="62">
        <f t="shared" si="148"/>
        <v>285.83623046025156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5.6843418860808015E-14</v>
      </c>
      <c r="CU138" s="18">
        <f>CT138*VLOOKUP('Données projet'!$B$13,Paramètres!$A$1:$I$89,3,0)*VLOOKUP('Données projet'!$B$13,Paramètres!$A$1:$I$89,5,0)</f>
        <v>4.4337866711430253E-14</v>
      </c>
      <c r="CV138" s="14">
        <f t="shared" si="149"/>
        <v>7.3222115536967035E-13</v>
      </c>
      <c r="CW138" s="22">
        <f t="shared" si="121"/>
        <v>1.3525069634579169E-12</v>
      </c>
      <c r="CX138" s="62">
        <f t="shared" si="122"/>
        <v>293.33333333333468</v>
      </c>
      <c r="CY138" s="62">
        <f ca="1">AVERAGE(OFFSET($CX$3,0,0,'Données projet'!$E$13+1,1))-AVERAGE(OFFSET($H$3,0,0,'Données projet'!$E$13+1,1))</f>
        <v>289.19475369871481</v>
      </c>
      <c r="CZ138" s="62">
        <f t="shared" si="150"/>
        <v>283.48738729114024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3.979039320256561E-13</v>
      </c>
      <c r="DP138" s="18">
        <f>DO138*VLOOKUP('Données projet'!$B$14,Paramètres!$A$1:$I$89,3,0)*VLOOKUP('Données projet'!$B$14,Paramètres!$A$1:$I$89,5,0)</f>
        <v>2.669139576028101E-13</v>
      </c>
      <c r="DQ138" s="14">
        <f t="shared" si="151"/>
        <v>3.5767923834585247E-12</v>
      </c>
      <c r="DR138" s="22">
        <f t="shared" si="124"/>
        <v>6.6944552106818241E-12</v>
      </c>
      <c r="DS138" s="62">
        <f t="shared" si="125"/>
        <v>293.33333333334002</v>
      </c>
      <c r="DT138" s="62">
        <f ca="1">AVERAGE(OFFSET($DS$3,0,0,'Données projet'!$E$14+1,1))-AVERAGE(OFFSET($H$3,0,0,'Données projet'!$E$14+1,1))</f>
        <v>343.33067866534634</v>
      </c>
      <c r="DU138" s="62">
        <f t="shared" si="152"/>
        <v>261.91036689641402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2">
        <f t="shared" si="109"/>
        <v>851.28543369086674</v>
      </c>
      <c r="S139" s="62">
        <f ca="1">AVERAGE(OFFSET($R$3,0,0,'Données projet'!$E$9+1,1))-AVERAGE(OFFSET($H$3,0,0,'Données projet'!$E$9+1,1))</f>
        <v>428.8489304403459</v>
      </c>
      <c r="T139" s="62">
        <f t="shared" si="142"/>
        <v>247.01165577562966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2">
        <f t="shared" si="113"/>
        <v>917.02215376729873</v>
      </c>
      <c r="AN139" s="62">
        <f ca="1">AVERAGE(OFFSET($AM$3,0,0,'Données projet'!$E$10+1,1))-AVERAGE(OFFSET($H$3,0,0,'Données projet'!$E$10+1,1))</f>
        <v>475.47920969424894</v>
      </c>
      <c r="AO139" s="62">
        <f t="shared" si="144"/>
        <v>271.73544012419364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275.84543999999931</v>
      </c>
      <c r="BF139" s="14">
        <f t="shared" si="145"/>
        <v>66.088268521855113</v>
      </c>
      <c r="BG139" s="22">
        <f t="shared" si="115"/>
        <v>595.53454234222977</v>
      </c>
      <c r="BH139" s="62">
        <f t="shared" si="116"/>
        <v>888.86787567556303</v>
      </c>
      <c r="BI139" s="62">
        <f ca="1">AVERAGE(OFFSET($BH$3,0,0,'Données projet'!$E$11+1,1))-AVERAGE(OFFSET($H$3,0,0,'Données projet'!$E$11+1,1))</f>
        <v>455.50822833641354</v>
      </c>
      <c r="BJ139" s="62">
        <f t="shared" si="146"/>
        <v>261.14722581688039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306.98927999999921</v>
      </c>
      <c r="CA139" s="14">
        <f t="shared" si="147"/>
        <v>72.639715316458506</v>
      </c>
      <c r="CB139" s="22">
        <f t="shared" si="118"/>
        <v>661.18716684283038</v>
      </c>
      <c r="CC139" s="62">
        <f t="shared" si="119"/>
        <v>954.52050017616375</v>
      </c>
      <c r="CD139" s="62">
        <f ca="1">AVERAGE(OFFSET($CC$3,0,0,'Données projet'!$E$12+1,1))-AVERAGE(OFFSET($H$3,0,0,'Données projet'!$E$12+1,1))</f>
        <v>502.07782026233912</v>
      </c>
      <c r="CE139" s="62">
        <f t="shared" si="148"/>
        <v>285.83623046025156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5.6843418860808015E-14</v>
      </c>
      <c r="CU139" s="18">
        <f>CT139*VLOOKUP('Données projet'!$B$13,Paramètres!$A$1:$I$89,3,0)*VLOOKUP('Données projet'!$B$13,Paramètres!$A$1:$I$89,5,0)</f>
        <v>4.4337866711430253E-14</v>
      </c>
      <c r="CV139" s="14">
        <f t="shared" si="149"/>
        <v>7.3222115536967035E-13</v>
      </c>
      <c r="CW139" s="22">
        <f t="shared" si="121"/>
        <v>1.3525069634579169E-12</v>
      </c>
      <c r="CX139" s="62">
        <f t="shared" si="122"/>
        <v>293.33333333333468</v>
      </c>
      <c r="CY139" s="62">
        <f ca="1">AVERAGE(OFFSET($CX$3,0,0,'Données projet'!$E$13+1,1))-AVERAGE(OFFSET($H$3,0,0,'Données projet'!$E$13+1,1))</f>
        <v>289.19475369871481</v>
      </c>
      <c r="CZ139" s="62">
        <f t="shared" si="150"/>
        <v>283.48738729114024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3.979039320256561E-13</v>
      </c>
      <c r="DP139" s="18">
        <f>DO139*VLOOKUP('Données projet'!$B$14,Paramètres!$A$1:$I$89,3,0)*VLOOKUP('Données projet'!$B$14,Paramètres!$A$1:$I$89,5,0)</f>
        <v>2.669139576028101E-13</v>
      </c>
      <c r="DQ139" s="14">
        <f t="shared" si="151"/>
        <v>3.5767923834585247E-12</v>
      </c>
      <c r="DR139" s="22">
        <f t="shared" si="124"/>
        <v>6.6944552106818241E-12</v>
      </c>
      <c r="DS139" s="62">
        <f t="shared" si="125"/>
        <v>293.33333333334002</v>
      </c>
      <c r="DT139" s="62">
        <f ca="1">AVERAGE(OFFSET($DS$3,0,0,'Données projet'!$E$14+1,1))-AVERAGE(OFFSET($H$3,0,0,'Données projet'!$E$14+1,1))</f>
        <v>343.33067866534634</v>
      </c>
      <c r="DU139" s="62">
        <f t="shared" si="152"/>
        <v>261.91036689641402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2">
        <f t="shared" si="109"/>
        <v>856.44750892960883</v>
      </c>
      <c r="S140" s="62">
        <f ca="1">AVERAGE(OFFSET($R$3,0,0,'Données projet'!$E$9+1,1))-AVERAGE(OFFSET($H$3,0,0,'Données projet'!$E$9+1,1))</f>
        <v>428.8489304403459</v>
      </c>
      <c r="T140" s="62">
        <f t="shared" si="142"/>
        <v>247.01165577562966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2">
        <f t="shared" si="113"/>
        <v>922.79384186089305</v>
      </c>
      <c r="AN140" s="62">
        <f ca="1">AVERAGE(OFFSET($AM$3,0,0,'Données projet'!$E$10+1,1))-AVERAGE(OFFSET($H$3,0,0,'Données projet'!$E$10+1,1))</f>
        <v>475.47920969424894</v>
      </c>
      <c r="AO140" s="62">
        <f t="shared" si="144"/>
        <v>271.73544012419364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278.45687999999933</v>
      </c>
      <c r="BF140" s="14">
        <f t="shared" si="145"/>
        <v>66.640798452620999</v>
      </c>
      <c r="BG140" s="22">
        <f t="shared" si="115"/>
        <v>601.04512330498039</v>
      </c>
      <c r="BH140" s="62">
        <f t="shared" si="116"/>
        <v>894.37845663831376</v>
      </c>
      <c r="BI140" s="62">
        <f ca="1">AVERAGE(OFFSET($BH$3,0,0,'Données projet'!$E$11+1,1))-AVERAGE(OFFSET($H$3,0,0,'Données projet'!$E$11+1,1))</f>
        <v>455.50822833641354</v>
      </c>
      <c r="BJ140" s="62">
        <f t="shared" si="146"/>
        <v>261.14722581688039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309.89555999999925</v>
      </c>
      <c r="CA140" s="14">
        <f t="shared" si="147"/>
        <v>73.247018515231034</v>
      </c>
      <c r="CB140" s="22">
        <f t="shared" si="118"/>
        <v>667.30665758069279</v>
      </c>
      <c r="CC140" s="62">
        <f t="shared" si="119"/>
        <v>960.63999091402616</v>
      </c>
      <c r="CD140" s="62">
        <f ca="1">AVERAGE(OFFSET($CC$3,0,0,'Données projet'!$E$12+1,1))-AVERAGE(OFFSET($H$3,0,0,'Données projet'!$E$12+1,1))</f>
        <v>502.07782026233912</v>
      </c>
      <c r="CE140" s="62">
        <f t="shared" si="148"/>
        <v>285.83623046025156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5.6843418860808015E-14</v>
      </c>
      <c r="CU140" s="18">
        <f>CT140*VLOOKUP('Données projet'!$B$13,Paramètres!$A$1:$I$89,3,0)*VLOOKUP('Données projet'!$B$13,Paramètres!$A$1:$I$89,5,0)</f>
        <v>4.4337866711430253E-14</v>
      </c>
      <c r="CV140" s="14">
        <f t="shared" si="149"/>
        <v>7.3222115536967035E-13</v>
      </c>
      <c r="CW140" s="22">
        <f t="shared" si="121"/>
        <v>1.3525069634579169E-12</v>
      </c>
      <c r="CX140" s="62">
        <f t="shared" si="122"/>
        <v>293.33333333333468</v>
      </c>
      <c r="CY140" s="62">
        <f ca="1">AVERAGE(OFFSET($CX$3,0,0,'Données projet'!$E$13+1,1))-AVERAGE(OFFSET($H$3,0,0,'Données projet'!$E$13+1,1))</f>
        <v>289.19475369871481</v>
      </c>
      <c r="CZ140" s="62">
        <f t="shared" si="150"/>
        <v>283.48738729114024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3.979039320256561E-13</v>
      </c>
      <c r="DP140" s="18">
        <f>DO140*VLOOKUP('Données projet'!$B$14,Paramètres!$A$1:$I$89,3,0)*VLOOKUP('Données projet'!$B$14,Paramètres!$A$1:$I$89,5,0)</f>
        <v>2.669139576028101E-13</v>
      </c>
      <c r="DQ140" s="14">
        <f t="shared" si="151"/>
        <v>3.5767923834585247E-12</v>
      </c>
      <c r="DR140" s="22">
        <f t="shared" si="124"/>
        <v>6.6944552106818241E-12</v>
      </c>
      <c r="DS140" s="62">
        <f t="shared" si="125"/>
        <v>293.33333333334002</v>
      </c>
      <c r="DT140" s="62">
        <f ca="1">AVERAGE(OFFSET($DS$3,0,0,'Données projet'!$E$14+1,1))-AVERAGE(OFFSET($H$3,0,0,'Données projet'!$E$14+1,1))</f>
        <v>343.33067866534634</v>
      </c>
      <c r="DU140" s="62">
        <f t="shared" si="152"/>
        <v>261.91036689641402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2">
        <f t="shared" si="109"/>
        <v>861.60859430939399</v>
      </c>
      <c r="S141" s="62">
        <f ca="1">AVERAGE(OFFSET($R$3,0,0,'Données projet'!$E$9+1,1))-AVERAGE(OFFSET($H$3,0,0,'Données projet'!$E$9+1,1))</f>
        <v>428.8489304403459</v>
      </c>
      <c r="T141" s="62">
        <f t="shared" si="142"/>
        <v>247.01165577562966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2">
        <f t="shared" si="113"/>
        <v>928.5644352457507</v>
      </c>
      <c r="AN141" s="62">
        <f ca="1">AVERAGE(OFFSET($AM$3,0,0,'Données projet'!$E$10+1,1))-AVERAGE(OFFSET($H$3,0,0,'Données projet'!$E$10+1,1))</f>
        <v>475.47920969424894</v>
      </c>
      <c r="AO141" s="62">
        <f t="shared" si="144"/>
        <v>271.73544012419364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281.06831999999929</v>
      </c>
      <c r="BF141" s="14">
        <f t="shared" si="145"/>
        <v>67.192725545416536</v>
      </c>
      <c r="BG141" s="22">
        <f t="shared" si="115"/>
        <v>606.55465432493247</v>
      </c>
      <c r="BH141" s="62">
        <f t="shared" si="116"/>
        <v>899.88798765826573</v>
      </c>
      <c r="BI141" s="62">
        <f ca="1">AVERAGE(OFFSET($BH$3,0,0,'Données projet'!$E$11+1,1))-AVERAGE(OFFSET($H$3,0,0,'Données projet'!$E$11+1,1))</f>
        <v>455.50822833641354</v>
      </c>
      <c r="BJ141" s="62">
        <f t="shared" si="146"/>
        <v>261.14722581688039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312.80183999999923</v>
      </c>
      <c r="CA141" s="14">
        <f t="shared" si="147"/>
        <v>73.853659115640255</v>
      </c>
      <c r="CB141" s="22">
        <f t="shared" si="118"/>
        <v>673.42499429307202</v>
      </c>
      <c r="CC141" s="62">
        <f t="shared" si="119"/>
        <v>966.75832762640539</v>
      </c>
      <c r="CD141" s="62">
        <f ca="1">AVERAGE(OFFSET($CC$3,0,0,'Données projet'!$E$12+1,1))-AVERAGE(OFFSET($H$3,0,0,'Données projet'!$E$12+1,1))</f>
        <v>502.07782026233912</v>
      </c>
      <c r="CE141" s="62">
        <f t="shared" si="148"/>
        <v>285.83623046025156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5.6843418860808015E-14</v>
      </c>
      <c r="CU141" s="18">
        <f>CT141*VLOOKUP('Données projet'!$B$13,Paramètres!$A$1:$I$89,3,0)*VLOOKUP('Données projet'!$B$13,Paramètres!$A$1:$I$89,5,0)</f>
        <v>4.4337866711430253E-14</v>
      </c>
      <c r="CV141" s="14">
        <f t="shared" si="149"/>
        <v>7.3222115536967035E-13</v>
      </c>
      <c r="CW141" s="22">
        <f t="shared" si="121"/>
        <v>1.3525069634579169E-12</v>
      </c>
      <c r="CX141" s="62">
        <f t="shared" si="122"/>
        <v>293.33333333333468</v>
      </c>
      <c r="CY141" s="62">
        <f ca="1">AVERAGE(OFFSET($CX$3,0,0,'Données projet'!$E$13+1,1))-AVERAGE(OFFSET($H$3,0,0,'Données projet'!$E$13+1,1))</f>
        <v>289.19475369871481</v>
      </c>
      <c r="CZ141" s="62">
        <f t="shared" si="150"/>
        <v>283.48738729114024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3.979039320256561E-13</v>
      </c>
      <c r="DP141" s="18">
        <f>DO141*VLOOKUP('Données projet'!$B$14,Paramètres!$A$1:$I$89,3,0)*VLOOKUP('Données projet'!$B$14,Paramètres!$A$1:$I$89,5,0)</f>
        <v>2.669139576028101E-13</v>
      </c>
      <c r="DQ141" s="14">
        <f t="shared" si="151"/>
        <v>3.5767923834585247E-12</v>
      </c>
      <c r="DR141" s="22">
        <f t="shared" si="124"/>
        <v>6.6944552106818241E-12</v>
      </c>
      <c r="DS141" s="62">
        <f t="shared" si="125"/>
        <v>293.33333333334002</v>
      </c>
      <c r="DT141" s="62">
        <f ca="1">AVERAGE(OFFSET($DS$3,0,0,'Données projet'!$E$14+1,1))-AVERAGE(OFFSET($H$3,0,0,'Données projet'!$E$14+1,1))</f>
        <v>343.33067866534634</v>
      </c>
      <c r="DU141" s="62">
        <f t="shared" si="152"/>
        <v>261.91036689641402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2">
        <f t="shared" si="109"/>
        <v>866.76870009238769</v>
      </c>
      <c r="S142" s="62">
        <f ca="1">AVERAGE(OFFSET($R$3,0,0,'Données projet'!$E$9+1,1))-AVERAGE(OFFSET($H$3,0,0,'Données projet'!$E$9+1,1))</f>
        <v>428.8489304403459</v>
      </c>
      <c r="T142" s="62">
        <f t="shared" si="142"/>
        <v>247.01165577562966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2">
        <f t="shared" si="113"/>
        <v>934.33394527104656</v>
      </c>
      <c r="AN142" s="62">
        <f ca="1">AVERAGE(OFFSET($AM$3,0,0,'Données projet'!$E$10+1,1))-AVERAGE(OFFSET($H$3,0,0,'Données projet'!$E$10+1,1))</f>
        <v>475.47920969424894</v>
      </c>
      <c r="AO142" s="62">
        <f t="shared" si="144"/>
        <v>271.73544012419364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283.67975999999931</v>
      </c>
      <c r="BF142" s="14">
        <f t="shared" si="145"/>
        <v>67.74405605004435</v>
      </c>
      <c r="BG142" s="22">
        <f t="shared" si="115"/>
        <v>612.06314628715938</v>
      </c>
      <c r="BH142" s="62">
        <f t="shared" si="116"/>
        <v>905.39647962049276</v>
      </c>
      <c r="BI142" s="62">
        <f ca="1">AVERAGE(OFFSET($BH$3,0,0,'Données projet'!$E$11+1,1))-AVERAGE(OFFSET($H$3,0,0,'Données projet'!$E$11+1,1))</f>
        <v>455.50822833641354</v>
      </c>
      <c r="BJ142" s="62">
        <f t="shared" si="146"/>
        <v>261.14722581688039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315.70811999999916</v>
      </c>
      <c r="CA142" s="14">
        <f t="shared" si="147"/>
        <v>74.459643987042966</v>
      </c>
      <c r="CB142" s="22">
        <f t="shared" si="118"/>
        <v>679.54218894409837</v>
      </c>
      <c r="CC142" s="62">
        <f t="shared" si="119"/>
        <v>972.87552227743163</v>
      </c>
      <c r="CD142" s="62">
        <f ca="1">AVERAGE(OFFSET($CC$3,0,0,'Données projet'!$E$12+1,1))-AVERAGE(OFFSET($H$3,0,0,'Données projet'!$E$12+1,1))</f>
        <v>502.07782026233912</v>
      </c>
      <c r="CE142" s="62">
        <f t="shared" si="148"/>
        <v>285.83623046025156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5.6843418860808015E-14</v>
      </c>
      <c r="CU142" s="18">
        <f>CT142*VLOOKUP('Données projet'!$B$13,Paramètres!$A$1:$I$89,3,0)*VLOOKUP('Données projet'!$B$13,Paramètres!$A$1:$I$89,5,0)</f>
        <v>4.4337866711430253E-14</v>
      </c>
      <c r="CV142" s="14">
        <f t="shared" si="149"/>
        <v>7.3222115536967035E-13</v>
      </c>
      <c r="CW142" s="22">
        <f t="shared" si="121"/>
        <v>1.3525069634579169E-12</v>
      </c>
      <c r="CX142" s="62">
        <f t="shared" si="122"/>
        <v>293.33333333333468</v>
      </c>
      <c r="CY142" s="62">
        <f ca="1">AVERAGE(OFFSET($CX$3,0,0,'Données projet'!$E$13+1,1))-AVERAGE(OFFSET($H$3,0,0,'Données projet'!$E$13+1,1))</f>
        <v>289.19475369871481</v>
      </c>
      <c r="CZ142" s="62">
        <f t="shared" si="150"/>
        <v>283.48738729114024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3.979039320256561E-13</v>
      </c>
      <c r="DP142" s="18">
        <f>DO142*VLOOKUP('Données projet'!$B$14,Paramètres!$A$1:$I$89,3,0)*VLOOKUP('Données projet'!$B$14,Paramètres!$A$1:$I$89,5,0)</f>
        <v>2.669139576028101E-13</v>
      </c>
      <c r="DQ142" s="14">
        <f t="shared" si="151"/>
        <v>3.5767923834585247E-12</v>
      </c>
      <c r="DR142" s="22">
        <f t="shared" si="124"/>
        <v>6.6944552106818241E-12</v>
      </c>
      <c r="DS142" s="62">
        <f t="shared" si="125"/>
        <v>293.33333333334002</v>
      </c>
      <c r="DT142" s="62">
        <f ca="1">AVERAGE(OFFSET($DS$3,0,0,'Données projet'!$E$14+1,1))-AVERAGE(OFFSET($H$3,0,0,'Données projet'!$E$14+1,1))</f>
        <v>343.33067866534634</v>
      </c>
      <c r="DU142" s="62">
        <f t="shared" si="152"/>
        <v>261.91036689641402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2">
        <f t="shared" si="109"/>
        <v>871.92783634091984</v>
      </c>
      <c r="S143" s="62">
        <f ca="1">AVERAGE(OFFSET($R$3,0,0,'Données projet'!$E$9+1,1))-AVERAGE(OFFSET($H$3,0,0,'Données projet'!$E$9+1,1))</f>
        <v>428.8489304403459</v>
      </c>
      <c r="T143" s="62">
        <f t="shared" si="142"/>
        <v>247.01165577562966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2">
        <f t="shared" si="113"/>
        <v>940.10238306495216</v>
      </c>
      <c r="AN143" s="62">
        <f ca="1">AVERAGE(OFFSET($AM$3,0,0,'Données projet'!$E$10+1,1))-AVERAGE(OFFSET($H$3,0,0,'Données projet'!$E$10+1,1))</f>
        <v>475.47920969424894</v>
      </c>
      <c r="AO143" s="62">
        <f t="shared" si="144"/>
        <v>271.73544012419364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286.29119999999926</v>
      </c>
      <c r="BF143" s="14">
        <f t="shared" si="145"/>
        <v>68.294796094604223</v>
      </c>
      <c r="BG143" s="22">
        <f t="shared" si="115"/>
        <v>617.57060986476779</v>
      </c>
      <c r="BH143" s="62">
        <f t="shared" si="116"/>
        <v>910.90394319810116</v>
      </c>
      <c r="BI143" s="62">
        <f ca="1">AVERAGE(OFFSET($BH$3,0,0,'Données projet'!$E$11+1,1))-AVERAGE(OFFSET($H$3,0,0,'Données projet'!$E$11+1,1))</f>
        <v>455.50822833641354</v>
      </c>
      <c r="BJ143" s="62">
        <f t="shared" si="146"/>
        <v>261.14722581688039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318.61439999999919</v>
      </c>
      <c r="CA143" s="14">
        <f t="shared" si="147"/>
        <v>75.064979865028292</v>
      </c>
      <c r="CB143" s="22">
        <f t="shared" si="118"/>
        <v>685.65825326492302</v>
      </c>
      <c r="CC143" s="62">
        <f t="shared" si="119"/>
        <v>978.99158659825639</v>
      </c>
      <c r="CD143" s="62">
        <f ca="1">AVERAGE(OFFSET($CC$3,0,0,'Données projet'!$E$12+1,1))-AVERAGE(OFFSET($H$3,0,0,'Données projet'!$E$12+1,1))</f>
        <v>502.07782026233912</v>
      </c>
      <c r="CE143" s="62">
        <f t="shared" si="148"/>
        <v>285.83623046025156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5.6843418860808015E-14</v>
      </c>
      <c r="CU143" s="18">
        <f>CT143*VLOOKUP('Données projet'!$B$13,Paramètres!$A$1:$I$89,3,0)*VLOOKUP('Données projet'!$B$13,Paramètres!$A$1:$I$89,5,0)</f>
        <v>4.4337866711430253E-14</v>
      </c>
      <c r="CV143" s="14">
        <f t="shared" si="149"/>
        <v>7.3222115536967035E-13</v>
      </c>
      <c r="CW143" s="22">
        <f t="shared" si="121"/>
        <v>1.3525069634579169E-12</v>
      </c>
      <c r="CX143" s="62">
        <f t="shared" si="122"/>
        <v>293.33333333333468</v>
      </c>
      <c r="CY143" s="62">
        <f ca="1">AVERAGE(OFFSET($CX$3,0,0,'Données projet'!$E$13+1,1))-AVERAGE(OFFSET($H$3,0,0,'Données projet'!$E$13+1,1))</f>
        <v>289.19475369871481</v>
      </c>
      <c r="CZ143" s="62">
        <f t="shared" si="150"/>
        <v>283.48738729114024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3.979039320256561E-13</v>
      </c>
      <c r="DP143" s="18">
        <f>DO143*VLOOKUP('Données projet'!$B$14,Paramètres!$A$1:$I$89,3,0)*VLOOKUP('Données projet'!$B$14,Paramètres!$A$1:$I$89,5,0)</f>
        <v>2.669139576028101E-13</v>
      </c>
      <c r="DQ143" s="14">
        <f t="shared" si="151"/>
        <v>3.5767923834585247E-12</v>
      </c>
      <c r="DR143" s="22">
        <f t="shared" si="124"/>
        <v>6.6944552106818241E-12</v>
      </c>
      <c r="DS143" s="62">
        <f t="shared" si="125"/>
        <v>293.33333333334002</v>
      </c>
      <c r="DT143" s="62">
        <f ca="1">AVERAGE(OFFSET($DS$3,0,0,'Données projet'!$E$14+1,1))-AVERAGE(OFFSET($H$3,0,0,'Données projet'!$E$14+1,1))</f>
        <v>343.33067866534634</v>
      </c>
      <c r="DU143" s="62">
        <f t="shared" si="152"/>
        <v>261.91036689641402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2">
        <f t="shared" si="109"/>
        <v>824.88563895074731</v>
      </c>
      <c r="S144" s="62">
        <f ca="1">AVERAGE(OFFSET($R$3,0,0,'Données projet'!$E$9+1,1))-AVERAGE(OFFSET($H$3,0,0,'Données projet'!$E$9+1,1))</f>
        <v>428.8489304403459</v>
      </c>
      <c r="T144" s="62">
        <f t="shared" si="142"/>
        <v>247.01165577562966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2">
        <f t="shared" si="113"/>
        <v>887.50488060598582</v>
      </c>
      <c r="AN144" s="62">
        <f ca="1">AVERAGE(OFFSET($AM$3,0,0,'Données projet'!$E$10+1,1))-AVERAGE(OFFSET($H$3,0,0,'Données projet'!$E$10+1,1))</f>
        <v>475.47920969424894</v>
      </c>
      <c r="AO144" s="62">
        <f t="shared" si="144"/>
        <v>271.73544012419364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262.49807999999928</v>
      </c>
      <c r="BF144" s="14">
        <f t="shared" si="145"/>
        <v>63.254570961137979</v>
      </c>
      <c r="BG144" s="22">
        <f t="shared" si="115"/>
        <v>567.35253375731406</v>
      </c>
      <c r="BH144" s="62">
        <f t="shared" si="116"/>
        <v>860.68586709064743</v>
      </c>
      <c r="BI144" s="62">
        <f ca="1">AVERAGE(OFFSET($BH$3,0,0,'Données projet'!$E$11+1,1))-AVERAGE(OFFSET($H$3,0,0,'Données projet'!$E$11+1,1))</f>
        <v>455.50822833641354</v>
      </c>
      <c r="BJ144" s="62">
        <f t="shared" si="146"/>
        <v>261.14722581688039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292.13495999999913</v>
      </c>
      <c r="CA144" s="14">
        <f t="shared" si="147"/>
        <v>69.525108311202104</v>
      </c>
      <c r="CB144" s="22">
        <f t="shared" si="118"/>
        <v>629.89128564200882</v>
      </c>
      <c r="CC144" s="62">
        <f t="shared" si="119"/>
        <v>923.22461897534208</v>
      </c>
      <c r="CD144" s="62">
        <f ca="1">AVERAGE(OFFSET($CC$3,0,0,'Données projet'!$E$12+1,1))-AVERAGE(OFFSET($H$3,0,0,'Données projet'!$E$12+1,1))</f>
        <v>502.07782026233912</v>
      </c>
      <c r="CE144" s="62">
        <f t="shared" si="148"/>
        <v>285.83623046025156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5.6843418860808015E-14</v>
      </c>
      <c r="CU144" s="18">
        <f>CT144*VLOOKUP('Données projet'!$B$13,Paramètres!$A$1:$I$89,3,0)*VLOOKUP('Données projet'!$B$13,Paramètres!$A$1:$I$89,5,0)</f>
        <v>4.4337866711430253E-14</v>
      </c>
      <c r="CV144" s="14">
        <f t="shared" si="149"/>
        <v>7.3222115536967035E-13</v>
      </c>
      <c r="CW144" s="22">
        <f t="shared" si="121"/>
        <v>1.3525069634579169E-12</v>
      </c>
      <c r="CX144" s="62">
        <f t="shared" si="122"/>
        <v>293.33333333333468</v>
      </c>
      <c r="CY144" s="62">
        <f ca="1">AVERAGE(OFFSET($CX$3,0,0,'Données projet'!$E$13+1,1))-AVERAGE(OFFSET($H$3,0,0,'Données projet'!$E$13+1,1))</f>
        <v>289.19475369871481</v>
      </c>
      <c r="CZ144" s="62">
        <f t="shared" si="150"/>
        <v>283.48738729114024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3.979039320256561E-13</v>
      </c>
      <c r="DP144" s="18">
        <f>DO144*VLOOKUP('Données projet'!$B$14,Paramètres!$A$1:$I$89,3,0)*VLOOKUP('Données projet'!$B$14,Paramètres!$A$1:$I$89,5,0)</f>
        <v>2.669139576028101E-13</v>
      </c>
      <c r="DQ144" s="14">
        <f t="shared" si="151"/>
        <v>3.5767923834585247E-12</v>
      </c>
      <c r="DR144" s="22">
        <f t="shared" si="124"/>
        <v>6.6944552106818241E-12</v>
      </c>
      <c r="DS144" s="62">
        <f t="shared" si="125"/>
        <v>293.33333333334002</v>
      </c>
      <c r="DT144" s="62">
        <f ca="1">AVERAGE(OFFSET($DS$3,0,0,'Données projet'!$E$14+1,1))-AVERAGE(OFFSET($H$3,0,0,'Données projet'!$E$14+1,1))</f>
        <v>343.33067866534634</v>
      </c>
      <c r="DU144" s="62">
        <f t="shared" si="152"/>
        <v>261.91036689641402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2">
        <f t="shared" si="109"/>
        <v>829.47884870108419</v>
      </c>
      <c r="S145" s="62">
        <f ca="1">AVERAGE(OFFSET($R$3,0,0,'Données projet'!$E$9+1,1))-AVERAGE(OFFSET($H$3,0,0,'Données projet'!$E$9+1,1))</f>
        <v>428.8489304403459</v>
      </c>
      <c r="T145" s="62">
        <f t="shared" si="142"/>
        <v>247.01165577562966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2">
        <f t="shared" si="113"/>
        <v>892.64046612551419</v>
      </c>
      <c r="AN145" s="62">
        <f ca="1">AVERAGE(OFFSET($AM$3,0,0,'Données projet'!$E$10+1,1))-AVERAGE(OFFSET($H$3,0,0,'Données projet'!$E$10+1,1))</f>
        <v>475.47920969424894</v>
      </c>
      <c r="AO145" s="62">
        <f t="shared" si="144"/>
        <v>271.73544012419364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264.81935999999928</v>
      </c>
      <c r="BF145" s="14">
        <f t="shared" si="145"/>
        <v>63.748570085236892</v>
      </c>
      <c r="BG145" s="22">
        <f t="shared" si="115"/>
        <v>572.25581156511964</v>
      </c>
      <c r="BH145" s="62">
        <f t="shared" si="116"/>
        <v>865.58914489845301</v>
      </c>
      <c r="BI145" s="62">
        <f ca="1">AVERAGE(OFFSET($BH$3,0,0,'Données projet'!$E$11+1,1))-AVERAGE(OFFSET($H$3,0,0,'Données projet'!$E$11+1,1))</f>
        <v>455.50822833641354</v>
      </c>
      <c r="BJ145" s="62">
        <f t="shared" si="146"/>
        <v>261.14722581688039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294.71831999999915</v>
      </c>
      <c r="CA145" s="14">
        <f t="shared" si="147"/>
        <v>70.068078441055917</v>
      </c>
      <c r="CB145" s="22">
        <f t="shared" si="118"/>
        <v>635.33631061817096</v>
      </c>
      <c r="CC145" s="62">
        <f t="shared" si="119"/>
        <v>928.66964395150421</v>
      </c>
      <c r="CD145" s="62">
        <f ca="1">AVERAGE(OFFSET($CC$3,0,0,'Données projet'!$E$12+1,1))-AVERAGE(OFFSET($H$3,0,0,'Données projet'!$E$12+1,1))</f>
        <v>502.07782026233912</v>
      </c>
      <c r="CE145" s="62">
        <f t="shared" si="148"/>
        <v>285.83623046025156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5.6843418860808015E-14</v>
      </c>
      <c r="CU145" s="18">
        <f>CT145*VLOOKUP('Données projet'!$B$13,Paramètres!$A$1:$I$89,3,0)*VLOOKUP('Données projet'!$B$13,Paramètres!$A$1:$I$89,5,0)</f>
        <v>4.4337866711430253E-14</v>
      </c>
      <c r="CV145" s="14">
        <f t="shared" si="149"/>
        <v>7.3222115536967035E-13</v>
      </c>
      <c r="CW145" s="22">
        <f t="shared" si="121"/>
        <v>1.3525069634579169E-12</v>
      </c>
      <c r="CX145" s="62">
        <f t="shared" si="122"/>
        <v>293.33333333333468</v>
      </c>
      <c r="CY145" s="62">
        <f ca="1">AVERAGE(OFFSET($CX$3,0,0,'Données projet'!$E$13+1,1))-AVERAGE(OFFSET($H$3,0,0,'Données projet'!$E$13+1,1))</f>
        <v>289.19475369871481</v>
      </c>
      <c r="CZ145" s="62">
        <f t="shared" si="150"/>
        <v>283.48738729114024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3.979039320256561E-13</v>
      </c>
      <c r="DP145" s="18">
        <f>DO145*VLOOKUP('Données projet'!$B$14,Paramètres!$A$1:$I$89,3,0)*VLOOKUP('Données projet'!$B$14,Paramètres!$A$1:$I$89,5,0)</f>
        <v>2.669139576028101E-13</v>
      </c>
      <c r="DQ145" s="14">
        <f t="shared" si="151"/>
        <v>3.5767923834585247E-12</v>
      </c>
      <c r="DR145" s="22">
        <f t="shared" si="124"/>
        <v>6.6944552106818241E-12</v>
      </c>
      <c r="DS145" s="62">
        <f t="shared" si="125"/>
        <v>293.33333333334002</v>
      </c>
      <c r="DT145" s="62">
        <f ca="1">AVERAGE(OFFSET($DS$3,0,0,'Données projet'!$E$14+1,1))-AVERAGE(OFFSET($H$3,0,0,'Données projet'!$E$14+1,1))</f>
        <v>343.33067866534634</v>
      </c>
      <c r="DU145" s="62">
        <f t="shared" si="152"/>
        <v>261.91036689641402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2">
        <f t="shared" si="109"/>
        <v>834.07123124476584</v>
      </c>
      <c r="S146" s="62">
        <f ca="1">AVERAGE(OFFSET($R$3,0,0,'Données projet'!$E$9+1,1))-AVERAGE(OFFSET($H$3,0,0,'Données projet'!$E$9+1,1))</f>
        <v>428.8489304403459</v>
      </c>
      <c r="T146" s="62">
        <f t="shared" si="142"/>
        <v>247.01165577562966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2">
        <f t="shared" si="113"/>
        <v>897.77513681738401</v>
      </c>
      <c r="AN146" s="62">
        <f ca="1">AVERAGE(OFFSET($AM$3,0,0,'Données projet'!$E$10+1,1))-AVERAGE(OFFSET($H$3,0,0,'Données projet'!$E$10+1,1))</f>
        <v>475.47920969424894</v>
      </c>
      <c r="AO146" s="62">
        <f t="shared" si="144"/>
        <v>271.73544012419364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267.14063999999922</v>
      </c>
      <c r="BF146" s="14">
        <f t="shared" si="145"/>
        <v>64.242065428895785</v>
      </c>
      <c r="BG146" s="22">
        <f t="shared" si="115"/>
        <v>577.15821195532533</v>
      </c>
      <c r="BH146" s="62">
        <f t="shared" si="116"/>
        <v>870.4915452886587</v>
      </c>
      <c r="BI146" s="62">
        <f ca="1">AVERAGE(OFFSET($BH$3,0,0,'Données projet'!$E$11+1,1))-AVERAGE(OFFSET($H$3,0,0,'Données projet'!$E$11+1,1))</f>
        <v>455.50822833641354</v>
      </c>
      <c r="BJ146" s="62">
        <f t="shared" si="146"/>
        <v>261.14722581688039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297.30167999999912</v>
      </c>
      <c r="CA146" s="14">
        <f t="shared" si="147"/>
        <v>70.610494849824818</v>
      </c>
      <c r="CB146" s="22">
        <f t="shared" si="118"/>
        <v>640.78037119677663</v>
      </c>
      <c r="CC146" s="62">
        <f t="shared" si="119"/>
        <v>934.11370453011</v>
      </c>
      <c r="CD146" s="62">
        <f ca="1">AVERAGE(OFFSET($CC$3,0,0,'Données projet'!$E$12+1,1))-AVERAGE(OFFSET($H$3,0,0,'Données projet'!$E$12+1,1))</f>
        <v>502.07782026233912</v>
      </c>
      <c r="CE146" s="62">
        <f t="shared" si="148"/>
        <v>285.83623046025156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5.6843418860808015E-14</v>
      </c>
      <c r="CU146" s="18">
        <f>CT146*VLOOKUP('Données projet'!$B$13,Paramètres!$A$1:$I$89,3,0)*VLOOKUP('Données projet'!$B$13,Paramètres!$A$1:$I$89,5,0)</f>
        <v>4.4337866711430253E-14</v>
      </c>
      <c r="CV146" s="14">
        <f t="shared" si="149"/>
        <v>7.3222115536967035E-13</v>
      </c>
      <c r="CW146" s="22">
        <f t="shared" si="121"/>
        <v>1.3525069634579169E-12</v>
      </c>
      <c r="CX146" s="62">
        <f t="shared" si="122"/>
        <v>293.33333333333468</v>
      </c>
      <c r="CY146" s="62">
        <f ca="1">AVERAGE(OFFSET($CX$3,0,0,'Données projet'!$E$13+1,1))-AVERAGE(OFFSET($H$3,0,0,'Données projet'!$E$13+1,1))</f>
        <v>289.19475369871481</v>
      </c>
      <c r="CZ146" s="62">
        <f t="shared" si="150"/>
        <v>283.48738729114024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3.979039320256561E-13</v>
      </c>
      <c r="DP146" s="18">
        <f>DO146*VLOOKUP('Données projet'!$B$14,Paramètres!$A$1:$I$89,3,0)*VLOOKUP('Données projet'!$B$14,Paramètres!$A$1:$I$89,5,0)</f>
        <v>2.669139576028101E-13</v>
      </c>
      <c r="DQ146" s="14">
        <f t="shared" si="151"/>
        <v>3.5767923834585247E-12</v>
      </c>
      <c r="DR146" s="22">
        <f t="shared" si="124"/>
        <v>6.6944552106818241E-12</v>
      </c>
      <c r="DS146" s="62">
        <f t="shared" si="125"/>
        <v>293.33333333334002</v>
      </c>
      <c r="DT146" s="62">
        <f ca="1">AVERAGE(OFFSET($DS$3,0,0,'Données projet'!$E$14+1,1))-AVERAGE(OFFSET($H$3,0,0,'Données projet'!$E$14+1,1))</f>
        <v>343.33067866534634</v>
      </c>
      <c r="DU146" s="62">
        <f t="shared" si="152"/>
        <v>261.91036689641402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2">
        <f t="shared" si="109"/>
        <v>838.66279460250166</v>
      </c>
      <c r="S147" s="62">
        <f ca="1">AVERAGE(OFFSET($R$3,0,0,'Données projet'!$E$9+1,1))-AVERAGE(OFFSET($H$3,0,0,'Données projet'!$E$9+1,1))</f>
        <v>428.8489304403459</v>
      </c>
      <c r="T147" s="62">
        <f t="shared" si="142"/>
        <v>247.01165577562966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2">
        <f t="shared" si="113"/>
        <v>902.90890155188936</v>
      </c>
      <c r="AN147" s="62">
        <f ca="1">AVERAGE(OFFSET($AM$3,0,0,'Données projet'!$E$10+1,1))-AVERAGE(OFFSET($H$3,0,0,'Données projet'!$E$10+1,1))</f>
        <v>475.47920969424894</v>
      </c>
      <c r="AO147" s="62">
        <f t="shared" si="144"/>
        <v>271.73544012419364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269.46191999999922</v>
      </c>
      <c r="BF147" s="14">
        <f t="shared" si="145"/>
        <v>64.735061876838927</v>
      </c>
      <c r="BG147" s="22">
        <f t="shared" si="115"/>
        <v>582.05974343549315</v>
      </c>
      <c r="BH147" s="62">
        <f t="shared" si="116"/>
        <v>875.3930767688264</v>
      </c>
      <c r="BI147" s="62">
        <f ca="1">AVERAGE(OFFSET($BH$3,0,0,'Données projet'!$E$11+1,1))-AVERAGE(OFFSET($H$3,0,0,'Données projet'!$E$11+1,1))</f>
        <v>455.50822833641354</v>
      </c>
      <c r="BJ147" s="62">
        <f t="shared" si="146"/>
        <v>261.14722581688039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299.88503999999909</v>
      </c>
      <c r="CA147" s="14">
        <f t="shared" si="147"/>
        <v>71.152362906464447</v>
      </c>
      <c r="CB147" s="22">
        <f t="shared" si="118"/>
        <v>646.2234767287573</v>
      </c>
      <c r="CC147" s="62">
        <f t="shared" si="119"/>
        <v>939.55681006209056</v>
      </c>
      <c r="CD147" s="62">
        <f ca="1">AVERAGE(OFFSET($CC$3,0,0,'Données projet'!$E$12+1,1))-AVERAGE(OFFSET($H$3,0,0,'Données projet'!$E$12+1,1))</f>
        <v>502.07782026233912</v>
      </c>
      <c r="CE147" s="62">
        <f t="shared" si="148"/>
        <v>285.83623046025156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5.6843418860808015E-14</v>
      </c>
      <c r="CU147" s="18">
        <f>CT147*VLOOKUP('Données projet'!$B$13,Paramètres!$A$1:$I$89,3,0)*VLOOKUP('Données projet'!$B$13,Paramètres!$A$1:$I$89,5,0)</f>
        <v>4.4337866711430253E-14</v>
      </c>
      <c r="CV147" s="14">
        <f t="shared" si="149"/>
        <v>7.3222115536967035E-13</v>
      </c>
      <c r="CW147" s="22">
        <f t="shared" si="121"/>
        <v>1.3525069634579169E-12</v>
      </c>
      <c r="CX147" s="62">
        <f t="shared" si="122"/>
        <v>293.33333333333468</v>
      </c>
      <c r="CY147" s="62">
        <f ca="1">AVERAGE(OFFSET($CX$3,0,0,'Données projet'!$E$13+1,1))-AVERAGE(OFFSET($H$3,0,0,'Données projet'!$E$13+1,1))</f>
        <v>289.19475369871481</v>
      </c>
      <c r="CZ147" s="62">
        <f t="shared" si="150"/>
        <v>283.48738729114024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3.979039320256561E-13</v>
      </c>
      <c r="DP147" s="18">
        <f>DO147*VLOOKUP('Données projet'!$B$14,Paramètres!$A$1:$I$89,3,0)*VLOOKUP('Données projet'!$B$14,Paramètres!$A$1:$I$89,5,0)</f>
        <v>2.669139576028101E-13</v>
      </c>
      <c r="DQ147" s="14">
        <f t="shared" si="151"/>
        <v>3.5767923834585247E-12</v>
      </c>
      <c r="DR147" s="22">
        <f t="shared" si="124"/>
        <v>6.6944552106818241E-12</v>
      </c>
      <c r="DS147" s="62">
        <f t="shared" si="125"/>
        <v>293.33333333334002</v>
      </c>
      <c r="DT147" s="62">
        <f ca="1">AVERAGE(OFFSET($DS$3,0,0,'Données projet'!$E$14+1,1))-AVERAGE(OFFSET($H$3,0,0,'Données projet'!$E$14+1,1))</f>
        <v>343.33067866534634</v>
      </c>
      <c r="DU147" s="62">
        <f t="shared" si="152"/>
        <v>261.91036689641402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2">
        <f t="shared" si="109"/>
        <v>843.25354664883753</v>
      </c>
      <c r="S148" s="62">
        <f ca="1">AVERAGE(OFFSET($R$3,0,0,'Données projet'!$E$9+1,1))-AVERAGE(OFFSET($H$3,0,0,'Données projet'!$E$9+1,1))</f>
        <v>428.8489304403459</v>
      </c>
      <c r="T148" s="62">
        <f t="shared" si="142"/>
        <v>247.01165577562966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2">
        <f t="shared" si="113"/>
        <v>908.04176903767916</v>
      </c>
      <c r="AN148" s="62">
        <f ca="1">AVERAGE(OFFSET($AM$3,0,0,'Données projet'!$E$10+1,1))-AVERAGE(OFFSET($H$3,0,0,'Données projet'!$E$10+1,1))</f>
        <v>475.47920969424894</v>
      </c>
      <c r="AO148" s="62">
        <f t="shared" si="144"/>
        <v>271.73544012419364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271.78319999999917</v>
      </c>
      <c r="BF148" s="14">
        <f t="shared" si="145"/>
        <v>65.227564224775008</v>
      </c>
      <c r="BG148" s="22">
        <f t="shared" si="115"/>
        <v>586.96041435814834</v>
      </c>
      <c r="BH148" s="62">
        <f t="shared" si="116"/>
        <v>880.29374769148171</v>
      </c>
      <c r="BI148" s="62">
        <f ca="1">AVERAGE(OFFSET($BH$3,0,0,'Données projet'!$E$11+1,1))-AVERAGE(OFFSET($H$3,0,0,'Données projet'!$E$11+1,1))</f>
        <v>455.50822833641354</v>
      </c>
      <c r="BJ148" s="62">
        <f t="shared" si="146"/>
        <v>261.14722581688039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302.46839999999906</v>
      </c>
      <c r="CA148" s="14">
        <f t="shared" si="147"/>
        <v>71.693687882090543</v>
      </c>
      <c r="CB148" s="22">
        <f t="shared" si="118"/>
        <v>651.66563639463936</v>
      </c>
      <c r="CC148" s="62">
        <f t="shared" si="119"/>
        <v>944.99896972797274</v>
      </c>
      <c r="CD148" s="62">
        <f ca="1">AVERAGE(OFFSET($CC$3,0,0,'Données projet'!$E$12+1,1))-AVERAGE(OFFSET($H$3,0,0,'Données projet'!$E$12+1,1))</f>
        <v>502.07782026233912</v>
      </c>
      <c r="CE148" s="62">
        <f t="shared" si="148"/>
        <v>285.83623046025156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5.6843418860808015E-14</v>
      </c>
      <c r="CU148" s="18">
        <f>CT148*VLOOKUP('Données projet'!$B$13,Paramètres!$A$1:$I$89,3,0)*VLOOKUP('Données projet'!$B$13,Paramètres!$A$1:$I$89,5,0)</f>
        <v>4.4337866711430253E-14</v>
      </c>
      <c r="CV148" s="14">
        <f t="shared" si="149"/>
        <v>7.3222115536967035E-13</v>
      </c>
      <c r="CW148" s="22">
        <f t="shared" si="121"/>
        <v>1.3525069634579169E-12</v>
      </c>
      <c r="CX148" s="62">
        <f t="shared" si="122"/>
        <v>293.33333333333468</v>
      </c>
      <c r="CY148" s="62">
        <f ca="1">AVERAGE(OFFSET($CX$3,0,0,'Données projet'!$E$13+1,1))-AVERAGE(OFFSET($H$3,0,0,'Données projet'!$E$13+1,1))</f>
        <v>289.19475369871481</v>
      </c>
      <c r="CZ148" s="62">
        <f t="shared" si="150"/>
        <v>283.48738729114024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3.979039320256561E-13</v>
      </c>
      <c r="DP148" s="18">
        <f>DO148*VLOOKUP('Données projet'!$B$14,Paramètres!$A$1:$I$89,3,0)*VLOOKUP('Données projet'!$B$14,Paramètres!$A$1:$I$89,5,0)</f>
        <v>2.669139576028101E-13</v>
      </c>
      <c r="DQ148" s="14">
        <f t="shared" si="151"/>
        <v>3.5767923834585247E-12</v>
      </c>
      <c r="DR148" s="22">
        <f t="shared" si="124"/>
        <v>6.6944552106818241E-12</v>
      </c>
      <c r="DS148" s="62">
        <f t="shared" si="125"/>
        <v>293.33333333334002</v>
      </c>
      <c r="DT148" s="62">
        <f ca="1">AVERAGE(OFFSET($DS$3,0,0,'Données projet'!$E$14+1,1))-AVERAGE(OFFSET($H$3,0,0,'Données projet'!$E$14+1,1))</f>
        <v>343.33067866534634</v>
      </c>
      <c r="DU148" s="62">
        <f t="shared" si="152"/>
        <v>261.91036689641402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2">
        <f t="shared" si="109"/>
        <v>847.84349511604432</v>
      </c>
      <c r="S149" s="62">
        <f ca="1">AVERAGE(OFFSET($R$3,0,0,'Données projet'!$E$9+1,1))-AVERAGE(OFFSET($H$3,0,0,'Données projet'!$E$9+1,1))</f>
        <v>428.8489304403459</v>
      </c>
      <c r="T149" s="62">
        <f t="shared" si="142"/>
        <v>247.01165577562966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2">
        <f t="shared" si="113"/>
        <v>913.17374782605748</v>
      </c>
      <c r="AN149" s="62">
        <f ca="1">AVERAGE(OFFSET($AM$3,0,0,'Données projet'!$E$10+1,1))-AVERAGE(OFFSET($H$3,0,0,'Données projet'!$E$10+1,1))</f>
        <v>475.47920969424894</v>
      </c>
      <c r="AO149" s="62">
        <f t="shared" si="144"/>
        <v>271.73544012419364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274.10447999999917</v>
      </c>
      <c r="BF149" s="14">
        <f t="shared" si="145"/>
        <v>65.719577181765331</v>
      </c>
      <c r="BG149" s="22">
        <f t="shared" si="115"/>
        <v>591.86023292490643</v>
      </c>
      <c r="BH149" s="62">
        <f t="shared" si="116"/>
        <v>885.1935662582398</v>
      </c>
      <c r="BI149" s="62">
        <f ca="1">AVERAGE(OFFSET($BH$3,0,0,'Données projet'!$E$11+1,1))-AVERAGE(OFFSET($H$3,0,0,'Données projet'!$E$11+1,1))</f>
        <v>455.50822833641354</v>
      </c>
      <c r="BJ149" s="62">
        <f t="shared" si="146"/>
        <v>261.14722581688039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305.05175999999904</v>
      </c>
      <c r="CA149" s="14">
        <f t="shared" si="147"/>
        <v>72.234474952581991</v>
      </c>
      <c r="CB149" s="22">
        <f t="shared" si="118"/>
        <v>657.10685920907861</v>
      </c>
      <c r="CC149" s="62">
        <f t="shared" si="119"/>
        <v>950.44019254241198</v>
      </c>
      <c r="CD149" s="62">
        <f ca="1">AVERAGE(OFFSET($CC$3,0,0,'Données projet'!$E$12+1,1))-AVERAGE(OFFSET($H$3,0,0,'Données projet'!$E$12+1,1))</f>
        <v>502.07782026233912</v>
      </c>
      <c r="CE149" s="62">
        <f t="shared" si="148"/>
        <v>285.83623046025156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5.6843418860808015E-14</v>
      </c>
      <c r="CU149" s="18">
        <f>CT149*VLOOKUP('Données projet'!$B$13,Paramètres!$A$1:$I$89,3,0)*VLOOKUP('Données projet'!$B$13,Paramètres!$A$1:$I$89,5,0)</f>
        <v>4.4337866711430253E-14</v>
      </c>
      <c r="CV149" s="14">
        <f t="shared" si="149"/>
        <v>7.3222115536967035E-13</v>
      </c>
      <c r="CW149" s="22">
        <f t="shared" si="121"/>
        <v>1.3525069634579169E-12</v>
      </c>
      <c r="CX149" s="62">
        <f t="shared" si="122"/>
        <v>293.33333333333468</v>
      </c>
      <c r="CY149" s="62">
        <f ca="1">AVERAGE(OFFSET($CX$3,0,0,'Données projet'!$E$13+1,1))-AVERAGE(OFFSET($H$3,0,0,'Données projet'!$E$13+1,1))</f>
        <v>289.19475369871481</v>
      </c>
      <c r="CZ149" s="62">
        <f t="shared" si="150"/>
        <v>283.48738729114024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3.979039320256561E-13</v>
      </c>
      <c r="DP149" s="18">
        <f>DO149*VLOOKUP('Données projet'!$B$14,Paramètres!$A$1:$I$89,3,0)*VLOOKUP('Données projet'!$B$14,Paramètres!$A$1:$I$89,5,0)</f>
        <v>2.669139576028101E-13</v>
      </c>
      <c r="DQ149" s="14">
        <f t="shared" si="151"/>
        <v>3.5767923834585247E-12</v>
      </c>
      <c r="DR149" s="22">
        <f t="shared" si="124"/>
        <v>6.6944552106818241E-12</v>
      </c>
      <c r="DS149" s="62">
        <f t="shared" si="125"/>
        <v>293.33333333334002</v>
      </c>
      <c r="DT149" s="62">
        <f ca="1">AVERAGE(OFFSET($DS$3,0,0,'Données projet'!$E$14+1,1))-AVERAGE(OFFSET($H$3,0,0,'Données projet'!$E$14+1,1))</f>
        <v>343.33067866534634</v>
      </c>
      <c r="DU149" s="62">
        <f t="shared" si="152"/>
        <v>261.91036689641402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2">
        <f t="shared" si="109"/>
        <v>852.43264759787166</v>
      </c>
      <c r="S150" s="62">
        <f ca="1">AVERAGE(OFFSET($R$3,0,0,'Données projet'!$E$9+1,1))-AVERAGE(OFFSET($H$3,0,0,'Données projet'!$E$9+1,1))</f>
        <v>428.8489304403459</v>
      </c>
      <c r="T150" s="62">
        <f t="shared" si="142"/>
        <v>247.01165577562966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2">
        <f t="shared" si="113"/>
        <v>918.30484631513332</v>
      </c>
      <c r="AN150" s="62">
        <f ca="1">AVERAGE(OFFSET($AM$3,0,0,'Données projet'!$E$10+1,1))-AVERAGE(OFFSET($H$3,0,0,'Données projet'!$E$10+1,1))</f>
        <v>475.47920969424894</v>
      </c>
      <c r="AO150" s="62">
        <f t="shared" si="144"/>
        <v>271.73544012419364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276.42575999999912</v>
      </c>
      <c r="BF150" s="14">
        <f t="shared" si="145"/>
        <v>66.211105372509707</v>
      </c>
      <c r="BG150" s="22">
        <f t="shared" si="115"/>
        <v>596.75920719045291</v>
      </c>
      <c r="BH150" s="62">
        <f t="shared" si="116"/>
        <v>890.09254052378628</v>
      </c>
      <c r="BI150" s="62">
        <f ca="1">AVERAGE(OFFSET($BH$3,0,0,'Données projet'!$E$11+1,1))-AVERAGE(OFFSET($H$3,0,0,'Données projet'!$E$11+1,1))</f>
        <v>455.50822833641354</v>
      </c>
      <c r="BJ150" s="62">
        <f t="shared" si="146"/>
        <v>261.14722581688039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307.63511999999901</v>
      </c>
      <c r="CA150" s="14">
        <f t="shared" si="147"/>
        <v>72.774729201093322</v>
      </c>
      <c r="CB150" s="22">
        <f t="shared" si="118"/>
        <v>662.54715402523584</v>
      </c>
      <c r="CC150" s="62">
        <f t="shared" si="119"/>
        <v>955.8804873585691</v>
      </c>
      <c r="CD150" s="62">
        <f ca="1">AVERAGE(OFFSET($CC$3,0,0,'Données projet'!$E$12+1,1))-AVERAGE(OFFSET($H$3,0,0,'Données projet'!$E$12+1,1))</f>
        <v>502.07782026233912</v>
      </c>
      <c r="CE150" s="62">
        <f t="shared" si="148"/>
        <v>285.83623046025156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5.6843418860808015E-14</v>
      </c>
      <c r="CU150" s="18">
        <f>CT150*VLOOKUP('Données projet'!$B$13,Paramètres!$A$1:$I$89,3,0)*VLOOKUP('Données projet'!$B$13,Paramètres!$A$1:$I$89,5,0)</f>
        <v>4.4337866711430253E-14</v>
      </c>
      <c r="CV150" s="14">
        <f t="shared" si="149"/>
        <v>7.3222115536967035E-13</v>
      </c>
      <c r="CW150" s="22">
        <f t="shared" si="121"/>
        <v>1.3525069634579169E-12</v>
      </c>
      <c r="CX150" s="62">
        <f t="shared" si="122"/>
        <v>293.33333333333468</v>
      </c>
      <c r="CY150" s="62">
        <f ca="1">AVERAGE(OFFSET($CX$3,0,0,'Données projet'!$E$13+1,1))-AVERAGE(OFFSET($H$3,0,0,'Données projet'!$E$13+1,1))</f>
        <v>289.19475369871481</v>
      </c>
      <c r="CZ150" s="62">
        <f t="shared" si="150"/>
        <v>283.48738729114024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3.979039320256561E-13</v>
      </c>
      <c r="DP150" s="18">
        <f>DO150*VLOOKUP('Données projet'!$B$14,Paramètres!$A$1:$I$89,3,0)*VLOOKUP('Données projet'!$B$14,Paramètres!$A$1:$I$89,5,0)</f>
        <v>2.669139576028101E-13</v>
      </c>
      <c r="DQ150" s="14">
        <f t="shared" si="151"/>
        <v>3.5767923834585247E-12</v>
      </c>
      <c r="DR150" s="22">
        <f t="shared" si="124"/>
        <v>6.6944552106818241E-12</v>
      </c>
      <c r="DS150" s="62">
        <f t="shared" si="125"/>
        <v>293.33333333334002</v>
      </c>
      <c r="DT150" s="62">
        <f ca="1">AVERAGE(OFFSET($DS$3,0,0,'Données projet'!$E$14+1,1))-AVERAGE(OFFSET($H$3,0,0,'Données projet'!$E$14+1,1))</f>
        <v>343.33067866534634</v>
      </c>
      <c r="DU150" s="62">
        <f t="shared" si="152"/>
        <v>261.91036689641402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2">
        <f t="shared" si="109"/>
        <v>857.02101155317064</v>
      </c>
      <c r="S151" s="62">
        <f ca="1">AVERAGE(OFFSET($R$3,0,0,'Données projet'!$E$9+1,1))-AVERAGE(OFFSET($H$3,0,0,'Données projet'!$E$9+1,1))</f>
        <v>428.8489304403459</v>
      </c>
      <c r="T151" s="62">
        <f t="shared" si="142"/>
        <v>247.01165577562966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2">
        <f t="shared" si="113"/>
        <v>923.43507275382922</v>
      </c>
      <c r="AN151" s="62">
        <f ca="1">AVERAGE(OFFSET($AM$3,0,0,'Données projet'!$E$10+1,1))-AVERAGE(OFFSET($H$3,0,0,'Données projet'!$E$10+1,1))</f>
        <v>475.47920969424894</v>
      </c>
      <c r="AO151" s="62">
        <f t="shared" si="144"/>
        <v>271.73544012419364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278.74703999999912</v>
      </c>
      <c r="BF151" s="14">
        <f t="shared" si="145"/>
        <v>66.702153339553078</v>
      </c>
      <c r="BG151" s="22">
        <f t="shared" si="115"/>
        <v>601.65734506638671</v>
      </c>
      <c r="BH151" s="62">
        <f t="shared" si="116"/>
        <v>894.99067839972008</v>
      </c>
      <c r="BI151" s="62">
        <f ca="1">AVERAGE(OFFSET($BH$3,0,0,'Données projet'!$E$11+1,1))-AVERAGE(OFFSET($H$3,0,0,'Données projet'!$E$11+1,1))</f>
        <v>455.50822833641354</v>
      </c>
      <c r="BJ151" s="62">
        <f t="shared" si="146"/>
        <v>261.14722581688039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310.21847999999898</v>
      </c>
      <c r="CA151" s="14">
        <f t="shared" si="147"/>
        <v>73.314455620479777</v>
      </c>
      <c r="CB151" s="22">
        <f t="shared" si="118"/>
        <v>667.98652953900034</v>
      </c>
      <c r="CC151" s="62">
        <f t="shared" si="119"/>
        <v>961.31986287233372</v>
      </c>
      <c r="CD151" s="62">
        <f ca="1">AVERAGE(OFFSET($CC$3,0,0,'Données projet'!$E$12+1,1))-AVERAGE(OFFSET($H$3,0,0,'Données projet'!$E$12+1,1))</f>
        <v>502.07782026233912</v>
      </c>
      <c r="CE151" s="62">
        <f t="shared" si="148"/>
        <v>285.83623046025156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5.6843418860808015E-14</v>
      </c>
      <c r="CU151" s="18">
        <f>CT151*VLOOKUP('Données projet'!$B$13,Paramètres!$A$1:$I$89,3,0)*VLOOKUP('Données projet'!$B$13,Paramètres!$A$1:$I$89,5,0)</f>
        <v>4.4337866711430253E-14</v>
      </c>
      <c r="CV151" s="14">
        <f t="shared" si="149"/>
        <v>7.3222115536967035E-13</v>
      </c>
      <c r="CW151" s="22">
        <f t="shared" si="121"/>
        <v>1.3525069634579169E-12</v>
      </c>
      <c r="CX151" s="62">
        <f t="shared" si="122"/>
        <v>293.33333333333468</v>
      </c>
      <c r="CY151" s="62">
        <f ca="1">AVERAGE(OFFSET($CX$3,0,0,'Données projet'!$E$13+1,1))-AVERAGE(OFFSET($H$3,0,0,'Données projet'!$E$13+1,1))</f>
        <v>289.19475369871481</v>
      </c>
      <c r="CZ151" s="62">
        <f t="shared" si="150"/>
        <v>283.48738729114024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3.979039320256561E-13</v>
      </c>
      <c r="DP151" s="18">
        <f>DO151*VLOOKUP('Données projet'!$B$14,Paramètres!$A$1:$I$89,3,0)*VLOOKUP('Données projet'!$B$14,Paramètres!$A$1:$I$89,5,0)</f>
        <v>2.669139576028101E-13</v>
      </c>
      <c r="DQ151" s="14">
        <f t="shared" si="151"/>
        <v>3.5767923834585247E-12</v>
      </c>
      <c r="DR151" s="22">
        <f t="shared" si="124"/>
        <v>6.6944552106818241E-12</v>
      </c>
      <c r="DS151" s="62">
        <f t="shared" si="125"/>
        <v>293.33333333334002</v>
      </c>
      <c r="DT151" s="62">
        <f ca="1">AVERAGE(OFFSET($DS$3,0,0,'Données projet'!$E$14+1,1))-AVERAGE(OFFSET($H$3,0,0,'Données projet'!$E$14+1,1))</f>
        <v>343.33067866534634</v>
      </c>
      <c r="DU151" s="62">
        <f t="shared" si="152"/>
        <v>261.91036689641402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2">
        <f t="shared" si="109"/>
        <v>861.60859430939354</v>
      </c>
      <c r="S152" s="62">
        <f ca="1">AVERAGE(OFFSET($R$3,0,0,'Données projet'!$E$9+1,1))-AVERAGE(OFFSET($H$3,0,0,'Données projet'!$E$9+1,1))</f>
        <v>428.8489304403459</v>
      </c>
      <c r="T152" s="62">
        <f t="shared" si="142"/>
        <v>247.01165577562966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2">
        <f t="shared" si="113"/>
        <v>928.56443524575025</v>
      </c>
      <c r="AN152" s="62">
        <f ca="1">AVERAGE(OFFSET($AM$3,0,0,'Données projet'!$E$10+1,1))-AVERAGE(OFFSET($H$3,0,0,'Données projet'!$E$10+1,1))</f>
        <v>475.47920969424894</v>
      </c>
      <c r="AO152" s="62">
        <f t="shared" si="144"/>
        <v>271.73544012419364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281.06831999999906</v>
      </c>
      <c r="BF152" s="14">
        <f t="shared" si="145"/>
        <v>67.192725545416479</v>
      </c>
      <c r="BG152" s="22">
        <f t="shared" si="115"/>
        <v>606.55465432493213</v>
      </c>
      <c r="BH152" s="62">
        <f t="shared" si="116"/>
        <v>899.8879876582655</v>
      </c>
      <c r="BI152" s="62">
        <f ca="1">AVERAGE(OFFSET($BH$3,0,0,'Données projet'!$E$11+1,1))-AVERAGE(OFFSET($H$3,0,0,'Données projet'!$E$11+1,1))</f>
        <v>455.50822833641354</v>
      </c>
      <c r="BJ152" s="62">
        <f t="shared" si="146"/>
        <v>261.14722581688039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312.80183999999895</v>
      </c>
      <c r="CA152" s="14">
        <f t="shared" si="147"/>
        <v>73.853659115640198</v>
      </c>
      <c r="CB152" s="22">
        <f t="shared" si="118"/>
        <v>673.42499429307145</v>
      </c>
      <c r="CC152" s="62">
        <f t="shared" si="119"/>
        <v>966.75832762640471</v>
      </c>
      <c r="CD152" s="62">
        <f ca="1">AVERAGE(OFFSET($CC$3,0,0,'Données projet'!$E$12+1,1))-AVERAGE(OFFSET($H$3,0,0,'Données projet'!$E$12+1,1))</f>
        <v>502.07782026233912</v>
      </c>
      <c r="CE152" s="62">
        <f t="shared" si="148"/>
        <v>285.83623046025156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5.6843418860808015E-14</v>
      </c>
      <c r="CU152" s="18">
        <f>CT152*VLOOKUP('Données projet'!$B$13,Paramètres!$A$1:$I$89,3,0)*VLOOKUP('Données projet'!$B$13,Paramètres!$A$1:$I$89,5,0)</f>
        <v>4.4337866711430253E-14</v>
      </c>
      <c r="CV152" s="14">
        <f t="shared" si="149"/>
        <v>7.3222115536967035E-13</v>
      </c>
      <c r="CW152" s="22">
        <f t="shared" si="121"/>
        <v>1.3525069634579169E-12</v>
      </c>
      <c r="CX152" s="62">
        <f t="shared" si="122"/>
        <v>293.33333333333468</v>
      </c>
      <c r="CY152" s="62">
        <f ca="1">AVERAGE(OFFSET($CX$3,0,0,'Données projet'!$E$13+1,1))-AVERAGE(OFFSET($H$3,0,0,'Données projet'!$E$13+1,1))</f>
        <v>289.19475369871481</v>
      </c>
      <c r="CZ152" s="62">
        <f t="shared" si="150"/>
        <v>283.48738729114024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3.979039320256561E-13</v>
      </c>
      <c r="DP152" s="18">
        <f>DO152*VLOOKUP('Données projet'!$B$14,Paramètres!$A$1:$I$89,3,0)*VLOOKUP('Données projet'!$B$14,Paramètres!$A$1:$I$89,5,0)</f>
        <v>2.669139576028101E-13</v>
      </c>
      <c r="DQ152" s="14">
        <f t="shared" si="151"/>
        <v>3.5767923834585247E-12</v>
      </c>
      <c r="DR152" s="22">
        <f t="shared" si="124"/>
        <v>6.6944552106818241E-12</v>
      </c>
      <c r="DS152" s="62">
        <f t="shared" si="125"/>
        <v>293.33333333334002</v>
      </c>
      <c r="DT152" s="62">
        <f ca="1">AVERAGE(OFFSET($DS$3,0,0,'Données projet'!$E$14+1,1))-AVERAGE(OFFSET($H$3,0,0,'Données projet'!$E$14+1,1))</f>
        <v>343.33067866534634</v>
      </c>
      <c r="DU152" s="62">
        <f t="shared" si="152"/>
        <v>261.91036689641402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2">
        <f t="shared" si="109"/>
        <v>866.19540306597469</v>
      </c>
      <c r="S153" s="62">
        <f ca="1">AVERAGE(OFFSET($R$3,0,0,'Données projet'!$E$9+1,1))-AVERAGE(OFFSET($H$3,0,0,'Données projet'!$E$9+1,1))</f>
        <v>428.8489304403459</v>
      </c>
      <c r="T153" s="62">
        <f t="shared" si="142"/>
        <v>247.01165577562966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2">
        <f t="shared" si="113"/>
        <v>933.69294175292316</v>
      </c>
      <c r="AN153" s="62">
        <f ca="1">AVERAGE(OFFSET($AM$3,0,0,'Données projet'!$E$10+1,1))-AVERAGE(OFFSET($H$3,0,0,'Données projet'!$E$10+1,1))</f>
        <v>475.47920969424894</v>
      </c>
      <c r="AO153" s="62">
        <f t="shared" si="144"/>
        <v>271.73544012419364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283.38959999999906</v>
      </c>
      <c r="BF153" s="14">
        <f t="shared" si="145"/>
        <v>67.682826374656187</v>
      </c>
      <c r="BG153" s="22">
        <f t="shared" si="115"/>
        <v>611.45114260252456</v>
      </c>
      <c r="BH153" s="62">
        <f t="shared" si="116"/>
        <v>904.78447593585793</v>
      </c>
      <c r="BI153" s="62">
        <f ca="1">AVERAGE(OFFSET($BH$3,0,0,'Données projet'!$E$11+1,1))-AVERAGE(OFFSET($H$3,0,0,'Données projet'!$E$11+1,1))</f>
        <v>455.50822833641354</v>
      </c>
      <c r="BJ153" s="62">
        <f t="shared" si="146"/>
        <v>261.14722581688039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315.38519999999892</v>
      </c>
      <c r="CA153" s="14">
        <f t="shared" si="147"/>
        <v>74.392344505779604</v>
      </c>
      <c r="CB153" s="22">
        <f t="shared" si="118"/>
        <v>678.86255668089746</v>
      </c>
      <c r="CC153" s="62">
        <f t="shared" si="119"/>
        <v>972.19589001423083</v>
      </c>
      <c r="CD153" s="62">
        <f ca="1">AVERAGE(OFFSET($CC$3,0,0,'Données projet'!$E$12+1,1))-AVERAGE(OFFSET($H$3,0,0,'Données projet'!$E$12+1,1))</f>
        <v>502.07782026233912</v>
      </c>
      <c r="CE153" s="62">
        <f t="shared" si="148"/>
        <v>285.83623046025156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5.6843418860808015E-14</v>
      </c>
      <c r="CU153" s="18">
        <f>CT153*VLOOKUP('Données projet'!$B$13,Paramètres!$A$1:$I$89,3,0)*VLOOKUP('Données projet'!$B$13,Paramètres!$A$1:$I$89,5,0)</f>
        <v>4.4337866711430253E-14</v>
      </c>
      <c r="CV153" s="14">
        <f t="shared" si="149"/>
        <v>7.3222115536967035E-13</v>
      </c>
      <c r="CW153" s="22">
        <f t="shared" si="121"/>
        <v>1.3525069634579169E-12</v>
      </c>
      <c r="CX153" s="62">
        <f t="shared" si="122"/>
        <v>293.33333333333468</v>
      </c>
      <c r="CY153" s="62">
        <f ca="1">AVERAGE(OFFSET($CX$3,0,0,'Données projet'!$E$13+1,1))-AVERAGE(OFFSET($H$3,0,0,'Données projet'!$E$13+1,1))</f>
        <v>289.19475369871481</v>
      </c>
      <c r="CZ153" s="62">
        <f t="shared" si="150"/>
        <v>283.48738729114024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3.979039320256561E-13</v>
      </c>
      <c r="DP153" s="18">
        <f>DO153*VLOOKUP('Données projet'!$B$14,Paramètres!$A$1:$I$89,3,0)*VLOOKUP('Données projet'!$B$14,Paramètres!$A$1:$I$89,5,0)</f>
        <v>2.669139576028101E-13</v>
      </c>
      <c r="DQ153" s="14">
        <f t="shared" si="151"/>
        <v>3.5767923834585247E-12</v>
      </c>
      <c r="DR153" s="22">
        <f t="shared" si="124"/>
        <v>6.6944552106818241E-12</v>
      </c>
      <c r="DS153" s="62">
        <f t="shared" si="125"/>
        <v>293.33333333334002</v>
      </c>
      <c r="DT153" s="62">
        <f ca="1">AVERAGE(OFFSET($DS$3,0,0,'Données projet'!$E$14+1,1))-AVERAGE(OFFSET($H$3,0,0,'Données projet'!$E$14+1,1))</f>
        <v>343.33067866534634</v>
      </c>
      <c r="DU153" s="62">
        <f t="shared" si="152"/>
        <v>261.91036689641402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428.8489304403459</v>
      </c>
      <c r="T154" s="62">
        <f t="shared" si="142"/>
        <v>247.01165577562966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475.47920969424894</v>
      </c>
      <c r="AO154" s="62">
        <f t="shared" si="144"/>
        <v>271.73544012419364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-9.3464223027694966E-13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455.50822833641354</v>
      </c>
      <c r="BJ154" s="62">
        <f t="shared" si="146"/>
        <v>261.14722581688039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-1.0401663530501537E-12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502.07782026233912</v>
      </c>
      <c r="CE154" s="62">
        <f t="shared" si="148"/>
        <v>285.83623046025156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5.6843418860808015E-14</v>
      </c>
      <c r="CU154" s="18">
        <f>CT154*VLOOKUP('Données projet'!$B$13,Paramètres!$A$1:$I$89,3,0)*VLOOKUP('Données projet'!$B$13,Paramètres!$A$1:$I$89,5,0)</f>
        <v>4.4337866711430253E-14</v>
      </c>
      <c r="CV154" s="14">
        <f t="shared" ref="CV154:CV203" si="173">EXP(-1.0587+0.8836*LN(CU154)+0.284)</f>
        <v>7.3222115536967035E-13</v>
      </c>
      <c r="CW154" s="22">
        <f t="shared" ref="CW154:CW203" si="174">(CU154+CV154)*0.475*44/12</f>
        <v>1.3525069634579169E-12</v>
      </c>
      <c r="CX154" s="62">
        <f t="shared" si="122"/>
        <v>293.33333333333468</v>
      </c>
      <c r="CY154" s="62">
        <f ca="1">AVERAGE(OFFSET($CX$3,0,0,'Données projet'!$E$13+1,1))-AVERAGE(OFFSET($H$3,0,0,'Données projet'!$E$13+1,1))</f>
        <v>289.19475369871481</v>
      </c>
      <c r="CZ154" s="62">
        <f t="shared" si="150"/>
        <v>283.48738729114024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3.979039320256561E-13</v>
      </c>
      <c r="DP154" s="18">
        <f>DO154*VLOOKUP('Données projet'!$B$14,Paramètres!$A$1:$I$89,3,0)*VLOOKUP('Données projet'!$B$14,Paramètres!$A$1:$I$89,5,0)</f>
        <v>2.669139576028101E-13</v>
      </c>
      <c r="DQ154" s="14">
        <f t="shared" ref="DQ154:DQ203" si="176">EXP(-1.0587+0.8836*LN(DP154)+0.284)</f>
        <v>3.5767923834585247E-12</v>
      </c>
      <c r="DR154" s="22">
        <f t="shared" ref="DR154:DR203" si="177">(DP154+DQ154)*0.475*44/12</f>
        <v>6.6944552106818241E-12</v>
      </c>
      <c r="DS154" s="62">
        <f t="shared" si="125"/>
        <v>293.33333333334002</v>
      </c>
      <c r="DT154" s="62">
        <f ca="1">AVERAGE(OFFSET($DS$3,0,0,'Données projet'!$E$14+1,1))-AVERAGE(OFFSET($H$3,0,0,'Données projet'!$E$14+1,1))</f>
        <v>343.33067866534634</v>
      </c>
      <c r="DU154" s="62">
        <f t="shared" si="152"/>
        <v>261.91036689641402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428.8489304403459</v>
      </c>
      <c r="T155" s="62">
        <f t="shared" si="142"/>
        <v>247.01165577562966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475.47920969424894</v>
      </c>
      <c r="AO155" s="62">
        <f t="shared" si="144"/>
        <v>271.73544012419364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-9.3464223027694966E-13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455.50822833641354</v>
      </c>
      <c r="BJ155" s="62">
        <f t="shared" si="146"/>
        <v>261.14722581688039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-1.0401663530501537E-12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502.07782026233912</v>
      </c>
      <c r="CE155" s="62">
        <f t="shared" si="148"/>
        <v>285.83623046025156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5.6843418860808015E-14</v>
      </c>
      <c r="CU155" s="18">
        <f>CT155*VLOOKUP('Données projet'!$B$13,Paramètres!$A$1:$I$89,3,0)*VLOOKUP('Données projet'!$B$13,Paramètres!$A$1:$I$89,5,0)</f>
        <v>4.4337866711430253E-14</v>
      </c>
      <c r="CV155" s="14">
        <f t="shared" si="173"/>
        <v>7.3222115536967035E-13</v>
      </c>
      <c r="CW155" s="22">
        <f t="shared" si="174"/>
        <v>1.3525069634579169E-12</v>
      </c>
      <c r="CX155" s="62">
        <f t="shared" si="122"/>
        <v>293.33333333333468</v>
      </c>
      <c r="CY155" s="62">
        <f ca="1">AVERAGE(OFFSET($CX$3,0,0,'Données projet'!$E$13+1,1))-AVERAGE(OFFSET($H$3,0,0,'Données projet'!$E$13+1,1))</f>
        <v>289.19475369871481</v>
      </c>
      <c r="CZ155" s="62">
        <f t="shared" si="150"/>
        <v>283.48738729114024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3.979039320256561E-13</v>
      </c>
      <c r="DP155" s="18">
        <f>DO155*VLOOKUP('Données projet'!$B$14,Paramètres!$A$1:$I$89,3,0)*VLOOKUP('Données projet'!$B$14,Paramètres!$A$1:$I$89,5,0)</f>
        <v>2.669139576028101E-13</v>
      </c>
      <c r="DQ155" s="14">
        <f t="shared" si="176"/>
        <v>3.5767923834585247E-12</v>
      </c>
      <c r="DR155" s="22">
        <f t="shared" si="177"/>
        <v>6.6944552106818241E-12</v>
      </c>
      <c r="DS155" s="62">
        <f t="shared" si="125"/>
        <v>293.33333333334002</v>
      </c>
      <c r="DT155" s="62">
        <f ca="1">AVERAGE(OFFSET($DS$3,0,0,'Données projet'!$E$14+1,1))-AVERAGE(OFFSET($H$3,0,0,'Données projet'!$E$14+1,1))</f>
        <v>343.33067866534634</v>
      </c>
      <c r="DU155" s="62">
        <f t="shared" si="152"/>
        <v>261.91036689641402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428.8489304403459</v>
      </c>
      <c r="T156" s="62">
        <f t="shared" si="142"/>
        <v>247.01165577562966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475.47920969424894</v>
      </c>
      <c r="AO156" s="62">
        <f t="shared" si="144"/>
        <v>271.73544012419364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-9.3464223027694966E-13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455.50822833641354</v>
      </c>
      <c r="BJ156" s="62">
        <f t="shared" si="146"/>
        <v>261.14722581688039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-1.0401663530501537E-12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502.07782026233912</v>
      </c>
      <c r="CE156" s="62">
        <f t="shared" si="148"/>
        <v>285.83623046025156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5.6843418860808015E-14</v>
      </c>
      <c r="CU156" s="18">
        <f>CT156*VLOOKUP('Données projet'!$B$13,Paramètres!$A$1:$I$89,3,0)*VLOOKUP('Données projet'!$B$13,Paramètres!$A$1:$I$89,5,0)</f>
        <v>4.4337866711430253E-14</v>
      </c>
      <c r="CV156" s="14">
        <f t="shared" si="173"/>
        <v>7.3222115536967035E-13</v>
      </c>
      <c r="CW156" s="22">
        <f t="shared" si="174"/>
        <v>1.3525069634579169E-12</v>
      </c>
      <c r="CX156" s="62">
        <f t="shared" si="122"/>
        <v>293.33333333333468</v>
      </c>
      <c r="CY156" s="62">
        <f ca="1">AVERAGE(OFFSET($CX$3,0,0,'Données projet'!$E$13+1,1))-AVERAGE(OFFSET($H$3,0,0,'Données projet'!$E$13+1,1))</f>
        <v>289.19475369871481</v>
      </c>
      <c r="CZ156" s="62">
        <f t="shared" si="150"/>
        <v>283.48738729114024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3.979039320256561E-13</v>
      </c>
      <c r="DP156" s="18">
        <f>DO156*VLOOKUP('Données projet'!$B$14,Paramètres!$A$1:$I$89,3,0)*VLOOKUP('Données projet'!$B$14,Paramètres!$A$1:$I$89,5,0)</f>
        <v>2.669139576028101E-13</v>
      </c>
      <c r="DQ156" s="14">
        <f t="shared" si="176"/>
        <v>3.5767923834585247E-12</v>
      </c>
      <c r="DR156" s="22">
        <f t="shared" si="177"/>
        <v>6.6944552106818241E-12</v>
      </c>
      <c r="DS156" s="62">
        <f t="shared" si="125"/>
        <v>293.33333333334002</v>
      </c>
      <c r="DT156" s="62">
        <f ca="1">AVERAGE(OFFSET($DS$3,0,0,'Données projet'!$E$14+1,1))-AVERAGE(OFFSET($H$3,0,0,'Données projet'!$E$14+1,1))</f>
        <v>343.33067866534634</v>
      </c>
      <c r="DU156" s="62">
        <f t="shared" si="152"/>
        <v>261.91036689641402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428.8489304403459</v>
      </c>
      <c r="T157" s="62">
        <f t="shared" si="142"/>
        <v>247.01165577562966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475.47920969424894</v>
      </c>
      <c r="AO157" s="62">
        <f t="shared" si="144"/>
        <v>271.73544012419364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-9.3464223027694966E-13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455.50822833641354</v>
      </c>
      <c r="BJ157" s="62">
        <f t="shared" si="146"/>
        <v>261.14722581688039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-1.0401663530501537E-12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502.07782026233912</v>
      </c>
      <c r="CE157" s="62">
        <f t="shared" si="148"/>
        <v>285.83623046025156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5.6843418860808015E-14</v>
      </c>
      <c r="CU157" s="18">
        <f>CT157*VLOOKUP('Données projet'!$B$13,Paramètres!$A$1:$I$89,3,0)*VLOOKUP('Données projet'!$B$13,Paramètres!$A$1:$I$89,5,0)</f>
        <v>4.4337866711430253E-14</v>
      </c>
      <c r="CV157" s="14">
        <f t="shared" si="173"/>
        <v>7.3222115536967035E-13</v>
      </c>
      <c r="CW157" s="22">
        <f t="shared" si="174"/>
        <v>1.3525069634579169E-12</v>
      </c>
      <c r="CX157" s="62">
        <f t="shared" si="122"/>
        <v>293.33333333333468</v>
      </c>
      <c r="CY157" s="62">
        <f ca="1">AVERAGE(OFFSET($CX$3,0,0,'Données projet'!$E$13+1,1))-AVERAGE(OFFSET($H$3,0,0,'Données projet'!$E$13+1,1))</f>
        <v>289.19475369871481</v>
      </c>
      <c r="CZ157" s="62">
        <f t="shared" si="150"/>
        <v>283.48738729114024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3.979039320256561E-13</v>
      </c>
      <c r="DP157" s="18">
        <f>DO157*VLOOKUP('Données projet'!$B$14,Paramètres!$A$1:$I$89,3,0)*VLOOKUP('Données projet'!$B$14,Paramètres!$A$1:$I$89,5,0)</f>
        <v>2.669139576028101E-13</v>
      </c>
      <c r="DQ157" s="14">
        <f t="shared" si="176"/>
        <v>3.5767923834585247E-12</v>
      </c>
      <c r="DR157" s="22">
        <f t="shared" si="177"/>
        <v>6.6944552106818241E-12</v>
      </c>
      <c r="DS157" s="62">
        <f t="shared" si="125"/>
        <v>293.33333333334002</v>
      </c>
      <c r="DT157" s="62">
        <f ca="1">AVERAGE(OFFSET($DS$3,0,0,'Données projet'!$E$14+1,1))-AVERAGE(OFFSET($H$3,0,0,'Données projet'!$E$14+1,1))</f>
        <v>343.33067866534634</v>
      </c>
      <c r="DU157" s="62">
        <f t="shared" si="152"/>
        <v>261.91036689641402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428.8489304403459</v>
      </c>
      <c r="T158" s="62">
        <f t="shared" si="142"/>
        <v>247.01165577562966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475.47920969424894</v>
      </c>
      <c r="AO158" s="62">
        <f t="shared" si="144"/>
        <v>271.73544012419364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-9.3464223027694966E-13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455.50822833641354</v>
      </c>
      <c r="BJ158" s="62">
        <f t="shared" si="146"/>
        <v>261.14722581688039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-1.0401663530501537E-12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502.07782026233912</v>
      </c>
      <c r="CE158" s="62">
        <f t="shared" si="148"/>
        <v>285.83623046025156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5.6843418860808015E-14</v>
      </c>
      <c r="CU158" s="18">
        <f>CT158*VLOOKUP('Données projet'!$B$13,Paramètres!$A$1:$I$89,3,0)*VLOOKUP('Données projet'!$B$13,Paramètres!$A$1:$I$89,5,0)</f>
        <v>4.4337866711430253E-14</v>
      </c>
      <c r="CV158" s="14">
        <f t="shared" si="173"/>
        <v>7.3222115536967035E-13</v>
      </c>
      <c r="CW158" s="22">
        <f t="shared" si="174"/>
        <v>1.3525069634579169E-12</v>
      </c>
      <c r="CX158" s="62">
        <f t="shared" si="122"/>
        <v>293.33333333333468</v>
      </c>
      <c r="CY158" s="62">
        <f ca="1">AVERAGE(OFFSET($CX$3,0,0,'Données projet'!$E$13+1,1))-AVERAGE(OFFSET($H$3,0,0,'Données projet'!$E$13+1,1))</f>
        <v>289.19475369871481</v>
      </c>
      <c r="CZ158" s="62">
        <f t="shared" si="150"/>
        <v>283.48738729114024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3.979039320256561E-13</v>
      </c>
      <c r="DP158" s="18">
        <f>DO158*VLOOKUP('Données projet'!$B$14,Paramètres!$A$1:$I$89,3,0)*VLOOKUP('Données projet'!$B$14,Paramètres!$A$1:$I$89,5,0)</f>
        <v>2.669139576028101E-13</v>
      </c>
      <c r="DQ158" s="14">
        <f t="shared" si="176"/>
        <v>3.5767923834585247E-12</v>
      </c>
      <c r="DR158" s="22">
        <f t="shared" si="177"/>
        <v>6.6944552106818241E-12</v>
      </c>
      <c r="DS158" s="62">
        <f t="shared" si="125"/>
        <v>293.33333333334002</v>
      </c>
      <c r="DT158" s="62">
        <f ca="1">AVERAGE(OFFSET($DS$3,0,0,'Données projet'!$E$14+1,1))-AVERAGE(OFFSET($H$3,0,0,'Données projet'!$E$14+1,1))</f>
        <v>343.33067866534634</v>
      </c>
      <c r="DU158" s="62">
        <f t="shared" si="152"/>
        <v>261.91036689641402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428.8489304403459</v>
      </c>
      <c r="T159" s="62">
        <f t="shared" si="142"/>
        <v>247.01165577562966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475.47920969424894</v>
      </c>
      <c r="AO159" s="62">
        <f t="shared" si="144"/>
        <v>271.73544012419364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-9.3464223027694966E-13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455.50822833641354</v>
      </c>
      <c r="BJ159" s="62">
        <f t="shared" si="146"/>
        <v>261.14722581688039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-1.0401663530501537E-12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502.07782026233912</v>
      </c>
      <c r="CE159" s="62">
        <f t="shared" si="148"/>
        <v>285.83623046025156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5.6843418860808015E-14</v>
      </c>
      <c r="CU159" s="18">
        <f>CT159*VLOOKUP('Données projet'!$B$13,Paramètres!$A$1:$I$89,3,0)*VLOOKUP('Données projet'!$B$13,Paramètres!$A$1:$I$89,5,0)</f>
        <v>4.4337866711430253E-14</v>
      </c>
      <c r="CV159" s="14">
        <f t="shared" si="173"/>
        <v>7.3222115536967035E-13</v>
      </c>
      <c r="CW159" s="22">
        <f t="shared" si="174"/>
        <v>1.3525069634579169E-12</v>
      </c>
      <c r="CX159" s="62">
        <f t="shared" si="122"/>
        <v>293.33333333333468</v>
      </c>
      <c r="CY159" s="62">
        <f ca="1">AVERAGE(OFFSET($CX$3,0,0,'Données projet'!$E$13+1,1))-AVERAGE(OFFSET($H$3,0,0,'Données projet'!$E$13+1,1))</f>
        <v>289.19475369871481</v>
      </c>
      <c r="CZ159" s="62">
        <f t="shared" si="150"/>
        <v>283.48738729114024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3.979039320256561E-13</v>
      </c>
      <c r="DP159" s="18">
        <f>DO159*VLOOKUP('Données projet'!$B$14,Paramètres!$A$1:$I$89,3,0)*VLOOKUP('Données projet'!$B$14,Paramètres!$A$1:$I$89,5,0)</f>
        <v>2.669139576028101E-13</v>
      </c>
      <c r="DQ159" s="14">
        <f t="shared" si="176"/>
        <v>3.5767923834585247E-12</v>
      </c>
      <c r="DR159" s="22">
        <f t="shared" si="177"/>
        <v>6.6944552106818241E-12</v>
      </c>
      <c r="DS159" s="62">
        <f t="shared" si="125"/>
        <v>293.33333333334002</v>
      </c>
      <c r="DT159" s="62">
        <f ca="1">AVERAGE(OFFSET($DS$3,0,0,'Données projet'!$E$14+1,1))-AVERAGE(OFFSET($H$3,0,0,'Données projet'!$E$14+1,1))</f>
        <v>343.33067866534634</v>
      </c>
      <c r="DU159" s="62">
        <f t="shared" si="152"/>
        <v>261.91036689641402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428.8489304403459</v>
      </c>
      <c r="T160" s="62">
        <f t="shared" si="142"/>
        <v>247.01165577562966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475.47920969424894</v>
      </c>
      <c r="AO160" s="62">
        <f t="shared" si="144"/>
        <v>271.73544012419364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-9.3464223027694966E-13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455.50822833641354</v>
      </c>
      <c r="BJ160" s="62">
        <f t="shared" si="146"/>
        <v>261.14722581688039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-1.0401663530501537E-12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502.07782026233912</v>
      </c>
      <c r="CE160" s="62">
        <f t="shared" si="148"/>
        <v>285.83623046025156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5.6843418860808015E-14</v>
      </c>
      <c r="CU160" s="18">
        <f>CT160*VLOOKUP('Données projet'!$B$13,Paramètres!$A$1:$I$89,3,0)*VLOOKUP('Données projet'!$B$13,Paramètres!$A$1:$I$89,5,0)</f>
        <v>4.4337866711430253E-14</v>
      </c>
      <c r="CV160" s="14">
        <f t="shared" si="173"/>
        <v>7.3222115536967035E-13</v>
      </c>
      <c r="CW160" s="22">
        <f t="shared" si="174"/>
        <v>1.3525069634579169E-12</v>
      </c>
      <c r="CX160" s="62">
        <f t="shared" si="122"/>
        <v>293.33333333333468</v>
      </c>
      <c r="CY160" s="62">
        <f ca="1">AVERAGE(OFFSET($CX$3,0,0,'Données projet'!$E$13+1,1))-AVERAGE(OFFSET($H$3,0,0,'Données projet'!$E$13+1,1))</f>
        <v>289.19475369871481</v>
      </c>
      <c r="CZ160" s="62">
        <f t="shared" si="150"/>
        <v>283.48738729114024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3.979039320256561E-13</v>
      </c>
      <c r="DP160" s="18">
        <f>DO160*VLOOKUP('Données projet'!$B$14,Paramètres!$A$1:$I$89,3,0)*VLOOKUP('Données projet'!$B$14,Paramètres!$A$1:$I$89,5,0)</f>
        <v>2.669139576028101E-13</v>
      </c>
      <c r="DQ160" s="14">
        <f t="shared" si="176"/>
        <v>3.5767923834585247E-12</v>
      </c>
      <c r="DR160" s="22">
        <f t="shared" si="177"/>
        <v>6.6944552106818241E-12</v>
      </c>
      <c r="DS160" s="62">
        <f t="shared" si="125"/>
        <v>293.33333333334002</v>
      </c>
      <c r="DT160" s="62">
        <f ca="1">AVERAGE(OFFSET($DS$3,0,0,'Données projet'!$E$14+1,1))-AVERAGE(OFFSET($H$3,0,0,'Données projet'!$E$14+1,1))</f>
        <v>343.33067866534634</v>
      </c>
      <c r="DU160" s="62">
        <f t="shared" si="152"/>
        <v>261.91036689641402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428.8489304403459</v>
      </c>
      <c r="T161" s="62">
        <f t="shared" si="142"/>
        <v>247.01165577562966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475.47920969424894</v>
      </c>
      <c r="AO161" s="62">
        <f t="shared" si="144"/>
        <v>271.73544012419364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-9.3464223027694966E-13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455.50822833641354</v>
      </c>
      <c r="BJ161" s="62">
        <f t="shared" si="146"/>
        <v>261.14722581688039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-1.0401663530501537E-12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502.07782026233912</v>
      </c>
      <c r="CE161" s="62">
        <f t="shared" si="148"/>
        <v>285.83623046025156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5.6843418860808015E-14</v>
      </c>
      <c r="CU161" s="18">
        <f>CT161*VLOOKUP('Données projet'!$B$13,Paramètres!$A$1:$I$89,3,0)*VLOOKUP('Données projet'!$B$13,Paramètres!$A$1:$I$89,5,0)</f>
        <v>4.4337866711430253E-14</v>
      </c>
      <c r="CV161" s="14">
        <f t="shared" si="173"/>
        <v>7.3222115536967035E-13</v>
      </c>
      <c r="CW161" s="22">
        <f t="shared" si="174"/>
        <v>1.3525069634579169E-12</v>
      </c>
      <c r="CX161" s="62">
        <f t="shared" si="122"/>
        <v>293.33333333333468</v>
      </c>
      <c r="CY161" s="62">
        <f ca="1">AVERAGE(OFFSET($CX$3,0,0,'Données projet'!$E$13+1,1))-AVERAGE(OFFSET($H$3,0,0,'Données projet'!$E$13+1,1))</f>
        <v>289.19475369871481</v>
      </c>
      <c r="CZ161" s="62">
        <f t="shared" si="150"/>
        <v>283.48738729114024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3.979039320256561E-13</v>
      </c>
      <c r="DP161" s="18">
        <f>DO161*VLOOKUP('Données projet'!$B$14,Paramètres!$A$1:$I$89,3,0)*VLOOKUP('Données projet'!$B$14,Paramètres!$A$1:$I$89,5,0)</f>
        <v>2.669139576028101E-13</v>
      </c>
      <c r="DQ161" s="14">
        <f t="shared" si="176"/>
        <v>3.5767923834585247E-12</v>
      </c>
      <c r="DR161" s="22">
        <f t="shared" si="177"/>
        <v>6.6944552106818241E-12</v>
      </c>
      <c r="DS161" s="62">
        <f t="shared" si="125"/>
        <v>293.33333333334002</v>
      </c>
      <c r="DT161" s="62">
        <f ca="1">AVERAGE(OFFSET($DS$3,0,0,'Données projet'!$E$14+1,1))-AVERAGE(OFFSET($H$3,0,0,'Données projet'!$E$14+1,1))</f>
        <v>343.33067866534634</v>
      </c>
      <c r="DU161" s="62">
        <f t="shared" si="152"/>
        <v>261.91036689641402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428.8489304403459</v>
      </c>
      <c r="T162" s="62">
        <f t="shared" si="142"/>
        <v>247.01165577562966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475.47920969424894</v>
      </c>
      <c r="AO162" s="62">
        <f t="shared" si="144"/>
        <v>271.73544012419364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-9.3464223027694966E-13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455.50822833641354</v>
      </c>
      <c r="BJ162" s="62">
        <f t="shared" si="146"/>
        <v>261.14722581688039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-1.0401663530501537E-12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502.07782026233912</v>
      </c>
      <c r="CE162" s="62">
        <f t="shared" si="148"/>
        <v>285.83623046025156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5.6843418860808015E-14</v>
      </c>
      <c r="CU162" s="18">
        <f>CT162*VLOOKUP('Données projet'!$B$13,Paramètres!$A$1:$I$89,3,0)*VLOOKUP('Données projet'!$B$13,Paramètres!$A$1:$I$89,5,0)</f>
        <v>4.4337866711430253E-14</v>
      </c>
      <c r="CV162" s="14">
        <f t="shared" si="173"/>
        <v>7.3222115536967035E-13</v>
      </c>
      <c r="CW162" s="22">
        <f t="shared" si="174"/>
        <v>1.3525069634579169E-12</v>
      </c>
      <c r="CX162" s="62">
        <f t="shared" si="122"/>
        <v>293.33333333333468</v>
      </c>
      <c r="CY162" s="62">
        <f ca="1">AVERAGE(OFFSET($CX$3,0,0,'Données projet'!$E$13+1,1))-AVERAGE(OFFSET($H$3,0,0,'Données projet'!$E$13+1,1))</f>
        <v>289.19475369871481</v>
      </c>
      <c r="CZ162" s="62">
        <f t="shared" si="150"/>
        <v>283.48738729114024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3.979039320256561E-13</v>
      </c>
      <c r="DP162" s="18">
        <f>DO162*VLOOKUP('Données projet'!$B$14,Paramètres!$A$1:$I$89,3,0)*VLOOKUP('Données projet'!$B$14,Paramètres!$A$1:$I$89,5,0)</f>
        <v>2.669139576028101E-13</v>
      </c>
      <c r="DQ162" s="14">
        <f t="shared" si="176"/>
        <v>3.5767923834585247E-12</v>
      </c>
      <c r="DR162" s="22">
        <f t="shared" si="177"/>
        <v>6.6944552106818241E-12</v>
      </c>
      <c r="DS162" s="62">
        <f t="shared" si="125"/>
        <v>293.33333333334002</v>
      </c>
      <c r="DT162" s="62">
        <f ca="1">AVERAGE(OFFSET($DS$3,0,0,'Données projet'!$E$14+1,1))-AVERAGE(OFFSET($H$3,0,0,'Données projet'!$E$14+1,1))</f>
        <v>343.33067866534634</v>
      </c>
      <c r="DU162" s="62">
        <f t="shared" si="152"/>
        <v>261.91036689641402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428.8489304403459</v>
      </c>
      <c r="T163" s="62">
        <f t="shared" si="142"/>
        <v>247.01165577562966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475.47920969424894</v>
      </c>
      <c r="AO163" s="62">
        <f t="shared" si="144"/>
        <v>271.73544012419364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-9.3464223027694966E-13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455.50822833641354</v>
      </c>
      <c r="BJ163" s="62">
        <f t="shared" si="146"/>
        <v>261.14722581688039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-1.0401663530501537E-12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502.07782026233912</v>
      </c>
      <c r="CE163" s="62">
        <f t="shared" si="148"/>
        <v>285.83623046025156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5.6843418860808015E-14</v>
      </c>
      <c r="CU163" s="18">
        <f>CT163*VLOOKUP('Données projet'!$B$13,Paramètres!$A$1:$I$89,3,0)*VLOOKUP('Données projet'!$B$13,Paramètres!$A$1:$I$89,5,0)</f>
        <v>4.4337866711430253E-14</v>
      </c>
      <c r="CV163" s="14">
        <f t="shared" si="173"/>
        <v>7.3222115536967035E-13</v>
      </c>
      <c r="CW163" s="22">
        <f t="shared" si="174"/>
        <v>1.3525069634579169E-12</v>
      </c>
      <c r="CX163" s="62">
        <f t="shared" si="122"/>
        <v>293.33333333333468</v>
      </c>
      <c r="CY163" s="62">
        <f ca="1">AVERAGE(OFFSET($CX$3,0,0,'Données projet'!$E$13+1,1))-AVERAGE(OFFSET($H$3,0,0,'Données projet'!$E$13+1,1))</f>
        <v>289.19475369871481</v>
      </c>
      <c r="CZ163" s="62">
        <f t="shared" si="150"/>
        <v>283.48738729114024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3.979039320256561E-13</v>
      </c>
      <c r="DP163" s="18">
        <f>DO163*VLOOKUP('Données projet'!$B$14,Paramètres!$A$1:$I$89,3,0)*VLOOKUP('Données projet'!$B$14,Paramètres!$A$1:$I$89,5,0)</f>
        <v>2.669139576028101E-13</v>
      </c>
      <c r="DQ163" s="14">
        <f t="shared" si="176"/>
        <v>3.5767923834585247E-12</v>
      </c>
      <c r="DR163" s="22">
        <f t="shared" si="177"/>
        <v>6.6944552106818241E-12</v>
      </c>
      <c r="DS163" s="62">
        <f t="shared" si="125"/>
        <v>293.33333333334002</v>
      </c>
      <c r="DT163" s="62">
        <f ca="1">AVERAGE(OFFSET($DS$3,0,0,'Données projet'!$E$14+1,1))-AVERAGE(OFFSET($H$3,0,0,'Données projet'!$E$14+1,1))</f>
        <v>343.33067866534634</v>
      </c>
      <c r="DU163" s="62">
        <f t="shared" si="152"/>
        <v>261.91036689641402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428.8489304403459</v>
      </c>
      <c r="T164" s="62">
        <f t="shared" si="142"/>
        <v>247.01165577562966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475.47920969424894</v>
      </c>
      <c r="AO164" s="62">
        <f t="shared" si="144"/>
        <v>271.73544012419364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-9.3464223027694966E-13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455.50822833641354</v>
      </c>
      <c r="BJ164" s="62">
        <f t="shared" si="146"/>
        <v>261.14722581688039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-1.0401663530501537E-12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502.07782026233912</v>
      </c>
      <c r="CE164" s="62">
        <f t="shared" si="148"/>
        <v>285.83623046025156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5.6843418860808015E-14</v>
      </c>
      <c r="CU164" s="18">
        <f>CT164*VLOOKUP('Données projet'!$B$13,Paramètres!$A$1:$I$89,3,0)*VLOOKUP('Données projet'!$B$13,Paramètres!$A$1:$I$89,5,0)</f>
        <v>4.4337866711430253E-14</v>
      </c>
      <c r="CV164" s="14">
        <f t="shared" si="173"/>
        <v>7.3222115536967035E-13</v>
      </c>
      <c r="CW164" s="22">
        <f t="shared" si="174"/>
        <v>1.3525069634579169E-12</v>
      </c>
      <c r="CX164" s="62">
        <f t="shared" si="122"/>
        <v>293.33333333333468</v>
      </c>
      <c r="CY164" s="62">
        <f ca="1">AVERAGE(OFFSET($CX$3,0,0,'Données projet'!$E$13+1,1))-AVERAGE(OFFSET($H$3,0,0,'Données projet'!$E$13+1,1))</f>
        <v>289.19475369871481</v>
      </c>
      <c r="CZ164" s="62">
        <f t="shared" si="150"/>
        <v>283.48738729114024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3.979039320256561E-13</v>
      </c>
      <c r="DP164" s="18">
        <f>DO164*VLOOKUP('Données projet'!$B$14,Paramètres!$A$1:$I$89,3,0)*VLOOKUP('Données projet'!$B$14,Paramètres!$A$1:$I$89,5,0)</f>
        <v>2.669139576028101E-13</v>
      </c>
      <c r="DQ164" s="14">
        <f t="shared" si="176"/>
        <v>3.5767923834585247E-12</v>
      </c>
      <c r="DR164" s="22">
        <f t="shared" si="177"/>
        <v>6.6944552106818241E-12</v>
      </c>
      <c r="DS164" s="62">
        <f t="shared" si="125"/>
        <v>293.33333333334002</v>
      </c>
      <c r="DT164" s="62">
        <f ca="1">AVERAGE(OFFSET($DS$3,0,0,'Données projet'!$E$14+1,1))-AVERAGE(OFFSET($H$3,0,0,'Données projet'!$E$14+1,1))</f>
        <v>343.33067866534634</v>
      </c>
      <c r="DU164" s="62">
        <f t="shared" si="152"/>
        <v>261.91036689641402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428.8489304403459</v>
      </c>
      <c r="T165" s="62">
        <f t="shared" si="142"/>
        <v>247.01165577562966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475.47920969424894</v>
      </c>
      <c r="AO165" s="62">
        <f t="shared" si="144"/>
        <v>271.73544012419364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-9.3464223027694966E-13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455.50822833641354</v>
      </c>
      <c r="BJ165" s="62">
        <f t="shared" si="146"/>
        <v>261.14722581688039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-1.0401663530501537E-12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502.07782026233912</v>
      </c>
      <c r="CE165" s="62">
        <f t="shared" si="148"/>
        <v>285.83623046025156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5.6843418860808015E-14</v>
      </c>
      <c r="CU165" s="18">
        <f>CT165*VLOOKUP('Données projet'!$B$13,Paramètres!$A$1:$I$89,3,0)*VLOOKUP('Données projet'!$B$13,Paramètres!$A$1:$I$89,5,0)</f>
        <v>4.4337866711430253E-14</v>
      </c>
      <c r="CV165" s="14">
        <f t="shared" si="173"/>
        <v>7.3222115536967035E-13</v>
      </c>
      <c r="CW165" s="22">
        <f t="shared" si="174"/>
        <v>1.3525069634579169E-12</v>
      </c>
      <c r="CX165" s="62">
        <f t="shared" si="122"/>
        <v>293.33333333333468</v>
      </c>
      <c r="CY165" s="62">
        <f ca="1">AVERAGE(OFFSET($CX$3,0,0,'Données projet'!$E$13+1,1))-AVERAGE(OFFSET($H$3,0,0,'Données projet'!$E$13+1,1))</f>
        <v>289.19475369871481</v>
      </c>
      <c r="CZ165" s="62">
        <f t="shared" si="150"/>
        <v>283.48738729114024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3.979039320256561E-13</v>
      </c>
      <c r="DP165" s="18">
        <f>DO165*VLOOKUP('Données projet'!$B$14,Paramètres!$A$1:$I$89,3,0)*VLOOKUP('Données projet'!$B$14,Paramètres!$A$1:$I$89,5,0)</f>
        <v>2.669139576028101E-13</v>
      </c>
      <c r="DQ165" s="14">
        <f t="shared" si="176"/>
        <v>3.5767923834585247E-12</v>
      </c>
      <c r="DR165" s="22">
        <f t="shared" si="177"/>
        <v>6.6944552106818241E-12</v>
      </c>
      <c r="DS165" s="62">
        <f t="shared" si="125"/>
        <v>293.33333333334002</v>
      </c>
      <c r="DT165" s="62">
        <f ca="1">AVERAGE(OFFSET($DS$3,0,0,'Données projet'!$E$14+1,1))-AVERAGE(OFFSET($H$3,0,0,'Données projet'!$E$14+1,1))</f>
        <v>343.33067866534634</v>
      </c>
      <c r="DU165" s="62">
        <f t="shared" si="152"/>
        <v>261.91036689641402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428.8489304403459</v>
      </c>
      <c r="T166" s="62">
        <f t="shared" si="142"/>
        <v>247.01165577562966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475.47920969424894</v>
      </c>
      <c r="AO166" s="62">
        <f t="shared" si="144"/>
        <v>271.73544012419364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-9.3464223027694966E-13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455.50822833641354</v>
      </c>
      <c r="BJ166" s="62">
        <f t="shared" si="146"/>
        <v>261.14722581688039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-1.0401663530501537E-12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502.07782026233912</v>
      </c>
      <c r="CE166" s="62">
        <f t="shared" si="148"/>
        <v>285.83623046025156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5.6843418860808015E-14</v>
      </c>
      <c r="CU166" s="18">
        <f>CT166*VLOOKUP('Données projet'!$B$13,Paramètres!$A$1:$I$89,3,0)*VLOOKUP('Données projet'!$B$13,Paramètres!$A$1:$I$89,5,0)</f>
        <v>4.4337866711430253E-14</v>
      </c>
      <c r="CV166" s="14">
        <f t="shared" si="173"/>
        <v>7.3222115536967035E-13</v>
      </c>
      <c r="CW166" s="22">
        <f t="shared" si="174"/>
        <v>1.3525069634579169E-12</v>
      </c>
      <c r="CX166" s="62">
        <f t="shared" si="122"/>
        <v>293.33333333333468</v>
      </c>
      <c r="CY166" s="62">
        <f ca="1">AVERAGE(OFFSET($CX$3,0,0,'Données projet'!$E$13+1,1))-AVERAGE(OFFSET($H$3,0,0,'Données projet'!$E$13+1,1))</f>
        <v>289.19475369871481</v>
      </c>
      <c r="CZ166" s="62">
        <f t="shared" si="150"/>
        <v>283.48738729114024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3.979039320256561E-13</v>
      </c>
      <c r="DP166" s="18">
        <f>DO166*VLOOKUP('Données projet'!$B$14,Paramètres!$A$1:$I$89,3,0)*VLOOKUP('Données projet'!$B$14,Paramètres!$A$1:$I$89,5,0)</f>
        <v>2.669139576028101E-13</v>
      </c>
      <c r="DQ166" s="14">
        <f t="shared" si="176"/>
        <v>3.5767923834585247E-12</v>
      </c>
      <c r="DR166" s="22">
        <f t="shared" si="177"/>
        <v>6.6944552106818241E-12</v>
      </c>
      <c r="DS166" s="62">
        <f t="shared" si="125"/>
        <v>293.33333333334002</v>
      </c>
      <c r="DT166" s="62">
        <f ca="1">AVERAGE(OFFSET($DS$3,0,0,'Données projet'!$E$14+1,1))-AVERAGE(OFFSET($H$3,0,0,'Données projet'!$E$14+1,1))</f>
        <v>343.33067866534634</v>
      </c>
      <c r="DU166" s="62">
        <f t="shared" si="152"/>
        <v>261.91036689641402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428.8489304403459</v>
      </c>
      <c r="T167" s="62">
        <f t="shared" si="142"/>
        <v>247.01165577562966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475.47920969424894</v>
      </c>
      <c r="AO167" s="62">
        <f t="shared" si="144"/>
        <v>271.73544012419364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-9.3464223027694966E-13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455.50822833641354</v>
      </c>
      <c r="BJ167" s="62">
        <f t="shared" si="146"/>
        <v>261.14722581688039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-1.0401663530501537E-12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502.07782026233912</v>
      </c>
      <c r="CE167" s="62">
        <f t="shared" si="148"/>
        <v>285.83623046025156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5.6843418860808015E-14</v>
      </c>
      <c r="CU167" s="18">
        <f>CT167*VLOOKUP('Données projet'!$B$13,Paramètres!$A$1:$I$89,3,0)*VLOOKUP('Données projet'!$B$13,Paramètres!$A$1:$I$89,5,0)</f>
        <v>4.4337866711430253E-14</v>
      </c>
      <c r="CV167" s="14">
        <f t="shared" si="173"/>
        <v>7.3222115536967035E-13</v>
      </c>
      <c r="CW167" s="22">
        <f t="shared" si="174"/>
        <v>1.3525069634579169E-12</v>
      </c>
      <c r="CX167" s="62">
        <f t="shared" si="122"/>
        <v>293.33333333333468</v>
      </c>
      <c r="CY167" s="62">
        <f ca="1">AVERAGE(OFFSET($CX$3,0,0,'Données projet'!$E$13+1,1))-AVERAGE(OFFSET($H$3,0,0,'Données projet'!$E$13+1,1))</f>
        <v>289.19475369871481</v>
      </c>
      <c r="CZ167" s="62">
        <f t="shared" si="150"/>
        <v>283.48738729114024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3.979039320256561E-13</v>
      </c>
      <c r="DP167" s="18">
        <f>DO167*VLOOKUP('Données projet'!$B$14,Paramètres!$A$1:$I$89,3,0)*VLOOKUP('Données projet'!$B$14,Paramètres!$A$1:$I$89,5,0)</f>
        <v>2.669139576028101E-13</v>
      </c>
      <c r="DQ167" s="14">
        <f t="shared" si="176"/>
        <v>3.5767923834585247E-12</v>
      </c>
      <c r="DR167" s="22">
        <f t="shared" si="177"/>
        <v>6.6944552106818241E-12</v>
      </c>
      <c r="DS167" s="62">
        <f t="shared" si="125"/>
        <v>293.33333333334002</v>
      </c>
      <c r="DT167" s="62">
        <f ca="1">AVERAGE(OFFSET($DS$3,0,0,'Données projet'!$E$14+1,1))-AVERAGE(OFFSET($H$3,0,0,'Données projet'!$E$14+1,1))</f>
        <v>343.33067866534634</v>
      </c>
      <c r="DU167" s="62">
        <f t="shared" si="152"/>
        <v>261.91036689641402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428.8489304403459</v>
      </c>
      <c r="T168" s="62">
        <f t="shared" si="142"/>
        <v>247.01165577562966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475.47920969424894</v>
      </c>
      <c r="AO168" s="62">
        <f t="shared" si="144"/>
        <v>271.73544012419364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-9.3464223027694966E-13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455.50822833641354</v>
      </c>
      <c r="BJ168" s="62">
        <f t="shared" si="146"/>
        <v>261.14722581688039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-1.0401663530501537E-12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502.07782026233912</v>
      </c>
      <c r="CE168" s="62">
        <f t="shared" si="148"/>
        <v>285.83623046025156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5.6843418860808015E-14</v>
      </c>
      <c r="CU168" s="18">
        <f>CT168*VLOOKUP('Données projet'!$B$13,Paramètres!$A$1:$I$89,3,0)*VLOOKUP('Données projet'!$B$13,Paramètres!$A$1:$I$89,5,0)</f>
        <v>4.4337866711430253E-14</v>
      </c>
      <c r="CV168" s="14">
        <f t="shared" si="173"/>
        <v>7.3222115536967035E-13</v>
      </c>
      <c r="CW168" s="22">
        <f t="shared" si="174"/>
        <v>1.3525069634579169E-12</v>
      </c>
      <c r="CX168" s="62">
        <f t="shared" si="122"/>
        <v>293.33333333333468</v>
      </c>
      <c r="CY168" s="62">
        <f ca="1">AVERAGE(OFFSET($CX$3,0,0,'Données projet'!$E$13+1,1))-AVERAGE(OFFSET($H$3,0,0,'Données projet'!$E$13+1,1))</f>
        <v>289.19475369871481</v>
      </c>
      <c r="CZ168" s="62">
        <f t="shared" si="150"/>
        <v>283.48738729114024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3.979039320256561E-13</v>
      </c>
      <c r="DP168" s="18">
        <f>DO168*VLOOKUP('Données projet'!$B$14,Paramètres!$A$1:$I$89,3,0)*VLOOKUP('Données projet'!$B$14,Paramètres!$A$1:$I$89,5,0)</f>
        <v>2.669139576028101E-13</v>
      </c>
      <c r="DQ168" s="14">
        <f t="shared" si="176"/>
        <v>3.5767923834585247E-12</v>
      </c>
      <c r="DR168" s="22">
        <f t="shared" si="177"/>
        <v>6.6944552106818241E-12</v>
      </c>
      <c r="DS168" s="62">
        <f t="shared" si="125"/>
        <v>293.33333333334002</v>
      </c>
      <c r="DT168" s="62">
        <f ca="1">AVERAGE(OFFSET($DS$3,0,0,'Données projet'!$E$14+1,1))-AVERAGE(OFFSET($H$3,0,0,'Données projet'!$E$14+1,1))</f>
        <v>343.33067866534634</v>
      </c>
      <c r="DU168" s="62">
        <f t="shared" si="152"/>
        <v>261.91036689641402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428.8489304403459</v>
      </c>
      <c r="T169" s="62">
        <f t="shared" si="142"/>
        <v>247.01165577562966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475.47920969424894</v>
      </c>
      <c r="AO169" s="62">
        <f t="shared" si="144"/>
        <v>271.73544012419364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-9.3464223027694966E-13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455.50822833641354</v>
      </c>
      <c r="BJ169" s="62">
        <f t="shared" si="146"/>
        <v>261.14722581688039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-1.0401663530501537E-12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502.07782026233912</v>
      </c>
      <c r="CE169" s="62">
        <f t="shared" si="148"/>
        <v>285.83623046025156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5.6843418860808015E-14</v>
      </c>
      <c r="CU169" s="18">
        <f>CT169*VLOOKUP('Données projet'!$B$13,Paramètres!$A$1:$I$89,3,0)*VLOOKUP('Données projet'!$B$13,Paramètres!$A$1:$I$89,5,0)</f>
        <v>4.4337866711430253E-14</v>
      </c>
      <c r="CV169" s="14">
        <f t="shared" si="173"/>
        <v>7.3222115536967035E-13</v>
      </c>
      <c r="CW169" s="22">
        <f t="shared" si="174"/>
        <v>1.3525069634579169E-12</v>
      </c>
      <c r="CX169" s="62">
        <f t="shared" si="122"/>
        <v>293.33333333333468</v>
      </c>
      <c r="CY169" s="62">
        <f ca="1">AVERAGE(OFFSET($CX$3,0,0,'Données projet'!$E$13+1,1))-AVERAGE(OFFSET($H$3,0,0,'Données projet'!$E$13+1,1))</f>
        <v>289.19475369871481</v>
      </c>
      <c r="CZ169" s="62">
        <f t="shared" si="150"/>
        <v>283.48738729114024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3.979039320256561E-13</v>
      </c>
      <c r="DP169" s="18">
        <f>DO169*VLOOKUP('Données projet'!$B$14,Paramètres!$A$1:$I$89,3,0)*VLOOKUP('Données projet'!$B$14,Paramètres!$A$1:$I$89,5,0)</f>
        <v>2.669139576028101E-13</v>
      </c>
      <c r="DQ169" s="14">
        <f t="shared" si="176"/>
        <v>3.5767923834585247E-12</v>
      </c>
      <c r="DR169" s="22">
        <f t="shared" si="177"/>
        <v>6.6944552106818241E-12</v>
      </c>
      <c r="DS169" s="62">
        <f t="shared" si="125"/>
        <v>293.33333333334002</v>
      </c>
      <c r="DT169" s="62">
        <f ca="1">AVERAGE(OFFSET($DS$3,0,0,'Données projet'!$E$14+1,1))-AVERAGE(OFFSET($H$3,0,0,'Données projet'!$E$14+1,1))</f>
        <v>343.33067866534634</v>
      </c>
      <c r="DU169" s="62">
        <f t="shared" si="152"/>
        <v>261.91036689641402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428.8489304403459</v>
      </c>
      <c r="T170" s="62">
        <f t="shared" si="142"/>
        <v>247.01165577562966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475.47920969424894</v>
      </c>
      <c r="AO170" s="62">
        <f t="shared" si="144"/>
        <v>271.73544012419364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-9.3464223027694966E-13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455.50822833641354</v>
      </c>
      <c r="BJ170" s="62">
        <f t="shared" si="146"/>
        <v>261.14722581688039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-1.0401663530501537E-12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502.07782026233912</v>
      </c>
      <c r="CE170" s="62">
        <f t="shared" si="148"/>
        <v>285.83623046025156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5.6843418860808015E-14</v>
      </c>
      <c r="CU170" s="18">
        <f>CT170*VLOOKUP('Données projet'!$B$13,Paramètres!$A$1:$I$89,3,0)*VLOOKUP('Données projet'!$B$13,Paramètres!$A$1:$I$89,5,0)</f>
        <v>4.4337866711430253E-14</v>
      </c>
      <c r="CV170" s="14">
        <f t="shared" si="173"/>
        <v>7.3222115536967035E-13</v>
      </c>
      <c r="CW170" s="22">
        <f t="shared" si="174"/>
        <v>1.3525069634579169E-12</v>
      </c>
      <c r="CX170" s="62">
        <f t="shared" si="122"/>
        <v>293.33333333333468</v>
      </c>
      <c r="CY170" s="62">
        <f ca="1">AVERAGE(OFFSET($CX$3,0,0,'Données projet'!$E$13+1,1))-AVERAGE(OFFSET($H$3,0,0,'Données projet'!$E$13+1,1))</f>
        <v>289.19475369871481</v>
      </c>
      <c r="CZ170" s="62">
        <f t="shared" si="150"/>
        <v>283.48738729114024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3.979039320256561E-13</v>
      </c>
      <c r="DP170" s="18">
        <f>DO170*VLOOKUP('Données projet'!$B$14,Paramètres!$A$1:$I$89,3,0)*VLOOKUP('Données projet'!$B$14,Paramètres!$A$1:$I$89,5,0)</f>
        <v>2.669139576028101E-13</v>
      </c>
      <c r="DQ170" s="14">
        <f t="shared" si="176"/>
        <v>3.5767923834585247E-12</v>
      </c>
      <c r="DR170" s="22">
        <f t="shared" si="177"/>
        <v>6.6944552106818241E-12</v>
      </c>
      <c r="DS170" s="62">
        <f t="shared" si="125"/>
        <v>293.33333333334002</v>
      </c>
      <c r="DT170" s="62">
        <f ca="1">AVERAGE(OFFSET($DS$3,0,0,'Données projet'!$E$14+1,1))-AVERAGE(OFFSET($H$3,0,0,'Données projet'!$E$14+1,1))</f>
        <v>343.33067866534634</v>
      </c>
      <c r="DU170" s="62">
        <f t="shared" si="152"/>
        <v>261.91036689641402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428.8489304403459</v>
      </c>
      <c r="T171" s="62">
        <f t="shared" si="142"/>
        <v>247.01165577562966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475.47920969424894</v>
      </c>
      <c r="AO171" s="62">
        <f t="shared" si="144"/>
        <v>271.73544012419364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-9.3464223027694966E-13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455.50822833641354</v>
      </c>
      <c r="BJ171" s="62">
        <f t="shared" si="146"/>
        <v>261.14722581688039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-1.0401663530501537E-12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502.07782026233912</v>
      </c>
      <c r="CE171" s="62">
        <f t="shared" si="148"/>
        <v>285.83623046025156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5.6843418860808015E-14</v>
      </c>
      <c r="CU171" s="18">
        <f>CT171*VLOOKUP('Données projet'!$B$13,Paramètres!$A$1:$I$89,3,0)*VLOOKUP('Données projet'!$B$13,Paramètres!$A$1:$I$89,5,0)</f>
        <v>4.4337866711430253E-14</v>
      </c>
      <c r="CV171" s="14">
        <f t="shared" si="173"/>
        <v>7.3222115536967035E-13</v>
      </c>
      <c r="CW171" s="22">
        <f t="shared" si="174"/>
        <v>1.3525069634579169E-12</v>
      </c>
      <c r="CX171" s="62">
        <f t="shared" si="122"/>
        <v>293.33333333333468</v>
      </c>
      <c r="CY171" s="62">
        <f ca="1">AVERAGE(OFFSET($CX$3,0,0,'Données projet'!$E$13+1,1))-AVERAGE(OFFSET($H$3,0,0,'Données projet'!$E$13+1,1))</f>
        <v>289.19475369871481</v>
      </c>
      <c r="CZ171" s="62">
        <f t="shared" si="150"/>
        <v>283.48738729114024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3.979039320256561E-13</v>
      </c>
      <c r="DP171" s="18">
        <f>DO171*VLOOKUP('Données projet'!$B$14,Paramètres!$A$1:$I$89,3,0)*VLOOKUP('Données projet'!$B$14,Paramètres!$A$1:$I$89,5,0)</f>
        <v>2.669139576028101E-13</v>
      </c>
      <c r="DQ171" s="14">
        <f t="shared" si="176"/>
        <v>3.5767923834585247E-12</v>
      </c>
      <c r="DR171" s="22">
        <f t="shared" si="177"/>
        <v>6.6944552106818241E-12</v>
      </c>
      <c r="DS171" s="62">
        <f t="shared" si="125"/>
        <v>293.33333333334002</v>
      </c>
      <c r="DT171" s="62">
        <f ca="1">AVERAGE(OFFSET($DS$3,0,0,'Données projet'!$E$14+1,1))-AVERAGE(OFFSET($H$3,0,0,'Données projet'!$E$14+1,1))</f>
        <v>343.33067866534634</v>
      </c>
      <c r="DU171" s="62">
        <f t="shared" si="152"/>
        <v>261.91036689641402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428.8489304403459</v>
      </c>
      <c r="T172" s="62">
        <f t="shared" si="142"/>
        <v>247.01165577562966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475.47920969424894</v>
      </c>
      <c r="AO172" s="62">
        <f t="shared" si="144"/>
        <v>271.73544012419364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-9.3464223027694966E-13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455.50822833641354</v>
      </c>
      <c r="BJ172" s="62">
        <f t="shared" si="146"/>
        <v>261.14722581688039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-1.0401663530501537E-12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502.07782026233912</v>
      </c>
      <c r="CE172" s="62">
        <f t="shared" si="148"/>
        <v>285.83623046025156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5.6843418860808015E-14</v>
      </c>
      <c r="CU172" s="18">
        <f>CT172*VLOOKUP('Données projet'!$B$13,Paramètres!$A$1:$I$89,3,0)*VLOOKUP('Données projet'!$B$13,Paramètres!$A$1:$I$89,5,0)</f>
        <v>4.4337866711430253E-14</v>
      </c>
      <c r="CV172" s="14">
        <f t="shared" si="173"/>
        <v>7.3222115536967035E-13</v>
      </c>
      <c r="CW172" s="22">
        <f t="shared" si="174"/>
        <v>1.3525069634579169E-12</v>
      </c>
      <c r="CX172" s="62">
        <f t="shared" si="122"/>
        <v>293.33333333333468</v>
      </c>
      <c r="CY172" s="62">
        <f ca="1">AVERAGE(OFFSET($CX$3,0,0,'Données projet'!$E$13+1,1))-AVERAGE(OFFSET($H$3,0,0,'Données projet'!$E$13+1,1))</f>
        <v>289.19475369871481</v>
      </c>
      <c r="CZ172" s="62">
        <f t="shared" si="150"/>
        <v>283.48738729114024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3.979039320256561E-13</v>
      </c>
      <c r="DP172" s="18">
        <f>DO172*VLOOKUP('Données projet'!$B$14,Paramètres!$A$1:$I$89,3,0)*VLOOKUP('Données projet'!$B$14,Paramètres!$A$1:$I$89,5,0)</f>
        <v>2.669139576028101E-13</v>
      </c>
      <c r="DQ172" s="14">
        <f t="shared" si="176"/>
        <v>3.5767923834585247E-12</v>
      </c>
      <c r="DR172" s="22">
        <f t="shared" si="177"/>
        <v>6.6944552106818241E-12</v>
      </c>
      <c r="DS172" s="62">
        <f t="shared" si="125"/>
        <v>293.33333333334002</v>
      </c>
      <c r="DT172" s="62">
        <f ca="1">AVERAGE(OFFSET($DS$3,0,0,'Données projet'!$E$14+1,1))-AVERAGE(OFFSET($H$3,0,0,'Données projet'!$E$14+1,1))</f>
        <v>343.33067866534634</v>
      </c>
      <c r="DU172" s="62">
        <f t="shared" si="152"/>
        <v>261.91036689641402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428.8489304403459</v>
      </c>
      <c r="T173" s="62">
        <f t="shared" si="142"/>
        <v>247.01165577562966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475.47920969424894</v>
      </c>
      <c r="AO173" s="62">
        <f t="shared" si="144"/>
        <v>271.73544012419364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-9.3464223027694966E-13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455.50822833641354</v>
      </c>
      <c r="BJ173" s="62">
        <f t="shared" si="146"/>
        <v>261.14722581688039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-1.0401663530501537E-12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502.07782026233912</v>
      </c>
      <c r="CE173" s="62">
        <f t="shared" si="148"/>
        <v>285.83623046025156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5.6843418860808015E-14</v>
      </c>
      <c r="CU173" s="18">
        <f>CT173*VLOOKUP('Données projet'!$B$13,Paramètres!$A$1:$I$89,3,0)*VLOOKUP('Données projet'!$B$13,Paramètres!$A$1:$I$89,5,0)</f>
        <v>4.4337866711430253E-14</v>
      </c>
      <c r="CV173" s="14">
        <f t="shared" si="173"/>
        <v>7.3222115536967035E-13</v>
      </c>
      <c r="CW173" s="22">
        <f t="shared" si="174"/>
        <v>1.3525069634579169E-12</v>
      </c>
      <c r="CX173" s="62">
        <f t="shared" si="122"/>
        <v>293.33333333333468</v>
      </c>
      <c r="CY173" s="62">
        <f ca="1">AVERAGE(OFFSET($CX$3,0,0,'Données projet'!$E$13+1,1))-AVERAGE(OFFSET($H$3,0,0,'Données projet'!$E$13+1,1))</f>
        <v>289.19475369871481</v>
      </c>
      <c r="CZ173" s="62">
        <f t="shared" si="150"/>
        <v>283.48738729114024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3.979039320256561E-13</v>
      </c>
      <c r="DP173" s="18">
        <f>DO173*VLOOKUP('Données projet'!$B$14,Paramètres!$A$1:$I$89,3,0)*VLOOKUP('Données projet'!$B$14,Paramètres!$A$1:$I$89,5,0)</f>
        <v>2.669139576028101E-13</v>
      </c>
      <c r="DQ173" s="14">
        <f t="shared" si="176"/>
        <v>3.5767923834585247E-12</v>
      </c>
      <c r="DR173" s="22">
        <f t="shared" si="177"/>
        <v>6.6944552106818241E-12</v>
      </c>
      <c r="DS173" s="62">
        <f t="shared" si="125"/>
        <v>293.33333333334002</v>
      </c>
      <c r="DT173" s="62">
        <f ca="1">AVERAGE(OFFSET($DS$3,0,0,'Données projet'!$E$14+1,1))-AVERAGE(OFFSET($H$3,0,0,'Données projet'!$E$14+1,1))</f>
        <v>343.33067866534634</v>
      </c>
      <c r="DU173" s="62">
        <f t="shared" si="152"/>
        <v>261.91036689641402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428.8489304403459</v>
      </c>
      <c r="T174" s="62">
        <f t="shared" si="142"/>
        <v>247.01165577562966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475.47920969424894</v>
      </c>
      <c r="AO174" s="62">
        <f t="shared" si="144"/>
        <v>271.73544012419364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-9.3464223027694966E-13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455.50822833641354</v>
      </c>
      <c r="BJ174" s="62">
        <f t="shared" si="146"/>
        <v>261.14722581688039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-1.0401663530501537E-12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502.07782026233912</v>
      </c>
      <c r="CE174" s="62">
        <f t="shared" si="148"/>
        <v>285.83623046025156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5.6843418860808015E-14</v>
      </c>
      <c r="CU174" s="18">
        <f>CT174*VLOOKUP('Données projet'!$B$13,Paramètres!$A$1:$I$89,3,0)*VLOOKUP('Données projet'!$B$13,Paramètres!$A$1:$I$89,5,0)</f>
        <v>4.4337866711430253E-14</v>
      </c>
      <c r="CV174" s="14">
        <f t="shared" si="173"/>
        <v>7.3222115536967035E-13</v>
      </c>
      <c r="CW174" s="22">
        <f t="shared" si="174"/>
        <v>1.3525069634579169E-12</v>
      </c>
      <c r="CX174" s="62">
        <f t="shared" si="122"/>
        <v>293.33333333333468</v>
      </c>
      <c r="CY174" s="62">
        <f ca="1">AVERAGE(OFFSET($CX$3,0,0,'Données projet'!$E$13+1,1))-AVERAGE(OFFSET($H$3,0,0,'Données projet'!$E$13+1,1))</f>
        <v>289.19475369871481</v>
      </c>
      <c r="CZ174" s="62">
        <f t="shared" si="150"/>
        <v>283.48738729114024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3.979039320256561E-13</v>
      </c>
      <c r="DP174" s="18">
        <f>DO174*VLOOKUP('Données projet'!$B$14,Paramètres!$A$1:$I$89,3,0)*VLOOKUP('Données projet'!$B$14,Paramètres!$A$1:$I$89,5,0)</f>
        <v>2.669139576028101E-13</v>
      </c>
      <c r="DQ174" s="14">
        <f t="shared" si="176"/>
        <v>3.5767923834585247E-12</v>
      </c>
      <c r="DR174" s="22">
        <f t="shared" si="177"/>
        <v>6.6944552106818241E-12</v>
      </c>
      <c r="DS174" s="62">
        <f t="shared" si="125"/>
        <v>293.33333333334002</v>
      </c>
      <c r="DT174" s="62">
        <f ca="1">AVERAGE(OFFSET($DS$3,0,0,'Données projet'!$E$14+1,1))-AVERAGE(OFFSET($H$3,0,0,'Données projet'!$E$14+1,1))</f>
        <v>343.33067866534634</v>
      </c>
      <c r="DU174" s="62">
        <f t="shared" si="152"/>
        <v>261.91036689641402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428.8489304403459</v>
      </c>
      <c r="T175" s="62">
        <f t="shared" si="142"/>
        <v>247.01165577562966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475.47920969424894</v>
      </c>
      <c r="AO175" s="62">
        <f t="shared" si="144"/>
        <v>271.73544012419364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-9.3464223027694966E-13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455.50822833641354</v>
      </c>
      <c r="BJ175" s="62">
        <f t="shared" si="146"/>
        <v>261.14722581688039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-1.0401663530501537E-12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502.07782026233912</v>
      </c>
      <c r="CE175" s="62">
        <f t="shared" si="148"/>
        <v>285.83623046025156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5.6843418860808015E-14</v>
      </c>
      <c r="CU175" s="18">
        <f>CT175*VLOOKUP('Données projet'!$B$13,Paramètres!$A$1:$I$89,3,0)*VLOOKUP('Données projet'!$B$13,Paramètres!$A$1:$I$89,5,0)</f>
        <v>4.4337866711430253E-14</v>
      </c>
      <c r="CV175" s="14">
        <f t="shared" si="173"/>
        <v>7.3222115536967035E-13</v>
      </c>
      <c r="CW175" s="22">
        <f t="shared" si="174"/>
        <v>1.3525069634579169E-12</v>
      </c>
      <c r="CX175" s="62">
        <f t="shared" si="122"/>
        <v>293.33333333333468</v>
      </c>
      <c r="CY175" s="62">
        <f ca="1">AVERAGE(OFFSET($CX$3,0,0,'Données projet'!$E$13+1,1))-AVERAGE(OFFSET($H$3,0,0,'Données projet'!$E$13+1,1))</f>
        <v>289.19475369871481</v>
      </c>
      <c r="CZ175" s="62">
        <f t="shared" si="150"/>
        <v>283.48738729114024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3.979039320256561E-13</v>
      </c>
      <c r="DP175" s="18">
        <f>DO175*VLOOKUP('Données projet'!$B$14,Paramètres!$A$1:$I$89,3,0)*VLOOKUP('Données projet'!$B$14,Paramètres!$A$1:$I$89,5,0)</f>
        <v>2.669139576028101E-13</v>
      </c>
      <c r="DQ175" s="14">
        <f t="shared" si="176"/>
        <v>3.5767923834585247E-12</v>
      </c>
      <c r="DR175" s="22">
        <f t="shared" si="177"/>
        <v>6.6944552106818241E-12</v>
      </c>
      <c r="DS175" s="62">
        <f t="shared" si="125"/>
        <v>293.33333333334002</v>
      </c>
      <c r="DT175" s="62">
        <f ca="1">AVERAGE(OFFSET($DS$3,0,0,'Données projet'!$E$14+1,1))-AVERAGE(OFFSET($H$3,0,0,'Données projet'!$E$14+1,1))</f>
        <v>343.33067866534634</v>
      </c>
      <c r="DU175" s="62">
        <f t="shared" si="152"/>
        <v>261.91036689641402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428.8489304403459</v>
      </c>
      <c r="T176" s="62">
        <f t="shared" si="142"/>
        <v>247.01165577562966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475.47920969424894</v>
      </c>
      <c r="AO176" s="62">
        <f t="shared" si="144"/>
        <v>271.73544012419364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-9.3464223027694966E-13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455.50822833641354</v>
      </c>
      <c r="BJ176" s="62">
        <f t="shared" si="146"/>
        <v>261.14722581688039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-1.0401663530501537E-12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502.07782026233912</v>
      </c>
      <c r="CE176" s="62">
        <f t="shared" si="148"/>
        <v>285.83623046025156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5.6843418860808015E-14</v>
      </c>
      <c r="CU176" s="18">
        <f>CT176*VLOOKUP('Données projet'!$B$13,Paramètres!$A$1:$I$89,3,0)*VLOOKUP('Données projet'!$B$13,Paramètres!$A$1:$I$89,5,0)</f>
        <v>4.4337866711430253E-14</v>
      </c>
      <c r="CV176" s="14">
        <f t="shared" si="173"/>
        <v>7.3222115536967035E-13</v>
      </c>
      <c r="CW176" s="22">
        <f t="shared" si="174"/>
        <v>1.3525069634579169E-12</v>
      </c>
      <c r="CX176" s="62">
        <f t="shared" si="122"/>
        <v>293.33333333333468</v>
      </c>
      <c r="CY176" s="62">
        <f ca="1">AVERAGE(OFFSET($CX$3,0,0,'Données projet'!$E$13+1,1))-AVERAGE(OFFSET($H$3,0,0,'Données projet'!$E$13+1,1))</f>
        <v>289.19475369871481</v>
      </c>
      <c r="CZ176" s="62">
        <f t="shared" si="150"/>
        <v>283.48738729114024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3.979039320256561E-13</v>
      </c>
      <c r="DP176" s="18">
        <f>DO176*VLOOKUP('Données projet'!$B$14,Paramètres!$A$1:$I$89,3,0)*VLOOKUP('Données projet'!$B$14,Paramètres!$A$1:$I$89,5,0)</f>
        <v>2.669139576028101E-13</v>
      </c>
      <c r="DQ176" s="14">
        <f t="shared" si="176"/>
        <v>3.5767923834585247E-12</v>
      </c>
      <c r="DR176" s="22">
        <f t="shared" si="177"/>
        <v>6.6944552106818241E-12</v>
      </c>
      <c r="DS176" s="62">
        <f t="shared" si="125"/>
        <v>293.33333333334002</v>
      </c>
      <c r="DT176" s="62">
        <f ca="1">AVERAGE(OFFSET($DS$3,0,0,'Données projet'!$E$14+1,1))-AVERAGE(OFFSET($H$3,0,0,'Données projet'!$E$14+1,1))</f>
        <v>343.33067866534634</v>
      </c>
      <c r="DU176" s="62">
        <f t="shared" si="152"/>
        <v>261.91036689641402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428.8489304403459</v>
      </c>
      <c r="T177" s="62">
        <f t="shared" si="142"/>
        <v>247.01165577562966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475.47920969424894</v>
      </c>
      <c r="AO177" s="62">
        <f t="shared" si="144"/>
        <v>271.73544012419364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-9.3464223027694966E-13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455.50822833641354</v>
      </c>
      <c r="BJ177" s="62">
        <f t="shared" si="146"/>
        <v>261.14722581688039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-1.0401663530501537E-12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502.07782026233912</v>
      </c>
      <c r="CE177" s="62">
        <f t="shared" si="148"/>
        <v>285.83623046025156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5.6843418860808015E-14</v>
      </c>
      <c r="CU177" s="18">
        <f>CT177*VLOOKUP('Données projet'!$B$13,Paramètres!$A$1:$I$89,3,0)*VLOOKUP('Données projet'!$B$13,Paramètres!$A$1:$I$89,5,0)</f>
        <v>4.4337866711430253E-14</v>
      </c>
      <c r="CV177" s="14">
        <f t="shared" si="173"/>
        <v>7.3222115536967035E-13</v>
      </c>
      <c r="CW177" s="22">
        <f t="shared" si="174"/>
        <v>1.3525069634579169E-12</v>
      </c>
      <c r="CX177" s="62">
        <f t="shared" si="122"/>
        <v>293.33333333333468</v>
      </c>
      <c r="CY177" s="62">
        <f ca="1">AVERAGE(OFFSET($CX$3,0,0,'Données projet'!$E$13+1,1))-AVERAGE(OFFSET($H$3,0,0,'Données projet'!$E$13+1,1))</f>
        <v>289.19475369871481</v>
      </c>
      <c r="CZ177" s="62">
        <f t="shared" si="150"/>
        <v>283.48738729114024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3.979039320256561E-13</v>
      </c>
      <c r="DP177" s="18">
        <f>DO177*VLOOKUP('Données projet'!$B$14,Paramètres!$A$1:$I$89,3,0)*VLOOKUP('Données projet'!$B$14,Paramètres!$A$1:$I$89,5,0)</f>
        <v>2.669139576028101E-13</v>
      </c>
      <c r="DQ177" s="14">
        <f t="shared" si="176"/>
        <v>3.5767923834585247E-12</v>
      </c>
      <c r="DR177" s="22">
        <f t="shared" si="177"/>
        <v>6.6944552106818241E-12</v>
      </c>
      <c r="DS177" s="62">
        <f t="shared" si="125"/>
        <v>293.33333333334002</v>
      </c>
      <c r="DT177" s="62">
        <f ca="1">AVERAGE(OFFSET($DS$3,0,0,'Données projet'!$E$14+1,1))-AVERAGE(OFFSET($H$3,0,0,'Données projet'!$E$14+1,1))</f>
        <v>343.33067866534634</v>
      </c>
      <c r="DU177" s="62">
        <f t="shared" si="152"/>
        <v>261.91036689641402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428.8489304403459</v>
      </c>
      <c r="T178" s="62">
        <f t="shared" si="142"/>
        <v>247.01165577562966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475.47920969424894</v>
      </c>
      <c r="AO178" s="62">
        <f t="shared" si="144"/>
        <v>271.73544012419364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-9.3464223027694966E-13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455.50822833641354</v>
      </c>
      <c r="BJ178" s="62">
        <f t="shared" si="146"/>
        <v>261.14722581688039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-1.0401663530501537E-12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502.07782026233912</v>
      </c>
      <c r="CE178" s="62">
        <f t="shared" si="148"/>
        <v>285.83623046025156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5.6843418860808015E-14</v>
      </c>
      <c r="CU178" s="18">
        <f>CT178*VLOOKUP('Données projet'!$B$13,Paramètres!$A$1:$I$89,3,0)*VLOOKUP('Données projet'!$B$13,Paramètres!$A$1:$I$89,5,0)</f>
        <v>4.4337866711430253E-14</v>
      </c>
      <c r="CV178" s="14">
        <f t="shared" si="173"/>
        <v>7.3222115536967035E-13</v>
      </c>
      <c r="CW178" s="22">
        <f t="shared" si="174"/>
        <v>1.3525069634579169E-12</v>
      </c>
      <c r="CX178" s="62">
        <f t="shared" si="122"/>
        <v>293.33333333333468</v>
      </c>
      <c r="CY178" s="62">
        <f ca="1">AVERAGE(OFFSET($CX$3,0,0,'Données projet'!$E$13+1,1))-AVERAGE(OFFSET($H$3,0,0,'Données projet'!$E$13+1,1))</f>
        <v>289.19475369871481</v>
      </c>
      <c r="CZ178" s="62">
        <f t="shared" si="150"/>
        <v>283.48738729114024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3.979039320256561E-13</v>
      </c>
      <c r="DP178" s="18">
        <f>DO178*VLOOKUP('Données projet'!$B$14,Paramètres!$A$1:$I$89,3,0)*VLOOKUP('Données projet'!$B$14,Paramètres!$A$1:$I$89,5,0)</f>
        <v>2.669139576028101E-13</v>
      </c>
      <c r="DQ178" s="14">
        <f t="shared" si="176"/>
        <v>3.5767923834585247E-12</v>
      </c>
      <c r="DR178" s="22">
        <f t="shared" si="177"/>
        <v>6.6944552106818241E-12</v>
      </c>
      <c r="DS178" s="62">
        <f t="shared" si="125"/>
        <v>293.33333333334002</v>
      </c>
      <c r="DT178" s="62">
        <f ca="1">AVERAGE(OFFSET($DS$3,0,0,'Données projet'!$E$14+1,1))-AVERAGE(OFFSET($H$3,0,0,'Données projet'!$E$14+1,1))</f>
        <v>343.33067866534634</v>
      </c>
      <c r="DU178" s="62">
        <f t="shared" si="152"/>
        <v>261.91036689641402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428.8489304403459</v>
      </c>
      <c r="T179" s="62">
        <f t="shared" si="142"/>
        <v>247.01165577562966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475.47920969424894</v>
      </c>
      <c r="AO179" s="62">
        <f t="shared" si="144"/>
        <v>271.73544012419364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-9.3464223027694966E-13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455.50822833641354</v>
      </c>
      <c r="BJ179" s="62">
        <f t="shared" si="146"/>
        <v>261.14722581688039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-1.0401663530501537E-12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502.07782026233912</v>
      </c>
      <c r="CE179" s="62">
        <f t="shared" si="148"/>
        <v>285.83623046025156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5.6843418860808015E-14</v>
      </c>
      <c r="CU179" s="18">
        <f>CT179*VLOOKUP('Données projet'!$B$13,Paramètres!$A$1:$I$89,3,0)*VLOOKUP('Données projet'!$B$13,Paramètres!$A$1:$I$89,5,0)</f>
        <v>4.4337866711430253E-14</v>
      </c>
      <c r="CV179" s="14">
        <f t="shared" si="173"/>
        <v>7.3222115536967035E-13</v>
      </c>
      <c r="CW179" s="22">
        <f t="shared" si="174"/>
        <v>1.3525069634579169E-12</v>
      </c>
      <c r="CX179" s="62">
        <f t="shared" si="122"/>
        <v>293.33333333333468</v>
      </c>
      <c r="CY179" s="62">
        <f ca="1">AVERAGE(OFFSET($CX$3,0,0,'Données projet'!$E$13+1,1))-AVERAGE(OFFSET($H$3,0,0,'Données projet'!$E$13+1,1))</f>
        <v>289.19475369871481</v>
      </c>
      <c r="CZ179" s="62">
        <f t="shared" si="150"/>
        <v>283.48738729114024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3.979039320256561E-13</v>
      </c>
      <c r="DP179" s="18">
        <f>DO179*VLOOKUP('Données projet'!$B$14,Paramètres!$A$1:$I$89,3,0)*VLOOKUP('Données projet'!$B$14,Paramètres!$A$1:$I$89,5,0)</f>
        <v>2.669139576028101E-13</v>
      </c>
      <c r="DQ179" s="14">
        <f t="shared" si="176"/>
        <v>3.5767923834585247E-12</v>
      </c>
      <c r="DR179" s="22">
        <f t="shared" si="177"/>
        <v>6.6944552106818241E-12</v>
      </c>
      <c r="DS179" s="62">
        <f t="shared" si="125"/>
        <v>293.33333333334002</v>
      </c>
      <c r="DT179" s="62">
        <f ca="1">AVERAGE(OFFSET($DS$3,0,0,'Données projet'!$E$14+1,1))-AVERAGE(OFFSET($H$3,0,0,'Données projet'!$E$14+1,1))</f>
        <v>343.33067866534634</v>
      </c>
      <c r="DU179" s="62">
        <f t="shared" si="152"/>
        <v>261.91036689641402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428.8489304403459</v>
      </c>
      <c r="T180" s="62">
        <f t="shared" si="142"/>
        <v>247.01165577562966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475.47920969424894</v>
      </c>
      <c r="AO180" s="62">
        <f t="shared" si="144"/>
        <v>271.73544012419364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-9.3464223027694966E-13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455.50822833641354</v>
      </c>
      <c r="BJ180" s="62">
        <f t="shared" si="146"/>
        <v>261.14722581688039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-1.0401663530501537E-12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502.07782026233912</v>
      </c>
      <c r="CE180" s="62">
        <f t="shared" si="148"/>
        <v>285.83623046025156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5.6843418860808015E-14</v>
      </c>
      <c r="CU180" s="18">
        <f>CT180*VLOOKUP('Données projet'!$B$13,Paramètres!$A$1:$I$89,3,0)*VLOOKUP('Données projet'!$B$13,Paramètres!$A$1:$I$89,5,0)</f>
        <v>4.4337866711430253E-14</v>
      </c>
      <c r="CV180" s="14">
        <f t="shared" si="173"/>
        <v>7.3222115536967035E-13</v>
      </c>
      <c r="CW180" s="22">
        <f t="shared" si="174"/>
        <v>1.3525069634579169E-12</v>
      </c>
      <c r="CX180" s="62">
        <f t="shared" si="122"/>
        <v>293.33333333333468</v>
      </c>
      <c r="CY180" s="62">
        <f ca="1">AVERAGE(OFFSET($CX$3,0,0,'Données projet'!$E$13+1,1))-AVERAGE(OFFSET($H$3,0,0,'Données projet'!$E$13+1,1))</f>
        <v>289.19475369871481</v>
      </c>
      <c r="CZ180" s="62">
        <f t="shared" si="150"/>
        <v>283.48738729114024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3.979039320256561E-13</v>
      </c>
      <c r="DP180" s="18">
        <f>DO180*VLOOKUP('Données projet'!$B$14,Paramètres!$A$1:$I$89,3,0)*VLOOKUP('Données projet'!$B$14,Paramètres!$A$1:$I$89,5,0)</f>
        <v>2.669139576028101E-13</v>
      </c>
      <c r="DQ180" s="14">
        <f t="shared" si="176"/>
        <v>3.5767923834585247E-12</v>
      </c>
      <c r="DR180" s="22">
        <f t="shared" si="177"/>
        <v>6.6944552106818241E-12</v>
      </c>
      <c r="DS180" s="62">
        <f t="shared" si="125"/>
        <v>293.33333333334002</v>
      </c>
      <c r="DT180" s="62">
        <f ca="1">AVERAGE(OFFSET($DS$3,0,0,'Données projet'!$E$14+1,1))-AVERAGE(OFFSET($H$3,0,0,'Données projet'!$E$14+1,1))</f>
        <v>343.33067866534634</v>
      </c>
      <c r="DU180" s="62">
        <f t="shared" si="152"/>
        <v>261.91036689641402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428.8489304403459</v>
      </c>
      <c r="T181" s="62">
        <f t="shared" si="142"/>
        <v>247.01165577562966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475.47920969424894</v>
      </c>
      <c r="AO181" s="62">
        <f t="shared" si="144"/>
        <v>271.73544012419364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-9.3464223027694966E-13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455.50822833641354</v>
      </c>
      <c r="BJ181" s="62">
        <f t="shared" si="146"/>
        <v>261.14722581688039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-1.0401663530501537E-12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502.07782026233912</v>
      </c>
      <c r="CE181" s="62">
        <f t="shared" si="148"/>
        <v>285.83623046025156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5.6843418860808015E-14</v>
      </c>
      <c r="CU181" s="18">
        <f>CT181*VLOOKUP('Données projet'!$B$13,Paramètres!$A$1:$I$89,3,0)*VLOOKUP('Données projet'!$B$13,Paramètres!$A$1:$I$89,5,0)</f>
        <v>4.4337866711430253E-14</v>
      </c>
      <c r="CV181" s="14">
        <f t="shared" si="173"/>
        <v>7.3222115536967035E-13</v>
      </c>
      <c r="CW181" s="22">
        <f t="shared" si="174"/>
        <v>1.3525069634579169E-12</v>
      </c>
      <c r="CX181" s="62">
        <f t="shared" si="122"/>
        <v>293.33333333333468</v>
      </c>
      <c r="CY181" s="62">
        <f ca="1">AVERAGE(OFFSET($CX$3,0,0,'Données projet'!$E$13+1,1))-AVERAGE(OFFSET($H$3,0,0,'Données projet'!$E$13+1,1))</f>
        <v>289.19475369871481</v>
      </c>
      <c r="CZ181" s="62">
        <f t="shared" si="150"/>
        <v>283.48738729114024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3.979039320256561E-13</v>
      </c>
      <c r="DP181" s="18">
        <f>DO181*VLOOKUP('Données projet'!$B$14,Paramètres!$A$1:$I$89,3,0)*VLOOKUP('Données projet'!$B$14,Paramètres!$A$1:$I$89,5,0)</f>
        <v>2.669139576028101E-13</v>
      </c>
      <c r="DQ181" s="14">
        <f t="shared" si="176"/>
        <v>3.5767923834585247E-12</v>
      </c>
      <c r="DR181" s="22">
        <f t="shared" si="177"/>
        <v>6.6944552106818241E-12</v>
      </c>
      <c r="DS181" s="62">
        <f t="shared" si="125"/>
        <v>293.33333333334002</v>
      </c>
      <c r="DT181" s="62">
        <f ca="1">AVERAGE(OFFSET($DS$3,0,0,'Données projet'!$E$14+1,1))-AVERAGE(OFFSET($H$3,0,0,'Données projet'!$E$14+1,1))</f>
        <v>343.33067866534634</v>
      </c>
      <c r="DU181" s="62">
        <f t="shared" si="152"/>
        <v>261.91036689641402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428.8489304403459</v>
      </c>
      <c r="T182" s="62">
        <f t="shared" si="142"/>
        <v>247.01165577562966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475.47920969424894</v>
      </c>
      <c r="AO182" s="62">
        <f t="shared" si="144"/>
        <v>271.73544012419364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-9.3464223027694966E-13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455.50822833641354</v>
      </c>
      <c r="BJ182" s="62">
        <f t="shared" si="146"/>
        <v>261.14722581688039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-1.0401663530501537E-12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502.07782026233912</v>
      </c>
      <c r="CE182" s="62">
        <f t="shared" si="148"/>
        <v>285.83623046025156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5.6843418860808015E-14</v>
      </c>
      <c r="CU182" s="18">
        <f>CT182*VLOOKUP('Données projet'!$B$13,Paramètres!$A$1:$I$89,3,0)*VLOOKUP('Données projet'!$B$13,Paramètres!$A$1:$I$89,5,0)</f>
        <v>4.4337866711430253E-14</v>
      </c>
      <c r="CV182" s="14">
        <f t="shared" si="173"/>
        <v>7.3222115536967035E-13</v>
      </c>
      <c r="CW182" s="22">
        <f t="shared" si="174"/>
        <v>1.3525069634579169E-12</v>
      </c>
      <c r="CX182" s="62">
        <f t="shared" si="122"/>
        <v>293.33333333333468</v>
      </c>
      <c r="CY182" s="62">
        <f ca="1">AVERAGE(OFFSET($CX$3,0,0,'Données projet'!$E$13+1,1))-AVERAGE(OFFSET($H$3,0,0,'Données projet'!$E$13+1,1))</f>
        <v>289.19475369871481</v>
      </c>
      <c r="CZ182" s="62">
        <f t="shared" si="150"/>
        <v>283.48738729114024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3.979039320256561E-13</v>
      </c>
      <c r="DP182" s="18">
        <f>DO182*VLOOKUP('Données projet'!$B$14,Paramètres!$A$1:$I$89,3,0)*VLOOKUP('Données projet'!$B$14,Paramètres!$A$1:$I$89,5,0)</f>
        <v>2.669139576028101E-13</v>
      </c>
      <c r="DQ182" s="14">
        <f t="shared" si="176"/>
        <v>3.5767923834585247E-12</v>
      </c>
      <c r="DR182" s="22">
        <f t="shared" si="177"/>
        <v>6.6944552106818241E-12</v>
      </c>
      <c r="DS182" s="62">
        <f t="shared" si="125"/>
        <v>293.33333333334002</v>
      </c>
      <c r="DT182" s="62">
        <f ca="1">AVERAGE(OFFSET($DS$3,0,0,'Données projet'!$E$14+1,1))-AVERAGE(OFFSET($H$3,0,0,'Données projet'!$E$14+1,1))</f>
        <v>343.33067866534634</v>
      </c>
      <c r="DU182" s="62">
        <f t="shared" si="152"/>
        <v>261.91036689641402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428.8489304403459</v>
      </c>
      <c r="T183" s="62">
        <f t="shared" si="142"/>
        <v>247.01165577562966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475.47920969424894</v>
      </c>
      <c r="AO183" s="62">
        <f t="shared" si="144"/>
        <v>271.73544012419364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-9.3464223027694966E-13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455.50822833641354</v>
      </c>
      <c r="BJ183" s="62">
        <f t="shared" si="146"/>
        <v>261.14722581688039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-1.0401663530501537E-12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502.07782026233912</v>
      </c>
      <c r="CE183" s="62">
        <f t="shared" si="148"/>
        <v>285.83623046025156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5.6843418860808015E-14</v>
      </c>
      <c r="CU183" s="18">
        <f>CT183*VLOOKUP('Données projet'!$B$13,Paramètres!$A$1:$I$89,3,0)*VLOOKUP('Données projet'!$B$13,Paramètres!$A$1:$I$89,5,0)</f>
        <v>4.4337866711430253E-14</v>
      </c>
      <c r="CV183" s="14">
        <f t="shared" si="173"/>
        <v>7.3222115536967035E-13</v>
      </c>
      <c r="CW183" s="22">
        <f t="shared" si="174"/>
        <v>1.3525069634579169E-12</v>
      </c>
      <c r="CX183" s="62">
        <f t="shared" si="122"/>
        <v>293.33333333333468</v>
      </c>
      <c r="CY183" s="62">
        <f ca="1">AVERAGE(OFFSET($CX$3,0,0,'Données projet'!$E$13+1,1))-AVERAGE(OFFSET($H$3,0,0,'Données projet'!$E$13+1,1))</f>
        <v>289.19475369871481</v>
      </c>
      <c r="CZ183" s="62">
        <f t="shared" si="150"/>
        <v>283.48738729114024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3.979039320256561E-13</v>
      </c>
      <c r="DP183" s="18">
        <f>DO183*VLOOKUP('Données projet'!$B$14,Paramètres!$A$1:$I$89,3,0)*VLOOKUP('Données projet'!$B$14,Paramètres!$A$1:$I$89,5,0)</f>
        <v>2.669139576028101E-13</v>
      </c>
      <c r="DQ183" s="14">
        <f t="shared" si="176"/>
        <v>3.5767923834585247E-12</v>
      </c>
      <c r="DR183" s="22">
        <f t="shared" si="177"/>
        <v>6.6944552106818241E-12</v>
      </c>
      <c r="DS183" s="62">
        <f t="shared" si="125"/>
        <v>293.33333333334002</v>
      </c>
      <c r="DT183" s="62">
        <f ca="1">AVERAGE(OFFSET($DS$3,0,0,'Données projet'!$E$14+1,1))-AVERAGE(OFFSET($H$3,0,0,'Données projet'!$E$14+1,1))</f>
        <v>343.33067866534634</v>
      </c>
      <c r="DU183" s="62">
        <f t="shared" si="152"/>
        <v>261.91036689641402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428.8489304403459</v>
      </c>
      <c r="T184" s="62">
        <f t="shared" si="142"/>
        <v>247.01165577562966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475.47920969424894</v>
      </c>
      <c r="AO184" s="62">
        <f t="shared" si="144"/>
        <v>271.73544012419364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-9.3464223027694966E-13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455.50822833641354</v>
      </c>
      <c r="BJ184" s="62">
        <f t="shared" si="146"/>
        <v>261.14722581688039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-1.0401663530501537E-12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502.07782026233912</v>
      </c>
      <c r="CE184" s="62">
        <f t="shared" si="148"/>
        <v>285.83623046025156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5.6843418860808015E-14</v>
      </c>
      <c r="CU184" s="18">
        <f>CT184*VLOOKUP('Données projet'!$B$13,Paramètres!$A$1:$I$89,3,0)*VLOOKUP('Données projet'!$B$13,Paramètres!$A$1:$I$89,5,0)</f>
        <v>4.4337866711430253E-14</v>
      </c>
      <c r="CV184" s="14">
        <f t="shared" si="173"/>
        <v>7.3222115536967035E-13</v>
      </c>
      <c r="CW184" s="22">
        <f t="shared" si="174"/>
        <v>1.3525069634579169E-12</v>
      </c>
      <c r="CX184" s="62">
        <f t="shared" si="122"/>
        <v>293.33333333333468</v>
      </c>
      <c r="CY184" s="62">
        <f ca="1">AVERAGE(OFFSET($CX$3,0,0,'Données projet'!$E$13+1,1))-AVERAGE(OFFSET($H$3,0,0,'Données projet'!$E$13+1,1))</f>
        <v>289.19475369871481</v>
      </c>
      <c r="CZ184" s="62">
        <f t="shared" si="150"/>
        <v>283.48738729114024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3.979039320256561E-13</v>
      </c>
      <c r="DP184" s="18">
        <f>DO184*VLOOKUP('Données projet'!$B$14,Paramètres!$A$1:$I$89,3,0)*VLOOKUP('Données projet'!$B$14,Paramètres!$A$1:$I$89,5,0)</f>
        <v>2.669139576028101E-13</v>
      </c>
      <c r="DQ184" s="14">
        <f t="shared" si="176"/>
        <v>3.5767923834585247E-12</v>
      </c>
      <c r="DR184" s="22">
        <f t="shared" si="177"/>
        <v>6.6944552106818241E-12</v>
      </c>
      <c r="DS184" s="62">
        <f t="shared" si="125"/>
        <v>293.33333333334002</v>
      </c>
      <c r="DT184" s="62">
        <f ca="1">AVERAGE(OFFSET($DS$3,0,0,'Données projet'!$E$14+1,1))-AVERAGE(OFFSET($H$3,0,0,'Données projet'!$E$14+1,1))</f>
        <v>343.33067866534634</v>
      </c>
      <c r="DU184" s="62">
        <f t="shared" si="152"/>
        <v>261.91036689641402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428.8489304403459</v>
      </c>
      <c r="T185" s="62">
        <f t="shared" si="142"/>
        <v>247.01165577562966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475.47920969424894</v>
      </c>
      <c r="AO185" s="62">
        <f t="shared" si="144"/>
        <v>271.73544012419364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-9.3464223027694966E-13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455.50822833641354</v>
      </c>
      <c r="BJ185" s="62">
        <f t="shared" si="146"/>
        <v>261.14722581688039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-1.0401663530501537E-12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502.07782026233912</v>
      </c>
      <c r="CE185" s="62">
        <f t="shared" si="148"/>
        <v>285.83623046025156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5.6843418860808015E-14</v>
      </c>
      <c r="CU185" s="18">
        <f>CT185*VLOOKUP('Données projet'!$B$13,Paramètres!$A$1:$I$89,3,0)*VLOOKUP('Données projet'!$B$13,Paramètres!$A$1:$I$89,5,0)</f>
        <v>4.4337866711430253E-14</v>
      </c>
      <c r="CV185" s="14">
        <f t="shared" si="173"/>
        <v>7.3222115536967035E-13</v>
      </c>
      <c r="CW185" s="22">
        <f t="shared" si="174"/>
        <v>1.3525069634579169E-12</v>
      </c>
      <c r="CX185" s="62">
        <f t="shared" si="122"/>
        <v>293.33333333333468</v>
      </c>
      <c r="CY185" s="62">
        <f ca="1">AVERAGE(OFFSET($CX$3,0,0,'Données projet'!$E$13+1,1))-AVERAGE(OFFSET($H$3,0,0,'Données projet'!$E$13+1,1))</f>
        <v>289.19475369871481</v>
      </c>
      <c r="CZ185" s="62">
        <f t="shared" si="150"/>
        <v>283.48738729114024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3.979039320256561E-13</v>
      </c>
      <c r="DP185" s="18">
        <f>DO185*VLOOKUP('Données projet'!$B$14,Paramètres!$A$1:$I$89,3,0)*VLOOKUP('Données projet'!$B$14,Paramètres!$A$1:$I$89,5,0)</f>
        <v>2.669139576028101E-13</v>
      </c>
      <c r="DQ185" s="14">
        <f t="shared" si="176"/>
        <v>3.5767923834585247E-12</v>
      </c>
      <c r="DR185" s="22">
        <f t="shared" si="177"/>
        <v>6.6944552106818241E-12</v>
      </c>
      <c r="DS185" s="62">
        <f t="shared" si="125"/>
        <v>293.33333333334002</v>
      </c>
      <c r="DT185" s="62">
        <f ca="1">AVERAGE(OFFSET($DS$3,0,0,'Données projet'!$E$14+1,1))-AVERAGE(OFFSET($H$3,0,0,'Données projet'!$E$14+1,1))</f>
        <v>343.33067866534634</v>
      </c>
      <c r="DU185" s="62">
        <f t="shared" si="152"/>
        <v>261.91036689641402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428.8489304403459</v>
      </c>
      <c r="T186" s="62">
        <f t="shared" si="142"/>
        <v>247.01165577562966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475.47920969424894</v>
      </c>
      <c r="AO186" s="62">
        <f t="shared" si="144"/>
        <v>271.73544012419364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-9.3464223027694966E-13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455.50822833641354</v>
      </c>
      <c r="BJ186" s="62">
        <f t="shared" si="146"/>
        <v>261.14722581688039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-1.0401663530501537E-12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502.07782026233912</v>
      </c>
      <c r="CE186" s="62">
        <f t="shared" si="148"/>
        <v>285.83623046025156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5.6843418860808015E-14</v>
      </c>
      <c r="CU186" s="18">
        <f>CT186*VLOOKUP('Données projet'!$B$13,Paramètres!$A$1:$I$89,3,0)*VLOOKUP('Données projet'!$B$13,Paramètres!$A$1:$I$89,5,0)</f>
        <v>4.4337866711430253E-14</v>
      </c>
      <c r="CV186" s="14">
        <f t="shared" si="173"/>
        <v>7.3222115536967035E-13</v>
      </c>
      <c r="CW186" s="22">
        <f t="shared" si="174"/>
        <v>1.3525069634579169E-12</v>
      </c>
      <c r="CX186" s="62">
        <f t="shared" si="122"/>
        <v>293.33333333333468</v>
      </c>
      <c r="CY186" s="62">
        <f ca="1">AVERAGE(OFFSET($CX$3,0,0,'Données projet'!$E$13+1,1))-AVERAGE(OFFSET($H$3,0,0,'Données projet'!$E$13+1,1))</f>
        <v>289.19475369871481</v>
      </c>
      <c r="CZ186" s="62">
        <f t="shared" si="150"/>
        <v>283.48738729114024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3.979039320256561E-13</v>
      </c>
      <c r="DP186" s="18">
        <f>DO186*VLOOKUP('Données projet'!$B$14,Paramètres!$A$1:$I$89,3,0)*VLOOKUP('Données projet'!$B$14,Paramètres!$A$1:$I$89,5,0)</f>
        <v>2.669139576028101E-13</v>
      </c>
      <c r="DQ186" s="14">
        <f t="shared" si="176"/>
        <v>3.5767923834585247E-12</v>
      </c>
      <c r="DR186" s="22">
        <f t="shared" si="177"/>
        <v>6.6944552106818241E-12</v>
      </c>
      <c r="DS186" s="62">
        <f t="shared" si="125"/>
        <v>293.33333333334002</v>
      </c>
      <c r="DT186" s="62">
        <f ca="1">AVERAGE(OFFSET($DS$3,0,0,'Données projet'!$E$14+1,1))-AVERAGE(OFFSET($H$3,0,0,'Données projet'!$E$14+1,1))</f>
        <v>343.33067866534634</v>
      </c>
      <c r="DU186" s="62">
        <f t="shared" si="152"/>
        <v>261.91036689641402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428.8489304403459</v>
      </c>
      <c r="T187" s="62">
        <f t="shared" si="142"/>
        <v>247.01165577562966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475.47920969424894</v>
      </c>
      <c r="AO187" s="62">
        <f t="shared" si="144"/>
        <v>271.73544012419364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-9.3464223027694966E-13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455.50822833641354</v>
      </c>
      <c r="BJ187" s="62">
        <f t="shared" si="146"/>
        <v>261.14722581688039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-1.0401663530501537E-12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502.07782026233912</v>
      </c>
      <c r="CE187" s="62">
        <f t="shared" si="148"/>
        <v>285.83623046025156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5.6843418860808015E-14</v>
      </c>
      <c r="CU187" s="18">
        <f>CT187*VLOOKUP('Données projet'!$B$13,Paramètres!$A$1:$I$89,3,0)*VLOOKUP('Données projet'!$B$13,Paramètres!$A$1:$I$89,5,0)</f>
        <v>4.4337866711430253E-14</v>
      </c>
      <c r="CV187" s="14">
        <f t="shared" si="173"/>
        <v>7.3222115536967035E-13</v>
      </c>
      <c r="CW187" s="22">
        <f t="shared" si="174"/>
        <v>1.3525069634579169E-12</v>
      </c>
      <c r="CX187" s="62">
        <f t="shared" si="122"/>
        <v>293.33333333333468</v>
      </c>
      <c r="CY187" s="62">
        <f ca="1">AVERAGE(OFFSET($CX$3,0,0,'Données projet'!$E$13+1,1))-AVERAGE(OFFSET($H$3,0,0,'Données projet'!$E$13+1,1))</f>
        <v>289.19475369871481</v>
      </c>
      <c r="CZ187" s="62">
        <f t="shared" si="150"/>
        <v>283.48738729114024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3.979039320256561E-13</v>
      </c>
      <c r="DP187" s="18">
        <f>DO187*VLOOKUP('Données projet'!$B$14,Paramètres!$A$1:$I$89,3,0)*VLOOKUP('Données projet'!$B$14,Paramètres!$A$1:$I$89,5,0)</f>
        <v>2.669139576028101E-13</v>
      </c>
      <c r="DQ187" s="14">
        <f t="shared" si="176"/>
        <v>3.5767923834585247E-12</v>
      </c>
      <c r="DR187" s="22">
        <f t="shared" si="177"/>
        <v>6.6944552106818241E-12</v>
      </c>
      <c r="DS187" s="62">
        <f t="shared" si="125"/>
        <v>293.33333333334002</v>
      </c>
      <c r="DT187" s="62">
        <f ca="1">AVERAGE(OFFSET($DS$3,0,0,'Données projet'!$E$14+1,1))-AVERAGE(OFFSET($H$3,0,0,'Données projet'!$E$14+1,1))</f>
        <v>343.33067866534634</v>
      </c>
      <c r="DU187" s="62">
        <f t="shared" si="152"/>
        <v>261.91036689641402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428.8489304403459</v>
      </c>
      <c r="T188" s="62">
        <f t="shared" si="142"/>
        <v>247.01165577562966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475.47920969424894</v>
      </c>
      <c r="AO188" s="62">
        <f t="shared" si="144"/>
        <v>271.73544012419364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-9.3464223027694966E-13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455.50822833641354</v>
      </c>
      <c r="BJ188" s="62">
        <f t="shared" si="146"/>
        <v>261.14722581688039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-1.0401663530501537E-12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502.07782026233912</v>
      </c>
      <c r="CE188" s="62">
        <f t="shared" si="148"/>
        <v>285.83623046025156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5.6843418860808015E-14</v>
      </c>
      <c r="CU188" s="18">
        <f>CT188*VLOOKUP('Données projet'!$B$13,Paramètres!$A$1:$I$89,3,0)*VLOOKUP('Données projet'!$B$13,Paramètres!$A$1:$I$89,5,0)</f>
        <v>4.4337866711430253E-14</v>
      </c>
      <c r="CV188" s="14">
        <f t="shared" si="173"/>
        <v>7.3222115536967035E-13</v>
      </c>
      <c r="CW188" s="22">
        <f t="shared" si="174"/>
        <v>1.3525069634579169E-12</v>
      </c>
      <c r="CX188" s="62">
        <f t="shared" si="122"/>
        <v>293.33333333333468</v>
      </c>
      <c r="CY188" s="62">
        <f ca="1">AVERAGE(OFFSET($CX$3,0,0,'Données projet'!$E$13+1,1))-AVERAGE(OFFSET($H$3,0,0,'Données projet'!$E$13+1,1))</f>
        <v>289.19475369871481</v>
      </c>
      <c r="CZ188" s="62">
        <f t="shared" si="150"/>
        <v>283.48738729114024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3.979039320256561E-13</v>
      </c>
      <c r="DP188" s="18">
        <f>DO188*VLOOKUP('Données projet'!$B$14,Paramètres!$A$1:$I$89,3,0)*VLOOKUP('Données projet'!$B$14,Paramètres!$A$1:$I$89,5,0)</f>
        <v>2.669139576028101E-13</v>
      </c>
      <c r="DQ188" s="14">
        <f t="shared" si="176"/>
        <v>3.5767923834585247E-12</v>
      </c>
      <c r="DR188" s="22">
        <f t="shared" si="177"/>
        <v>6.6944552106818241E-12</v>
      </c>
      <c r="DS188" s="62">
        <f t="shared" si="125"/>
        <v>293.33333333334002</v>
      </c>
      <c r="DT188" s="62">
        <f ca="1">AVERAGE(OFFSET($DS$3,0,0,'Données projet'!$E$14+1,1))-AVERAGE(OFFSET($H$3,0,0,'Données projet'!$E$14+1,1))</f>
        <v>343.33067866534634</v>
      </c>
      <c r="DU188" s="62">
        <f t="shared" si="152"/>
        <v>261.91036689641402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428.8489304403459</v>
      </c>
      <c r="T189" s="62">
        <f t="shared" si="142"/>
        <v>247.01165577562966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475.47920969424894</v>
      </c>
      <c r="AO189" s="62">
        <f t="shared" si="144"/>
        <v>271.73544012419364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-9.3464223027694966E-13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455.50822833641354</v>
      </c>
      <c r="BJ189" s="62">
        <f t="shared" si="146"/>
        <v>261.14722581688039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-1.0401663530501537E-12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502.07782026233912</v>
      </c>
      <c r="CE189" s="62">
        <f t="shared" si="148"/>
        <v>285.83623046025156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5.6843418860808015E-14</v>
      </c>
      <c r="CU189" s="18">
        <f>CT189*VLOOKUP('Données projet'!$B$13,Paramètres!$A$1:$I$89,3,0)*VLOOKUP('Données projet'!$B$13,Paramètres!$A$1:$I$89,5,0)</f>
        <v>4.4337866711430253E-14</v>
      </c>
      <c r="CV189" s="14">
        <f t="shared" si="173"/>
        <v>7.3222115536967035E-13</v>
      </c>
      <c r="CW189" s="22">
        <f t="shared" si="174"/>
        <v>1.3525069634579169E-12</v>
      </c>
      <c r="CX189" s="62">
        <f t="shared" si="122"/>
        <v>293.33333333333468</v>
      </c>
      <c r="CY189" s="62">
        <f ca="1">AVERAGE(OFFSET($CX$3,0,0,'Données projet'!$E$13+1,1))-AVERAGE(OFFSET($H$3,0,0,'Données projet'!$E$13+1,1))</f>
        <v>289.19475369871481</v>
      </c>
      <c r="CZ189" s="62">
        <f t="shared" si="150"/>
        <v>283.48738729114024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3.979039320256561E-13</v>
      </c>
      <c r="DP189" s="18">
        <f>DO189*VLOOKUP('Données projet'!$B$14,Paramètres!$A$1:$I$89,3,0)*VLOOKUP('Données projet'!$B$14,Paramètres!$A$1:$I$89,5,0)</f>
        <v>2.669139576028101E-13</v>
      </c>
      <c r="DQ189" s="14">
        <f t="shared" si="176"/>
        <v>3.5767923834585247E-12</v>
      </c>
      <c r="DR189" s="22">
        <f t="shared" si="177"/>
        <v>6.6944552106818241E-12</v>
      </c>
      <c r="DS189" s="62">
        <f t="shared" si="125"/>
        <v>293.33333333334002</v>
      </c>
      <c r="DT189" s="62">
        <f ca="1">AVERAGE(OFFSET($DS$3,0,0,'Données projet'!$E$14+1,1))-AVERAGE(OFFSET($H$3,0,0,'Données projet'!$E$14+1,1))</f>
        <v>343.33067866534634</v>
      </c>
      <c r="DU189" s="62">
        <f t="shared" si="152"/>
        <v>261.91036689641402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428.8489304403459</v>
      </c>
      <c r="T190" s="62">
        <f t="shared" si="142"/>
        <v>247.01165577562966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475.47920969424894</v>
      </c>
      <c r="AO190" s="62">
        <f t="shared" si="144"/>
        <v>271.73544012419364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-9.3464223027694966E-13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455.50822833641354</v>
      </c>
      <c r="BJ190" s="62">
        <f t="shared" si="146"/>
        <v>261.14722581688039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-1.0401663530501537E-12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502.07782026233912</v>
      </c>
      <c r="CE190" s="62">
        <f t="shared" si="148"/>
        <v>285.83623046025156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5.6843418860808015E-14</v>
      </c>
      <c r="CU190" s="18">
        <f>CT190*VLOOKUP('Données projet'!$B$13,Paramètres!$A$1:$I$89,3,0)*VLOOKUP('Données projet'!$B$13,Paramètres!$A$1:$I$89,5,0)</f>
        <v>4.4337866711430253E-14</v>
      </c>
      <c r="CV190" s="14">
        <f t="shared" si="173"/>
        <v>7.3222115536967035E-13</v>
      </c>
      <c r="CW190" s="22">
        <f t="shared" si="174"/>
        <v>1.3525069634579169E-12</v>
      </c>
      <c r="CX190" s="62">
        <f t="shared" si="122"/>
        <v>293.33333333333468</v>
      </c>
      <c r="CY190" s="62">
        <f ca="1">AVERAGE(OFFSET($CX$3,0,0,'Données projet'!$E$13+1,1))-AVERAGE(OFFSET($H$3,0,0,'Données projet'!$E$13+1,1))</f>
        <v>289.19475369871481</v>
      </c>
      <c r="CZ190" s="62">
        <f t="shared" si="150"/>
        <v>283.48738729114024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3.979039320256561E-13</v>
      </c>
      <c r="DP190" s="18">
        <f>DO190*VLOOKUP('Données projet'!$B$14,Paramètres!$A$1:$I$89,3,0)*VLOOKUP('Données projet'!$B$14,Paramètres!$A$1:$I$89,5,0)</f>
        <v>2.669139576028101E-13</v>
      </c>
      <c r="DQ190" s="14">
        <f t="shared" si="176"/>
        <v>3.5767923834585247E-12</v>
      </c>
      <c r="DR190" s="22">
        <f t="shared" si="177"/>
        <v>6.6944552106818241E-12</v>
      </c>
      <c r="DS190" s="62">
        <f t="shared" si="125"/>
        <v>293.33333333334002</v>
      </c>
      <c r="DT190" s="62">
        <f ca="1">AVERAGE(OFFSET($DS$3,0,0,'Données projet'!$E$14+1,1))-AVERAGE(OFFSET($H$3,0,0,'Données projet'!$E$14+1,1))</f>
        <v>343.33067866534634</v>
      </c>
      <c r="DU190" s="62">
        <f t="shared" si="152"/>
        <v>261.91036689641402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428.8489304403459</v>
      </c>
      <c r="T191" s="62">
        <f t="shared" si="142"/>
        <v>247.01165577562966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475.47920969424894</v>
      </c>
      <c r="AO191" s="62">
        <f t="shared" si="144"/>
        <v>271.73544012419364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-9.3464223027694966E-13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455.50822833641354</v>
      </c>
      <c r="BJ191" s="62">
        <f t="shared" si="146"/>
        <v>261.14722581688039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-1.0401663530501537E-12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502.07782026233912</v>
      </c>
      <c r="CE191" s="62">
        <f t="shared" si="148"/>
        <v>285.83623046025156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5.6843418860808015E-14</v>
      </c>
      <c r="CU191" s="18">
        <f>CT191*VLOOKUP('Données projet'!$B$13,Paramètres!$A$1:$I$89,3,0)*VLOOKUP('Données projet'!$B$13,Paramètres!$A$1:$I$89,5,0)</f>
        <v>4.4337866711430253E-14</v>
      </c>
      <c r="CV191" s="14">
        <f t="shared" si="173"/>
        <v>7.3222115536967035E-13</v>
      </c>
      <c r="CW191" s="22">
        <f t="shared" si="174"/>
        <v>1.3525069634579169E-12</v>
      </c>
      <c r="CX191" s="62">
        <f t="shared" si="122"/>
        <v>293.33333333333468</v>
      </c>
      <c r="CY191" s="62">
        <f ca="1">AVERAGE(OFFSET($CX$3,0,0,'Données projet'!$E$13+1,1))-AVERAGE(OFFSET($H$3,0,0,'Données projet'!$E$13+1,1))</f>
        <v>289.19475369871481</v>
      </c>
      <c r="CZ191" s="62">
        <f t="shared" si="150"/>
        <v>283.48738729114024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3.979039320256561E-13</v>
      </c>
      <c r="DP191" s="18">
        <f>DO191*VLOOKUP('Données projet'!$B$14,Paramètres!$A$1:$I$89,3,0)*VLOOKUP('Données projet'!$B$14,Paramètres!$A$1:$I$89,5,0)</f>
        <v>2.669139576028101E-13</v>
      </c>
      <c r="DQ191" s="14">
        <f t="shared" si="176"/>
        <v>3.5767923834585247E-12</v>
      </c>
      <c r="DR191" s="22">
        <f t="shared" si="177"/>
        <v>6.6944552106818241E-12</v>
      </c>
      <c r="DS191" s="62">
        <f t="shared" si="125"/>
        <v>293.33333333334002</v>
      </c>
      <c r="DT191" s="62">
        <f ca="1">AVERAGE(OFFSET($DS$3,0,0,'Données projet'!$E$14+1,1))-AVERAGE(OFFSET($H$3,0,0,'Données projet'!$E$14+1,1))</f>
        <v>343.33067866534634</v>
      </c>
      <c r="DU191" s="62">
        <f t="shared" si="152"/>
        <v>261.91036689641402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428.8489304403459</v>
      </c>
      <c r="T192" s="62">
        <f t="shared" si="142"/>
        <v>247.01165577562966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475.47920969424894</v>
      </c>
      <c r="AO192" s="62">
        <f t="shared" si="144"/>
        <v>271.73544012419364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-9.3464223027694966E-13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455.50822833641354</v>
      </c>
      <c r="BJ192" s="62">
        <f t="shared" si="146"/>
        <v>261.14722581688039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-1.0401663530501537E-12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502.07782026233912</v>
      </c>
      <c r="CE192" s="62">
        <f t="shared" si="148"/>
        <v>285.83623046025156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5.6843418860808015E-14</v>
      </c>
      <c r="CU192" s="18">
        <f>CT192*VLOOKUP('Données projet'!$B$13,Paramètres!$A$1:$I$89,3,0)*VLOOKUP('Données projet'!$B$13,Paramètres!$A$1:$I$89,5,0)</f>
        <v>4.4337866711430253E-14</v>
      </c>
      <c r="CV192" s="14">
        <f t="shared" si="173"/>
        <v>7.3222115536967035E-13</v>
      </c>
      <c r="CW192" s="22">
        <f t="shared" si="174"/>
        <v>1.3525069634579169E-12</v>
      </c>
      <c r="CX192" s="62">
        <f t="shared" si="122"/>
        <v>293.33333333333468</v>
      </c>
      <c r="CY192" s="62">
        <f ca="1">AVERAGE(OFFSET($CX$3,0,0,'Données projet'!$E$13+1,1))-AVERAGE(OFFSET($H$3,0,0,'Données projet'!$E$13+1,1))</f>
        <v>289.19475369871481</v>
      </c>
      <c r="CZ192" s="62">
        <f t="shared" si="150"/>
        <v>283.48738729114024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3.979039320256561E-13</v>
      </c>
      <c r="DP192" s="18">
        <f>DO192*VLOOKUP('Données projet'!$B$14,Paramètres!$A$1:$I$89,3,0)*VLOOKUP('Données projet'!$B$14,Paramètres!$A$1:$I$89,5,0)</f>
        <v>2.669139576028101E-13</v>
      </c>
      <c r="DQ192" s="14">
        <f t="shared" si="176"/>
        <v>3.5767923834585247E-12</v>
      </c>
      <c r="DR192" s="22">
        <f t="shared" si="177"/>
        <v>6.6944552106818241E-12</v>
      </c>
      <c r="DS192" s="62">
        <f t="shared" si="125"/>
        <v>293.33333333334002</v>
      </c>
      <c r="DT192" s="62">
        <f ca="1">AVERAGE(OFFSET($DS$3,0,0,'Données projet'!$E$14+1,1))-AVERAGE(OFFSET($H$3,0,0,'Données projet'!$E$14+1,1))</f>
        <v>343.33067866534634</v>
      </c>
      <c r="DU192" s="62">
        <f t="shared" si="152"/>
        <v>261.91036689641402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428.8489304403459</v>
      </c>
      <c r="T193" s="62">
        <f t="shared" si="142"/>
        <v>247.01165577562966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475.47920969424894</v>
      </c>
      <c r="AO193" s="62">
        <f t="shared" si="144"/>
        <v>271.73544012419364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-9.3464223027694966E-13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455.50822833641354</v>
      </c>
      <c r="BJ193" s="62">
        <f t="shared" si="146"/>
        <v>261.14722581688039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-1.0401663530501537E-12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502.07782026233912</v>
      </c>
      <c r="CE193" s="62">
        <f t="shared" si="148"/>
        <v>285.83623046025156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5.6843418860808015E-14</v>
      </c>
      <c r="CU193" s="18">
        <f>CT193*VLOOKUP('Données projet'!$B$13,Paramètres!$A$1:$I$89,3,0)*VLOOKUP('Données projet'!$B$13,Paramètres!$A$1:$I$89,5,0)</f>
        <v>4.4337866711430253E-14</v>
      </c>
      <c r="CV193" s="14">
        <f t="shared" si="173"/>
        <v>7.3222115536967035E-13</v>
      </c>
      <c r="CW193" s="22">
        <f t="shared" si="174"/>
        <v>1.3525069634579169E-12</v>
      </c>
      <c r="CX193" s="62">
        <f t="shared" si="122"/>
        <v>293.33333333333468</v>
      </c>
      <c r="CY193" s="62">
        <f ca="1">AVERAGE(OFFSET($CX$3,0,0,'Données projet'!$E$13+1,1))-AVERAGE(OFFSET($H$3,0,0,'Données projet'!$E$13+1,1))</f>
        <v>289.19475369871481</v>
      </c>
      <c r="CZ193" s="62">
        <f t="shared" si="150"/>
        <v>283.48738729114024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3.979039320256561E-13</v>
      </c>
      <c r="DP193" s="18">
        <f>DO193*VLOOKUP('Données projet'!$B$14,Paramètres!$A$1:$I$89,3,0)*VLOOKUP('Données projet'!$B$14,Paramètres!$A$1:$I$89,5,0)</f>
        <v>2.669139576028101E-13</v>
      </c>
      <c r="DQ193" s="14">
        <f t="shared" si="176"/>
        <v>3.5767923834585247E-12</v>
      </c>
      <c r="DR193" s="22">
        <f t="shared" si="177"/>
        <v>6.6944552106818241E-12</v>
      </c>
      <c r="DS193" s="62">
        <f t="shared" si="125"/>
        <v>293.33333333334002</v>
      </c>
      <c r="DT193" s="62">
        <f ca="1">AVERAGE(OFFSET($DS$3,0,0,'Données projet'!$E$14+1,1))-AVERAGE(OFFSET($H$3,0,0,'Données projet'!$E$14+1,1))</f>
        <v>343.33067866534634</v>
      </c>
      <c r="DU193" s="62">
        <f t="shared" si="152"/>
        <v>261.91036689641402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428.8489304403459</v>
      </c>
      <c r="T194" s="62">
        <f t="shared" si="142"/>
        <v>247.01165577562966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475.47920969424894</v>
      </c>
      <c r="AO194" s="62">
        <f t="shared" si="144"/>
        <v>271.73544012419364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-9.3464223027694966E-13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455.50822833641354</v>
      </c>
      <c r="BJ194" s="62">
        <f t="shared" si="146"/>
        <v>261.14722581688039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-1.0401663530501537E-12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502.07782026233912</v>
      </c>
      <c r="CE194" s="62">
        <f t="shared" si="148"/>
        <v>285.83623046025156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5.6843418860808015E-14</v>
      </c>
      <c r="CU194" s="18">
        <f>CT194*VLOOKUP('Données projet'!$B$13,Paramètres!$A$1:$I$89,3,0)*VLOOKUP('Données projet'!$B$13,Paramètres!$A$1:$I$89,5,0)</f>
        <v>4.4337866711430253E-14</v>
      </c>
      <c r="CV194" s="14">
        <f t="shared" si="173"/>
        <v>7.3222115536967035E-13</v>
      </c>
      <c r="CW194" s="22">
        <f t="shared" si="174"/>
        <v>1.3525069634579169E-12</v>
      </c>
      <c r="CX194" s="62">
        <f t="shared" si="122"/>
        <v>293.33333333333468</v>
      </c>
      <c r="CY194" s="62">
        <f ca="1">AVERAGE(OFFSET($CX$3,0,0,'Données projet'!$E$13+1,1))-AVERAGE(OFFSET($H$3,0,0,'Données projet'!$E$13+1,1))</f>
        <v>289.19475369871481</v>
      </c>
      <c r="CZ194" s="62">
        <f t="shared" si="150"/>
        <v>283.48738729114024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3.979039320256561E-13</v>
      </c>
      <c r="DP194" s="18">
        <f>DO194*VLOOKUP('Données projet'!$B$14,Paramètres!$A$1:$I$89,3,0)*VLOOKUP('Données projet'!$B$14,Paramètres!$A$1:$I$89,5,0)</f>
        <v>2.669139576028101E-13</v>
      </c>
      <c r="DQ194" s="14">
        <f t="shared" si="176"/>
        <v>3.5767923834585247E-12</v>
      </c>
      <c r="DR194" s="22">
        <f t="shared" si="177"/>
        <v>6.6944552106818241E-12</v>
      </c>
      <c r="DS194" s="62">
        <f t="shared" si="125"/>
        <v>293.33333333334002</v>
      </c>
      <c r="DT194" s="62">
        <f ca="1">AVERAGE(OFFSET($DS$3,0,0,'Données projet'!$E$14+1,1))-AVERAGE(OFFSET($H$3,0,0,'Données projet'!$E$14+1,1))</f>
        <v>343.33067866534634</v>
      </c>
      <c r="DU194" s="62">
        <f t="shared" si="152"/>
        <v>261.91036689641402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428.8489304403459</v>
      </c>
      <c r="T195" s="62">
        <f t="shared" si="142"/>
        <v>247.01165577562966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475.47920969424894</v>
      </c>
      <c r="AO195" s="62">
        <f t="shared" si="144"/>
        <v>271.73544012419364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-9.3464223027694966E-13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455.50822833641354</v>
      </c>
      <c r="BJ195" s="62">
        <f t="shared" si="146"/>
        <v>261.14722581688039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-1.0401663530501537E-12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502.07782026233912</v>
      </c>
      <c r="CE195" s="62">
        <f t="shared" si="148"/>
        <v>285.83623046025156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5.6843418860808015E-14</v>
      </c>
      <c r="CU195" s="18">
        <f>CT195*VLOOKUP('Données projet'!$B$13,Paramètres!$A$1:$I$89,3,0)*VLOOKUP('Données projet'!$B$13,Paramètres!$A$1:$I$89,5,0)</f>
        <v>4.4337866711430253E-14</v>
      </c>
      <c r="CV195" s="14">
        <f t="shared" si="173"/>
        <v>7.3222115536967035E-13</v>
      </c>
      <c r="CW195" s="22">
        <f t="shared" si="174"/>
        <v>1.3525069634579169E-12</v>
      </c>
      <c r="CX195" s="62">
        <f t="shared" si="122"/>
        <v>293.33333333333468</v>
      </c>
      <c r="CY195" s="62">
        <f ca="1">AVERAGE(OFFSET($CX$3,0,0,'Données projet'!$E$13+1,1))-AVERAGE(OFFSET($H$3,0,0,'Données projet'!$E$13+1,1))</f>
        <v>289.19475369871481</v>
      </c>
      <c r="CZ195" s="62">
        <f t="shared" si="150"/>
        <v>283.48738729114024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3.979039320256561E-13</v>
      </c>
      <c r="DP195" s="18">
        <f>DO195*VLOOKUP('Données projet'!$B$14,Paramètres!$A$1:$I$89,3,0)*VLOOKUP('Données projet'!$B$14,Paramètres!$A$1:$I$89,5,0)</f>
        <v>2.669139576028101E-13</v>
      </c>
      <c r="DQ195" s="14">
        <f t="shared" si="176"/>
        <v>3.5767923834585247E-12</v>
      </c>
      <c r="DR195" s="22">
        <f t="shared" si="177"/>
        <v>6.6944552106818241E-12</v>
      </c>
      <c r="DS195" s="62">
        <f t="shared" si="125"/>
        <v>293.33333333334002</v>
      </c>
      <c r="DT195" s="62">
        <f ca="1">AVERAGE(OFFSET($DS$3,0,0,'Données projet'!$E$14+1,1))-AVERAGE(OFFSET($H$3,0,0,'Données projet'!$E$14+1,1))</f>
        <v>343.33067866534634</v>
      </c>
      <c r="DU195" s="62">
        <f t="shared" si="152"/>
        <v>261.91036689641402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428.8489304403459</v>
      </c>
      <c r="T196" s="62">
        <f t="shared" si="142"/>
        <v>247.01165577562966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475.47920969424894</v>
      </c>
      <c r="AO196" s="62">
        <f t="shared" si="144"/>
        <v>271.73544012419364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-9.3464223027694966E-13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455.50822833641354</v>
      </c>
      <c r="BJ196" s="62">
        <f t="shared" si="146"/>
        <v>261.14722581688039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-1.0401663530501537E-12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502.07782026233912</v>
      </c>
      <c r="CE196" s="62">
        <f t="shared" si="148"/>
        <v>285.83623046025156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5.6843418860808015E-14</v>
      </c>
      <c r="CU196" s="18">
        <f>CT196*VLOOKUP('Données projet'!$B$13,Paramètres!$A$1:$I$89,3,0)*VLOOKUP('Données projet'!$B$13,Paramètres!$A$1:$I$89,5,0)</f>
        <v>4.4337866711430253E-14</v>
      </c>
      <c r="CV196" s="14">
        <f t="shared" si="173"/>
        <v>7.3222115536967035E-13</v>
      </c>
      <c r="CW196" s="22">
        <f t="shared" si="174"/>
        <v>1.3525069634579169E-12</v>
      </c>
      <c r="CX196" s="62">
        <f t="shared" ref="CX196:CX203" si="196">CW196+(CO196+CP196)*44/12</f>
        <v>293.33333333333468</v>
      </c>
      <c r="CY196" s="62">
        <f ca="1">AVERAGE(OFFSET($CX$3,0,0,'Données projet'!$E$13+1,1))-AVERAGE(OFFSET($H$3,0,0,'Données projet'!$E$13+1,1))</f>
        <v>289.19475369871481</v>
      </c>
      <c r="CZ196" s="62">
        <f t="shared" si="150"/>
        <v>283.48738729114024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3.979039320256561E-13</v>
      </c>
      <c r="DP196" s="18">
        <f>DO196*VLOOKUP('Données projet'!$B$14,Paramètres!$A$1:$I$89,3,0)*VLOOKUP('Données projet'!$B$14,Paramètres!$A$1:$I$89,5,0)</f>
        <v>2.669139576028101E-13</v>
      </c>
      <c r="DQ196" s="14">
        <f t="shared" si="176"/>
        <v>3.5767923834585247E-12</v>
      </c>
      <c r="DR196" s="22">
        <f t="shared" si="177"/>
        <v>6.6944552106818241E-12</v>
      </c>
      <c r="DS196" s="62">
        <f t="shared" ref="DS196:DS203" si="197">DR196+(DJ196+DK196)*44/12</f>
        <v>293.33333333334002</v>
      </c>
      <c r="DT196" s="62">
        <f ca="1">AVERAGE(OFFSET($DS$3,0,0,'Données projet'!$E$14+1,1))-AVERAGE(OFFSET($H$3,0,0,'Données projet'!$E$14+1,1))</f>
        <v>343.33067866534634</v>
      </c>
      <c r="DU196" s="62">
        <f t="shared" si="152"/>
        <v>261.91036689641402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428.8489304403459</v>
      </c>
      <c r="T197" s="62">
        <f t="shared" ref="T197:T203" si="204">$T$3</f>
        <v>247.01165577562966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475.47920969424894</v>
      </c>
      <c r="AO197" s="62">
        <f t="shared" ref="AO197:AO203" si="205">$AO$3</f>
        <v>271.73544012419364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-9.3464223027694966E-13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455.50822833641354</v>
      </c>
      <c r="BJ197" s="62">
        <f t="shared" ref="BJ197:BJ203" si="206">$BJ$3</f>
        <v>261.14722581688039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-1.0401663530501537E-12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502.07782026233912</v>
      </c>
      <c r="CE197" s="62">
        <f t="shared" ref="CE197:CE203" si="207">$CE$3</f>
        <v>285.83623046025156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5.6843418860808015E-14</v>
      </c>
      <c r="CU197" s="18">
        <f>CT197*VLOOKUP('Données projet'!$B$13,Paramètres!$A$1:$I$89,3,0)*VLOOKUP('Données projet'!$B$13,Paramètres!$A$1:$I$89,5,0)</f>
        <v>4.4337866711430253E-14</v>
      </c>
      <c r="CV197" s="14">
        <f t="shared" si="173"/>
        <v>7.3222115536967035E-13</v>
      </c>
      <c r="CW197" s="22">
        <f t="shared" si="174"/>
        <v>1.3525069634579169E-12</v>
      </c>
      <c r="CX197" s="62">
        <f t="shared" si="196"/>
        <v>293.33333333333468</v>
      </c>
      <c r="CY197" s="62">
        <f ca="1">AVERAGE(OFFSET($CX$3,0,0,'Données projet'!$E$13+1,1))-AVERAGE(OFFSET($H$3,0,0,'Données projet'!$E$13+1,1))</f>
        <v>289.19475369871481</v>
      </c>
      <c r="CZ197" s="62">
        <f t="shared" ref="CZ197:CZ203" si="208">$CZ$3</f>
        <v>283.48738729114024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3.979039320256561E-13</v>
      </c>
      <c r="DP197" s="18">
        <f>DO197*VLOOKUP('Données projet'!$B$14,Paramètres!$A$1:$I$89,3,0)*VLOOKUP('Données projet'!$B$14,Paramètres!$A$1:$I$89,5,0)</f>
        <v>2.669139576028101E-13</v>
      </c>
      <c r="DQ197" s="14">
        <f t="shared" si="176"/>
        <v>3.5767923834585247E-12</v>
      </c>
      <c r="DR197" s="22">
        <f t="shared" si="177"/>
        <v>6.6944552106818241E-12</v>
      </c>
      <c r="DS197" s="62">
        <f t="shared" si="197"/>
        <v>293.33333333334002</v>
      </c>
      <c r="DT197" s="62">
        <f ca="1">AVERAGE(OFFSET($DS$3,0,0,'Données projet'!$E$14+1,1))-AVERAGE(OFFSET($H$3,0,0,'Données projet'!$E$14+1,1))</f>
        <v>343.33067866534634</v>
      </c>
      <c r="DU197" s="62">
        <f t="shared" ref="DU197:DU203" si="209">$DU$3</f>
        <v>261.91036689641402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428.8489304403459</v>
      </c>
      <c r="T198" s="62">
        <f t="shared" si="204"/>
        <v>247.01165577562966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475.47920969424894</v>
      </c>
      <c r="AO198" s="62">
        <f t="shared" si="205"/>
        <v>271.73544012419364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-9.3464223027694966E-13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455.50822833641354</v>
      </c>
      <c r="BJ198" s="62">
        <f t="shared" si="206"/>
        <v>261.14722581688039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-1.0401663530501537E-12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502.07782026233912</v>
      </c>
      <c r="CE198" s="62">
        <f t="shared" si="207"/>
        <v>285.83623046025156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5.6843418860808015E-14</v>
      </c>
      <c r="CU198" s="18">
        <f>CT198*VLOOKUP('Données projet'!$B$13,Paramètres!$A$1:$I$89,3,0)*VLOOKUP('Données projet'!$B$13,Paramètres!$A$1:$I$89,5,0)</f>
        <v>4.4337866711430253E-14</v>
      </c>
      <c r="CV198" s="14">
        <f t="shared" si="173"/>
        <v>7.3222115536967035E-13</v>
      </c>
      <c r="CW198" s="22">
        <f t="shared" si="174"/>
        <v>1.3525069634579169E-12</v>
      </c>
      <c r="CX198" s="62">
        <f t="shared" si="196"/>
        <v>293.33333333333468</v>
      </c>
      <c r="CY198" s="62">
        <f ca="1">AVERAGE(OFFSET($CX$3,0,0,'Données projet'!$E$13+1,1))-AVERAGE(OFFSET($H$3,0,0,'Données projet'!$E$13+1,1))</f>
        <v>289.19475369871481</v>
      </c>
      <c r="CZ198" s="62">
        <f t="shared" si="208"/>
        <v>283.48738729114024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3.979039320256561E-13</v>
      </c>
      <c r="DP198" s="18">
        <f>DO198*VLOOKUP('Données projet'!$B$14,Paramètres!$A$1:$I$89,3,0)*VLOOKUP('Données projet'!$B$14,Paramètres!$A$1:$I$89,5,0)</f>
        <v>2.669139576028101E-13</v>
      </c>
      <c r="DQ198" s="14">
        <f t="shared" si="176"/>
        <v>3.5767923834585247E-12</v>
      </c>
      <c r="DR198" s="22">
        <f t="shared" si="177"/>
        <v>6.6944552106818241E-12</v>
      </c>
      <c r="DS198" s="62">
        <f t="shared" si="197"/>
        <v>293.33333333334002</v>
      </c>
      <c r="DT198" s="62">
        <f ca="1">AVERAGE(OFFSET($DS$3,0,0,'Données projet'!$E$14+1,1))-AVERAGE(OFFSET($H$3,0,0,'Données projet'!$E$14+1,1))</f>
        <v>343.33067866534634</v>
      </c>
      <c r="DU198" s="62">
        <f t="shared" si="209"/>
        <v>261.91036689641402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428.8489304403459</v>
      </c>
      <c r="T199" s="62">
        <f t="shared" si="204"/>
        <v>247.01165577562966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475.47920969424894</v>
      </c>
      <c r="AO199" s="62">
        <f t="shared" si="205"/>
        <v>271.73544012419364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-9.3464223027694966E-13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455.50822833641354</v>
      </c>
      <c r="BJ199" s="62">
        <f t="shared" si="206"/>
        <v>261.14722581688039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-1.0401663530501537E-12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502.07782026233912</v>
      </c>
      <c r="CE199" s="62">
        <f t="shared" si="207"/>
        <v>285.83623046025156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5.6843418860808015E-14</v>
      </c>
      <c r="CU199" s="18">
        <f>CT199*VLOOKUP('Données projet'!$B$13,Paramètres!$A$1:$I$89,3,0)*VLOOKUP('Données projet'!$B$13,Paramètres!$A$1:$I$89,5,0)</f>
        <v>4.4337866711430253E-14</v>
      </c>
      <c r="CV199" s="14">
        <f t="shared" si="173"/>
        <v>7.3222115536967035E-13</v>
      </c>
      <c r="CW199" s="22">
        <f t="shared" si="174"/>
        <v>1.3525069634579169E-12</v>
      </c>
      <c r="CX199" s="62">
        <f t="shared" si="196"/>
        <v>293.33333333333468</v>
      </c>
      <c r="CY199" s="62">
        <f ca="1">AVERAGE(OFFSET($CX$3,0,0,'Données projet'!$E$13+1,1))-AVERAGE(OFFSET($H$3,0,0,'Données projet'!$E$13+1,1))</f>
        <v>289.19475369871481</v>
      </c>
      <c r="CZ199" s="62">
        <f t="shared" si="208"/>
        <v>283.48738729114024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3.979039320256561E-13</v>
      </c>
      <c r="DP199" s="18">
        <f>DO199*VLOOKUP('Données projet'!$B$14,Paramètres!$A$1:$I$89,3,0)*VLOOKUP('Données projet'!$B$14,Paramètres!$A$1:$I$89,5,0)</f>
        <v>2.669139576028101E-13</v>
      </c>
      <c r="DQ199" s="14">
        <f t="shared" si="176"/>
        <v>3.5767923834585247E-12</v>
      </c>
      <c r="DR199" s="22">
        <f t="shared" si="177"/>
        <v>6.6944552106818241E-12</v>
      </c>
      <c r="DS199" s="62">
        <f t="shared" si="197"/>
        <v>293.33333333334002</v>
      </c>
      <c r="DT199" s="62">
        <f ca="1">AVERAGE(OFFSET($DS$3,0,0,'Données projet'!$E$14+1,1))-AVERAGE(OFFSET($H$3,0,0,'Données projet'!$E$14+1,1))</f>
        <v>343.33067866534634</v>
      </c>
      <c r="DU199" s="62">
        <f t="shared" si="209"/>
        <v>261.91036689641402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428.8489304403459</v>
      </c>
      <c r="T200" s="62">
        <f t="shared" si="204"/>
        <v>247.01165577562966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475.47920969424894</v>
      </c>
      <c r="AO200" s="62">
        <f t="shared" si="205"/>
        <v>271.73544012419364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-9.3464223027694966E-13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455.50822833641354</v>
      </c>
      <c r="BJ200" s="62">
        <f t="shared" si="206"/>
        <v>261.14722581688039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-1.0401663530501537E-12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502.07782026233912</v>
      </c>
      <c r="CE200" s="62">
        <f t="shared" si="207"/>
        <v>285.83623046025156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5.6843418860808015E-14</v>
      </c>
      <c r="CU200" s="18">
        <f>CT200*VLOOKUP('Données projet'!$B$13,Paramètres!$A$1:$I$89,3,0)*VLOOKUP('Données projet'!$B$13,Paramètres!$A$1:$I$89,5,0)</f>
        <v>4.4337866711430253E-14</v>
      </c>
      <c r="CV200" s="14">
        <f t="shared" si="173"/>
        <v>7.3222115536967035E-13</v>
      </c>
      <c r="CW200" s="22">
        <f t="shared" si="174"/>
        <v>1.3525069634579169E-12</v>
      </c>
      <c r="CX200" s="62">
        <f t="shared" si="196"/>
        <v>293.33333333333468</v>
      </c>
      <c r="CY200" s="62">
        <f ca="1">AVERAGE(OFFSET($CX$3,0,0,'Données projet'!$E$13+1,1))-AVERAGE(OFFSET($H$3,0,0,'Données projet'!$E$13+1,1))</f>
        <v>289.19475369871481</v>
      </c>
      <c r="CZ200" s="62">
        <f t="shared" si="208"/>
        <v>283.48738729114024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3.979039320256561E-13</v>
      </c>
      <c r="DP200" s="18">
        <f>DO200*VLOOKUP('Données projet'!$B$14,Paramètres!$A$1:$I$89,3,0)*VLOOKUP('Données projet'!$B$14,Paramètres!$A$1:$I$89,5,0)</f>
        <v>2.669139576028101E-13</v>
      </c>
      <c r="DQ200" s="14">
        <f t="shared" si="176"/>
        <v>3.5767923834585247E-12</v>
      </c>
      <c r="DR200" s="22">
        <f t="shared" si="177"/>
        <v>6.6944552106818241E-12</v>
      </c>
      <c r="DS200" s="62">
        <f t="shared" si="197"/>
        <v>293.33333333334002</v>
      </c>
      <c r="DT200" s="62">
        <f ca="1">AVERAGE(OFFSET($DS$3,0,0,'Données projet'!$E$14+1,1))-AVERAGE(OFFSET($H$3,0,0,'Données projet'!$E$14+1,1))</f>
        <v>343.33067866534634</v>
      </c>
      <c r="DU200" s="62">
        <f t="shared" si="209"/>
        <v>261.91036689641402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428.8489304403459</v>
      </c>
      <c r="T201" s="62">
        <f t="shared" si="204"/>
        <v>247.01165577562966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475.47920969424894</v>
      </c>
      <c r="AO201" s="62">
        <f t="shared" si="205"/>
        <v>271.73544012419364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-9.3464223027694966E-13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455.50822833641354</v>
      </c>
      <c r="BJ201" s="62">
        <f t="shared" si="206"/>
        <v>261.14722581688039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-1.0401663530501537E-12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502.07782026233912</v>
      </c>
      <c r="CE201" s="62">
        <f t="shared" si="207"/>
        <v>285.83623046025156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5.6843418860808015E-14</v>
      </c>
      <c r="CU201" s="18">
        <f>CT201*VLOOKUP('Données projet'!$B$13,Paramètres!$A$1:$I$89,3,0)*VLOOKUP('Données projet'!$B$13,Paramètres!$A$1:$I$89,5,0)</f>
        <v>4.4337866711430253E-14</v>
      </c>
      <c r="CV201" s="14">
        <f t="shared" si="173"/>
        <v>7.3222115536967035E-13</v>
      </c>
      <c r="CW201" s="22">
        <f t="shared" si="174"/>
        <v>1.3525069634579169E-12</v>
      </c>
      <c r="CX201" s="62">
        <f t="shared" si="196"/>
        <v>293.33333333333468</v>
      </c>
      <c r="CY201" s="62">
        <f ca="1">AVERAGE(OFFSET($CX$3,0,0,'Données projet'!$E$13+1,1))-AVERAGE(OFFSET($H$3,0,0,'Données projet'!$E$13+1,1))</f>
        <v>289.19475369871481</v>
      </c>
      <c r="CZ201" s="62">
        <f t="shared" si="208"/>
        <v>283.48738729114024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3.979039320256561E-13</v>
      </c>
      <c r="DP201" s="18">
        <f>DO201*VLOOKUP('Données projet'!$B$14,Paramètres!$A$1:$I$89,3,0)*VLOOKUP('Données projet'!$B$14,Paramètres!$A$1:$I$89,5,0)</f>
        <v>2.669139576028101E-13</v>
      </c>
      <c r="DQ201" s="14">
        <f t="shared" si="176"/>
        <v>3.5767923834585247E-12</v>
      </c>
      <c r="DR201" s="22">
        <f t="shared" si="177"/>
        <v>6.6944552106818241E-12</v>
      </c>
      <c r="DS201" s="62">
        <f t="shared" si="197"/>
        <v>293.33333333334002</v>
      </c>
      <c r="DT201" s="62">
        <f ca="1">AVERAGE(OFFSET($DS$3,0,0,'Données projet'!$E$14+1,1))-AVERAGE(OFFSET($H$3,0,0,'Données projet'!$E$14+1,1))</f>
        <v>343.33067866534634</v>
      </c>
      <c r="DU201" s="62">
        <f t="shared" si="209"/>
        <v>261.91036689641402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428.8489304403459</v>
      </c>
      <c r="T202" s="62">
        <f t="shared" si="204"/>
        <v>247.01165577562966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475.47920969424894</v>
      </c>
      <c r="AO202" s="62">
        <f t="shared" si="205"/>
        <v>271.73544012419364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-9.3464223027694966E-13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455.50822833641354</v>
      </c>
      <c r="BJ202" s="62">
        <f t="shared" si="206"/>
        <v>261.14722581688039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-1.0401663530501537E-12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502.07782026233912</v>
      </c>
      <c r="CE202" s="62">
        <f t="shared" si="207"/>
        <v>285.83623046025156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5.6843418860808015E-14</v>
      </c>
      <c r="CU202" s="18">
        <f>CT202*VLOOKUP('Données projet'!$B$13,Paramètres!$A$1:$I$89,3,0)*VLOOKUP('Données projet'!$B$13,Paramètres!$A$1:$I$89,5,0)</f>
        <v>4.4337866711430253E-14</v>
      </c>
      <c r="CV202" s="14">
        <f t="shared" si="173"/>
        <v>7.3222115536967035E-13</v>
      </c>
      <c r="CW202" s="22">
        <f t="shared" si="174"/>
        <v>1.3525069634579169E-12</v>
      </c>
      <c r="CX202" s="62">
        <f t="shared" si="196"/>
        <v>293.33333333333468</v>
      </c>
      <c r="CY202" s="62">
        <f ca="1">AVERAGE(OFFSET($CX$3,0,0,'Données projet'!$E$13+1,1))-AVERAGE(OFFSET($H$3,0,0,'Données projet'!$E$13+1,1))</f>
        <v>289.19475369871481</v>
      </c>
      <c r="CZ202" s="62">
        <f t="shared" si="208"/>
        <v>283.48738729114024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3.979039320256561E-13</v>
      </c>
      <c r="DP202" s="18">
        <f>DO202*VLOOKUP('Données projet'!$B$14,Paramètres!$A$1:$I$89,3,0)*VLOOKUP('Données projet'!$B$14,Paramètres!$A$1:$I$89,5,0)</f>
        <v>2.669139576028101E-13</v>
      </c>
      <c r="DQ202" s="14">
        <f t="shared" si="176"/>
        <v>3.5767923834585247E-12</v>
      </c>
      <c r="DR202" s="22">
        <f t="shared" si="177"/>
        <v>6.6944552106818241E-12</v>
      </c>
      <c r="DS202" s="62">
        <f t="shared" si="197"/>
        <v>293.33333333334002</v>
      </c>
      <c r="DT202" s="62">
        <f ca="1">AVERAGE(OFFSET($DS$3,0,0,'Données projet'!$E$14+1,1))-AVERAGE(OFFSET($H$3,0,0,'Données projet'!$E$14+1,1))</f>
        <v>343.33067866534634</v>
      </c>
      <c r="DU202" s="62">
        <f t="shared" si="209"/>
        <v>261.91036689641402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428.8489304403459</v>
      </c>
      <c r="T203" s="62">
        <f t="shared" si="204"/>
        <v>247.01165577562966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475.47920969424894</v>
      </c>
      <c r="AO203" s="62">
        <f t="shared" si="205"/>
        <v>271.73544012419364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-9.3464223027694966E-13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455.50822833641354</v>
      </c>
      <c r="BJ203" s="62">
        <f t="shared" si="206"/>
        <v>261.14722581688039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-1.0401663530501537E-12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502.07782026233912</v>
      </c>
      <c r="CE203" s="62">
        <f t="shared" si="207"/>
        <v>285.83623046025156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5.6843418860808015E-14</v>
      </c>
      <c r="CU203" s="18">
        <f>CT203*VLOOKUP('Données projet'!$B$13,Paramètres!$A$1:$I$89,3,0)*VLOOKUP('Données projet'!$B$13,Paramètres!$A$1:$I$89,5,0)</f>
        <v>4.4337866711430253E-14</v>
      </c>
      <c r="CV203" s="14">
        <f t="shared" si="173"/>
        <v>7.3222115536967035E-13</v>
      </c>
      <c r="CW203" s="22">
        <f t="shared" si="174"/>
        <v>1.3525069634579169E-12</v>
      </c>
      <c r="CX203" s="62">
        <f t="shared" si="196"/>
        <v>293.33333333333468</v>
      </c>
      <c r="CY203" s="62">
        <f ca="1">AVERAGE(OFFSET($CX$3,0,0,'Données projet'!$E$13+1,1))-AVERAGE(OFFSET($H$3,0,0,'Données projet'!$E$13+1,1))</f>
        <v>289.19475369871481</v>
      </c>
      <c r="CZ203" s="62">
        <f t="shared" si="208"/>
        <v>283.48738729114024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3.979039320256561E-13</v>
      </c>
      <c r="DP203" s="18">
        <f>DO203*VLOOKUP('Données projet'!$B$14,Paramètres!$A$1:$I$89,3,0)*VLOOKUP('Données projet'!$B$14,Paramètres!$A$1:$I$89,5,0)</f>
        <v>2.669139576028101E-13</v>
      </c>
      <c r="DQ203" s="14">
        <f t="shared" si="176"/>
        <v>3.5767923834585247E-12</v>
      </c>
      <c r="DR203" s="22">
        <f t="shared" si="177"/>
        <v>6.6944552106818241E-12</v>
      </c>
      <c r="DS203" s="62">
        <f t="shared" si="197"/>
        <v>293.33333333334002</v>
      </c>
      <c r="DT203" s="62">
        <f ca="1">AVERAGE(OFFSET($DS$3,0,0,'Données projet'!$E$14+1,1))-AVERAGE(OFFSET($H$3,0,0,'Données projet'!$E$14+1,1))</f>
        <v>343.33067866534634</v>
      </c>
      <c r="DU203" s="62">
        <f t="shared" si="209"/>
        <v>261.91036689641402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>
        <f>EXP(LN('Données projet'!B114)/'Données projet'!A114)</f>
        <v>1.2054868146447177</v>
      </c>
      <c r="CQ205" s="88">
        <f>EXP(LN('Données projet'!B140)/'Données projet'!A140)</f>
        <v>1.2788040393997409</v>
      </c>
      <c r="DL205" s="88">
        <f>EXP(LN('Données projet'!B166)/'Données projet'!A166)</f>
        <v>1.3932671119677325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9" t="s">
        <v>0</v>
      </c>
      <c r="B1" s="120" t="s">
        <v>106</v>
      </c>
      <c r="C1" s="121" t="s">
        <v>144</v>
      </c>
      <c r="D1" s="120" t="s">
        <v>100</v>
      </c>
      <c r="E1" s="121" t="s">
        <v>145</v>
      </c>
      <c r="F1" s="121" t="s">
        <v>100</v>
      </c>
      <c r="G1" s="121" t="s">
        <v>146</v>
      </c>
      <c r="H1" s="121" t="s">
        <v>100</v>
      </c>
      <c r="I1" s="122" t="s">
        <v>147</v>
      </c>
      <c r="J1" s="99"/>
      <c r="K1" s="99"/>
      <c r="L1" s="99"/>
      <c r="M1" s="99"/>
      <c r="N1" s="99"/>
    </row>
    <row r="2" spans="1:16" x14ac:dyDescent="0.3">
      <c r="A2" s="123" t="s">
        <v>1</v>
      </c>
      <c r="B2" s="124" t="s">
        <v>53</v>
      </c>
      <c r="C2" s="125">
        <v>0.62</v>
      </c>
      <c r="D2" s="125" t="s">
        <v>161</v>
      </c>
      <c r="E2" s="125">
        <v>1.56</v>
      </c>
      <c r="F2" s="125" t="s">
        <v>274</v>
      </c>
      <c r="G2" s="126">
        <v>0.43</v>
      </c>
      <c r="H2" s="127" t="s">
        <v>278</v>
      </c>
      <c r="I2" s="128">
        <v>0.25</v>
      </c>
      <c r="J2" s="99"/>
      <c r="K2" s="99"/>
      <c r="L2" s="99"/>
      <c r="M2" s="99"/>
      <c r="N2" s="99"/>
      <c r="O2" s="315" t="s">
        <v>238</v>
      </c>
      <c r="P2" s="129">
        <v>0</v>
      </c>
    </row>
    <row r="3" spans="1:16" ht="15" thickBot="1" x14ac:dyDescent="0.35">
      <c r="A3" s="130" t="s">
        <v>2</v>
      </c>
      <c r="B3" s="131" t="s">
        <v>54</v>
      </c>
      <c r="C3" s="132">
        <v>0.64</v>
      </c>
      <c r="D3" s="132" t="s">
        <v>161</v>
      </c>
      <c r="E3" s="132">
        <v>1.56</v>
      </c>
      <c r="F3" s="133" t="s">
        <v>274</v>
      </c>
      <c r="G3" s="134">
        <v>0.43</v>
      </c>
      <c r="H3" s="132" t="s">
        <v>278</v>
      </c>
      <c r="I3" s="135">
        <v>0.25</v>
      </c>
      <c r="J3" s="99"/>
      <c r="K3" s="99"/>
      <c r="L3" s="99"/>
      <c r="M3" s="99"/>
      <c r="N3" s="99"/>
      <c r="O3" s="316"/>
      <c r="P3" s="136">
        <v>0.2</v>
      </c>
    </row>
    <row r="4" spans="1:16" ht="15" thickBot="1" x14ac:dyDescent="0.35">
      <c r="A4" s="130" t="s">
        <v>98</v>
      </c>
      <c r="B4" s="131" t="s">
        <v>99</v>
      </c>
      <c r="C4" s="132">
        <v>0.42</v>
      </c>
      <c r="D4" s="132" t="s">
        <v>161</v>
      </c>
      <c r="E4" s="132">
        <v>1.56</v>
      </c>
      <c r="F4" s="133" t="s">
        <v>274</v>
      </c>
      <c r="G4" s="134">
        <v>0.43</v>
      </c>
      <c r="H4" s="132" t="s">
        <v>278</v>
      </c>
      <c r="I4" s="135">
        <v>0.25</v>
      </c>
      <c r="J4" s="99"/>
      <c r="K4" s="99"/>
      <c r="L4" s="99"/>
      <c r="M4" s="99"/>
      <c r="N4" s="99"/>
    </row>
    <row r="5" spans="1:16" x14ac:dyDescent="0.3">
      <c r="A5" s="130" t="s">
        <v>4</v>
      </c>
      <c r="B5" s="131" t="s">
        <v>55</v>
      </c>
      <c r="C5" s="132">
        <v>0.42</v>
      </c>
      <c r="D5" s="132" t="s">
        <v>161</v>
      </c>
      <c r="E5" s="132">
        <v>1.56</v>
      </c>
      <c r="F5" s="133" t="s">
        <v>274</v>
      </c>
      <c r="G5" s="134">
        <v>0.43</v>
      </c>
      <c r="H5" s="132" t="s">
        <v>278</v>
      </c>
      <c r="I5" s="135">
        <v>0.25</v>
      </c>
      <c r="J5" s="99"/>
      <c r="K5" s="99"/>
      <c r="L5" s="99"/>
      <c r="M5" s="99"/>
      <c r="N5" s="99"/>
      <c r="O5" s="315" t="s">
        <v>237</v>
      </c>
      <c r="P5" s="129">
        <v>0</v>
      </c>
    </row>
    <row r="6" spans="1:16" x14ac:dyDescent="0.3">
      <c r="A6" s="130" t="s">
        <v>3</v>
      </c>
      <c r="B6" s="131" t="s">
        <v>97</v>
      </c>
      <c r="C6" s="132">
        <v>0.42</v>
      </c>
      <c r="D6" s="132" t="s">
        <v>161</v>
      </c>
      <c r="E6" s="132">
        <v>1.56</v>
      </c>
      <c r="F6" s="133" t="s">
        <v>274</v>
      </c>
      <c r="G6" s="134">
        <v>0.43</v>
      </c>
      <c r="H6" s="132" t="s">
        <v>278</v>
      </c>
      <c r="I6" s="135">
        <v>0.25</v>
      </c>
      <c r="J6" s="99"/>
      <c r="K6" s="99"/>
      <c r="L6" s="99"/>
      <c r="M6" s="99"/>
      <c r="N6" s="99"/>
      <c r="O6" s="317"/>
      <c r="P6" s="137">
        <v>0.05</v>
      </c>
    </row>
    <row r="7" spans="1:16" x14ac:dyDescent="0.3">
      <c r="A7" s="130" t="s">
        <v>5</v>
      </c>
      <c r="B7" s="131" t="s">
        <v>56</v>
      </c>
      <c r="C7" s="132">
        <v>0.52</v>
      </c>
      <c r="D7" s="132" t="s">
        <v>161</v>
      </c>
      <c r="E7" s="132">
        <v>1.56</v>
      </c>
      <c r="F7" s="133" t="s">
        <v>274</v>
      </c>
      <c r="G7" s="134">
        <v>0.43</v>
      </c>
      <c r="H7" s="132" t="s">
        <v>278</v>
      </c>
      <c r="I7" s="135">
        <v>0.25</v>
      </c>
      <c r="J7" s="99"/>
      <c r="K7" s="99"/>
      <c r="L7" s="99"/>
      <c r="M7" s="99"/>
      <c r="N7" s="99"/>
      <c r="O7" s="317"/>
      <c r="P7" s="137">
        <v>0.1</v>
      </c>
    </row>
    <row r="8" spans="1:16" ht="15" thickBot="1" x14ac:dyDescent="0.35">
      <c r="A8" s="130" t="s">
        <v>164</v>
      </c>
      <c r="B8" s="131" t="s">
        <v>57</v>
      </c>
      <c r="C8" s="132">
        <v>0.36</v>
      </c>
      <c r="D8" s="132" t="s">
        <v>161</v>
      </c>
      <c r="E8" s="132">
        <v>1.3</v>
      </c>
      <c r="F8" s="133" t="s">
        <v>274</v>
      </c>
      <c r="G8" s="134">
        <v>0.55000000000000004</v>
      </c>
      <c r="H8" s="132" t="s">
        <v>153</v>
      </c>
      <c r="I8" s="135">
        <v>0.43</v>
      </c>
      <c r="J8" s="99"/>
      <c r="K8" s="99"/>
      <c r="L8" s="99"/>
      <c r="M8" s="99"/>
      <c r="N8" s="99"/>
      <c r="O8" s="316"/>
      <c r="P8" s="136">
        <v>0.15</v>
      </c>
    </row>
    <row r="9" spans="1:16" ht="15" thickBot="1" x14ac:dyDescent="0.35">
      <c r="A9" s="130" t="s">
        <v>6</v>
      </c>
      <c r="B9" s="131" t="s">
        <v>58</v>
      </c>
      <c r="C9" s="132">
        <v>0.61</v>
      </c>
      <c r="D9" s="132" t="s">
        <v>161</v>
      </c>
      <c r="E9" s="132">
        <v>1.56</v>
      </c>
      <c r="F9" s="133" t="s">
        <v>274</v>
      </c>
      <c r="G9" s="134">
        <v>0.43</v>
      </c>
      <c r="H9" s="132" t="s">
        <v>278</v>
      </c>
      <c r="I9" s="135">
        <v>0.25</v>
      </c>
      <c r="J9" s="99"/>
      <c r="K9" s="99"/>
      <c r="L9" s="99"/>
      <c r="M9" s="99"/>
      <c r="N9" s="99"/>
    </row>
    <row r="10" spans="1:16" x14ac:dyDescent="0.3">
      <c r="A10" s="130" t="s">
        <v>7</v>
      </c>
      <c r="B10" s="131" t="s">
        <v>59</v>
      </c>
      <c r="C10" s="132">
        <v>0.66</v>
      </c>
      <c r="D10" s="132" t="s">
        <v>161</v>
      </c>
      <c r="E10" s="132">
        <v>1.56</v>
      </c>
      <c r="F10" s="133" t="s">
        <v>274</v>
      </c>
      <c r="G10" s="134">
        <v>0.43</v>
      </c>
      <c r="H10" s="132" t="s">
        <v>278</v>
      </c>
      <c r="I10" s="135">
        <v>0.25</v>
      </c>
      <c r="J10" s="99"/>
      <c r="K10" s="99"/>
      <c r="L10" s="99"/>
      <c r="M10" s="99"/>
      <c r="N10" s="99"/>
      <c r="O10" s="315" t="s">
        <v>236</v>
      </c>
      <c r="P10" s="129">
        <v>0</v>
      </c>
    </row>
    <row r="11" spans="1:16" ht="15" thickBot="1" x14ac:dyDescent="0.35">
      <c r="A11" s="130" t="s">
        <v>8</v>
      </c>
      <c r="B11" s="131" t="s">
        <v>60</v>
      </c>
      <c r="C11" s="132">
        <v>0.47</v>
      </c>
      <c r="D11" s="132" t="s">
        <v>161</v>
      </c>
      <c r="E11" s="132">
        <v>1.56</v>
      </c>
      <c r="F11" s="133" t="s">
        <v>274</v>
      </c>
      <c r="G11" s="134">
        <v>0.43</v>
      </c>
      <c r="H11" s="132" t="s">
        <v>278</v>
      </c>
      <c r="I11" s="135">
        <v>0.25</v>
      </c>
      <c r="J11" s="99"/>
      <c r="K11" s="99"/>
      <c r="L11" s="99"/>
      <c r="M11" s="99"/>
      <c r="N11" s="99"/>
      <c r="O11" s="316"/>
      <c r="P11" s="136">
        <v>0.1</v>
      </c>
    </row>
    <row r="12" spans="1:16" x14ac:dyDescent="0.3">
      <c r="A12" s="130" t="s">
        <v>9</v>
      </c>
      <c r="B12" s="131" t="s">
        <v>61</v>
      </c>
      <c r="C12" s="132">
        <v>0.67</v>
      </c>
      <c r="D12" s="132" t="s">
        <v>161</v>
      </c>
      <c r="E12" s="132">
        <v>1.56</v>
      </c>
      <c r="F12" s="133" t="s">
        <v>274</v>
      </c>
      <c r="G12" s="134">
        <v>0.43</v>
      </c>
      <c r="H12" s="132" t="s">
        <v>152</v>
      </c>
      <c r="I12" s="135">
        <v>0.25</v>
      </c>
      <c r="J12" s="99"/>
      <c r="K12" s="99"/>
      <c r="L12" s="99"/>
      <c r="M12" s="99"/>
      <c r="N12" s="99"/>
    </row>
    <row r="13" spans="1:16" x14ac:dyDescent="0.3">
      <c r="A13" s="130" t="s">
        <v>10</v>
      </c>
      <c r="B13" s="131" t="s">
        <v>62</v>
      </c>
      <c r="C13" s="132">
        <v>0.7</v>
      </c>
      <c r="D13" s="132" t="s">
        <v>161</v>
      </c>
      <c r="E13" s="132">
        <v>1.56</v>
      </c>
      <c r="F13" s="133" t="s">
        <v>274</v>
      </c>
      <c r="G13" s="134">
        <v>0.43</v>
      </c>
      <c r="H13" s="132" t="s">
        <v>152</v>
      </c>
      <c r="I13" s="135">
        <v>0.25</v>
      </c>
      <c r="J13" s="99"/>
      <c r="K13" s="99"/>
      <c r="L13" s="99"/>
      <c r="M13" s="99"/>
      <c r="N13" s="99"/>
    </row>
    <row r="14" spans="1:16" x14ac:dyDescent="0.3">
      <c r="A14" s="130" t="s">
        <v>11</v>
      </c>
      <c r="B14" s="131" t="s">
        <v>63</v>
      </c>
      <c r="C14" s="132">
        <v>0.54</v>
      </c>
      <c r="D14" s="132" t="s">
        <v>161</v>
      </c>
      <c r="E14" s="132">
        <v>1.56</v>
      </c>
      <c r="F14" s="133" t="s">
        <v>274</v>
      </c>
      <c r="G14" s="134">
        <v>0.43</v>
      </c>
      <c r="H14" s="132" t="s">
        <v>152</v>
      </c>
      <c r="I14" s="135">
        <v>0.25</v>
      </c>
      <c r="J14" s="99"/>
      <c r="K14" s="99"/>
      <c r="L14" s="99"/>
      <c r="M14" s="99"/>
      <c r="N14" s="99"/>
    </row>
    <row r="15" spans="1:16" x14ac:dyDescent="0.3">
      <c r="A15" s="130" t="s">
        <v>12</v>
      </c>
      <c r="B15" s="131" t="s">
        <v>64</v>
      </c>
      <c r="C15" s="132">
        <v>0.65</v>
      </c>
      <c r="D15" s="132" t="s">
        <v>161</v>
      </c>
      <c r="E15" s="132">
        <v>1.56</v>
      </c>
      <c r="F15" s="133" t="s">
        <v>274</v>
      </c>
      <c r="G15" s="134">
        <v>0.43</v>
      </c>
      <c r="H15" s="132" t="s">
        <v>152</v>
      </c>
      <c r="I15" s="135">
        <v>0.25</v>
      </c>
      <c r="J15" s="99"/>
      <c r="K15" s="99"/>
      <c r="L15" s="99"/>
      <c r="M15" s="99"/>
      <c r="N15" s="99"/>
    </row>
    <row r="16" spans="1:16" x14ac:dyDescent="0.3">
      <c r="A16" s="130" t="s">
        <v>13</v>
      </c>
      <c r="B16" s="131" t="s">
        <v>65</v>
      </c>
      <c r="C16" s="132">
        <v>0.56000000000000005</v>
      </c>
      <c r="D16" s="132" t="s">
        <v>161</v>
      </c>
      <c r="E16" s="132">
        <v>1.56</v>
      </c>
      <c r="F16" s="133" t="s">
        <v>274</v>
      </c>
      <c r="G16" s="134">
        <v>0.43</v>
      </c>
      <c r="H16" s="132" t="s">
        <v>152</v>
      </c>
      <c r="I16" s="135">
        <v>0.25</v>
      </c>
      <c r="J16" s="99"/>
      <c r="K16" s="99"/>
      <c r="L16" s="99"/>
      <c r="M16" s="99"/>
      <c r="N16" s="99"/>
    </row>
    <row r="17" spans="1:14" x14ac:dyDescent="0.3">
      <c r="A17" s="130" t="s">
        <v>14</v>
      </c>
      <c r="B17" s="131" t="s">
        <v>66</v>
      </c>
      <c r="C17" s="132">
        <v>0.57999999999999996</v>
      </c>
      <c r="D17" s="132" t="s">
        <v>161</v>
      </c>
      <c r="E17" s="132">
        <v>1.56</v>
      </c>
      <c r="F17" s="133" t="s">
        <v>274</v>
      </c>
      <c r="G17" s="134">
        <v>0.43</v>
      </c>
      <c r="H17" s="132" t="s">
        <v>152</v>
      </c>
      <c r="I17" s="135">
        <v>0.25</v>
      </c>
      <c r="J17" s="99"/>
      <c r="K17" s="99"/>
      <c r="L17" s="99"/>
      <c r="M17" s="99"/>
      <c r="N17" s="99"/>
    </row>
    <row r="18" spans="1:14" x14ac:dyDescent="0.3">
      <c r="A18" s="130" t="s">
        <v>15</v>
      </c>
      <c r="B18" s="131" t="s">
        <v>67</v>
      </c>
      <c r="C18" s="132">
        <v>0.64</v>
      </c>
      <c r="D18" s="132" t="s">
        <v>161</v>
      </c>
      <c r="E18" s="132">
        <v>1.56</v>
      </c>
      <c r="F18" s="133" t="s">
        <v>274</v>
      </c>
      <c r="G18" s="134">
        <v>0.43</v>
      </c>
      <c r="H18" s="132" t="s">
        <v>152</v>
      </c>
      <c r="I18" s="135">
        <v>0.25</v>
      </c>
      <c r="J18" s="99"/>
      <c r="K18" s="99"/>
      <c r="L18" s="99"/>
      <c r="M18" s="99"/>
      <c r="N18" s="99"/>
    </row>
    <row r="19" spans="1:14" x14ac:dyDescent="0.3">
      <c r="A19" s="130" t="s">
        <v>16</v>
      </c>
      <c r="B19" s="131" t="s">
        <v>68</v>
      </c>
      <c r="C19" s="132">
        <v>0.73</v>
      </c>
      <c r="D19" s="132" t="s">
        <v>161</v>
      </c>
      <c r="E19" s="132">
        <v>1.56</v>
      </c>
      <c r="F19" s="133" t="s">
        <v>274</v>
      </c>
      <c r="G19" s="134">
        <v>0.43</v>
      </c>
      <c r="H19" s="132" t="s">
        <v>152</v>
      </c>
      <c r="I19" s="135">
        <v>0.25</v>
      </c>
      <c r="J19" s="99"/>
      <c r="K19" s="99"/>
      <c r="L19" s="99"/>
      <c r="M19" s="99"/>
      <c r="N19" s="99"/>
    </row>
    <row r="20" spans="1:14" x14ac:dyDescent="0.3">
      <c r="A20" s="130" t="s">
        <v>52</v>
      </c>
      <c r="B20" s="131" t="s">
        <v>69</v>
      </c>
      <c r="C20" s="132">
        <v>0.69</v>
      </c>
      <c r="D20" s="132" t="s">
        <v>131</v>
      </c>
      <c r="E20" s="132">
        <v>1.56</v>
      </c>
      <c r="F20" s="133" t="s">
        <v>274</v>
      </c>
      <c r="G20" s="134">
        <v>0.43</v>
      </c>
      <c r="H20" s="132" t="s">
        <v>282</v>
      </c>
      <c r="I20" s="135">
        <v>0.25</v>
      </c>
      <c r="J20" s="99"/>
      <c r="K20" s="99"/>
      <c r="L20" s="99"/>
      <c r="M20" s="99"/>
      <c r="N20" s="99"/>
    </row>
    <row r="21" spans="1:14" x14ac:dyDescent="0.3">
      <c r="A21" s="130" t="s">
        <v>154</v>
      </c>
      <c r="B21" s="131" t="s">
        <v>155</v>
      </c>
      <c r="C21" s="132">
        <v>0.36</v>
      </c>
      <c r="D21" s="132" t="s">
        <v>161</v>
      </c>
      <c r="E21" s="132">
        <v>1.3</v>
      </c>
      <c r="F21" s="133" t="s">
        <v>274</v>
      </c>
      <c r="G21" s="134">
        <v>0.55000000000000004</v>
      </c>
      <c r="H21" s="132" t="s">
        <v>153</v>
      </c>
      <c r="I21" s="135">
        <v>0.43</v>
      </c>
      <c r="J21" s="99"/>
      <c r="K21" s="99"/>
      <c r="L21" s="99"/>
      <c r="M21" s="99"/>
      <c r="N21" s="99"/>
    </row>
    <row r="22" spans="1:14" x14ac:dyDescent="0.3">
      <c r="A22" s="130" t="s">
        <v>17</v>
      </c>
      <c r="B22" s="131" t="s">
        <v>70</v>
      </c>
      <c r="C22" s="132">
        <v>0.4</v>
      </c>
      <c r="D22" s="132" t="s">
        <v>161</v>
      </c>
      <c r="E22" s="132">
        <v>1.3</v>
      </c>
      <c r="F22" s="133" t="s">
        <v>274</v>
      </c>
      <c r="G22" s="134">
        <v>0.55000000000000004</v>
      </c>
      <c r="H22" s="132" t="s">
        <v>153</v>
      </c>
      <c r="I22" s="135">
        <v>0.43</v>
      </c>
      <c r="J22" s="99"/>
      <c r="K22" s="99"/>
      <c r="L22" s="99"/>
      <c r="M22" s="99"/>
      <c r="N22" s="99"/>
    </row>
    <row r="23" spans="1:14" x14ac:dyDescent="0.3">
      <c r="A23" s="130" t="s">
        <v>18</v>
      </c>
      <c r="B23" s="131" t="s">
        <v>71</v>
      </c>
      <c r="C23" s="132">
        <v>0.43</v>
      </c>
      <c r="D23" s="132" t="s">
        <v>161</v>
      </c>
      <c r="E23" s="132">
        <v>1.3</v>
      </c>
      <c r="F23" s="133" t="s">
        <v>274</v>
      </c>
      <c r="G23" s="134">
        <v>0.55000000000000004</v>
      </c>
      <c r="H23" s="132" t="s">
        <v>153</v>
      </c>
      <c r="I23" s="135">
        <v>0.43</v>
      </c>
      <c r="J23" s="99"/>
      <c r="K23" s="99"/>
      <c r="L23" s="99"/>
      <c r="M23" s="99"/>
      <c r="N23" s="99"/>
    </row>
    <row r="24" spans="1:14" x14ac:dyDescent="0.3">
      <c r="A24" s="130" t="s">
        <v>19</v>
      </c>
      <c r="B24" s="131" t="s">
        <v>72</v>
      </c>
      <c r="C24" s="132">
        <v>0.37</v>
      </c>
      <c r="D24" s="132" t="s">
        <v>161</v>
      </c>
      <c r="E24" s="132">
        <v>1.3</v>
      </c>
      <c r="F24" s="133" t="s">
        <v>274</v>
      </c>
      <c r="G24" s="134">
        <v>0.55000000000000004</v>
      </c>
      <c r="H24" s="132" t="s">
        <v>152</v>
      </c>
      <c r="I24" s="135">
        <v>0.43</v>
      </c>
      <c r="J24" s="99"/>
      <c r="K24" s="99"/>
      <c r="L24" s="99"/>
      <c r="M24" s="99"/>
      <c r="N24" s="99"/>
    </row>
    <row r="25" spans="1:14" x14ac:dyDescent="0.3">
      <c r="A25" s="130" t="s">
        <v>20</v>
      </c>
      <c r="B25" s="131" t="s">
        <v>73</v>
      </c>
      <c r="C25" s="132">
        <v>0.36</v>
      </c>
      <c r="D25" s="132" t="s">
        <v>161</v>
      </c>
      <c r="E25" s="132">
        <v>1.3</v>
      </c>
      <c r="F25" s="133" t="s">
        <v>274</v>
      </c>
      <c r="G25" s="134">
        <v>0.55000000000000004</v>
      </c>
      <c r="H25" s="132" t="s">
        <v>152</v>
      </c>
      <c r="I25" s="135">
        <v>0.43</v>
      </c>
      <c r="J25" s="99"/>
      <c r="K25" s="99"/>
      <c r="L25" s="99"/>
      <c r="M25" s="99"/>
      <c r="N25" s="99"/>
    </row>
    <row r="26" spans="1:14" x14ac:dyDescent="0.3">
      <c r="A26" s="130" t="s">
        <v>21</v>
      </c>
      <c r="B26" s="131" t="s">
        <v>74</v>
      </c>
      <c r="C26" s="132">
        <v>0.56000000000000005</v>
      </c>
      <c r="D26" s="132" t="s">
        <v>161</v>
      </c>
      <c r="E26" s="132">
        <v>1.56</v>
      </c>
      <c r="F26" s="133" t="s">
        <v>274</v>
      </c>
      <c r="G26" s="134">
        <v>0.53</v>
      </c>
      <c r="H26" s="132" t="s">
        <v>275</v>
      </c>
      <c r="I26" s="135">
        <v>0.25</v>
      </c>
      <c r="J26" s="99"/>
      <c r="K26" s="99"/>
      <c r="L26" s="99"/>
      <c r="M26" s="99"/>
      <c r="N26" s="99"/>
    </row>
    <row r="27" spans="1:14" x14ac:dyDescent="0.3">
      <c r="A27" s="130" t="s">
        <v>22</v>
      </c>
      <c r="B27" s="131" t="s">
        <v>75</v>
      </c>
      <c r="C27" s="132">
        <v>0.51</v>
      </c>
      <c r="D27" s="132" t="s">
        <v>161</v>
      </c>
      <c r="E27" s="132">
        <v>1.56</v>
      </c>
      <c r="F27" s="133" t="s">
        <v>274</v>
      </c>
      <c r="G27" s="134">
        <v>0.53</v>
      </c>
      <c r="H27" s="132" t="s">
        <v>275</v>
      </c>
      <c r="I27" s="135">
        <v>0.25</v>
      </c>
      <c r="J27" s="99"/>
      <c r="K27" s="99"/>
      <c r="L27" s="99"/>
      <c r="M27" s="99"/>
      <c r="N27" s="99"/>
    </row>
    <row r="28" spans="1:14" x14ac:dyDescent="0.3">
      <c r="A28" s="130" t="s">
        <v>23</v>
      </c>
      <c r="B28" s="131" t="s">
        <v>76</v>
      </c>
      <c r="C28" s="132">
        <v>0.51</v>
      </c>
      <c r="D28" s="132" t="s">
        <v>161</v>
      </c>
      <c r="E28" s="132">
        <v>1.56</v>
      </c>
      <c r="F28" s="133" t="s">
        <v>274</v>
      </c>
      <c r="G28" s="134">
        <v>0.53</v>
      </c>
      <c r="H28" s="132" t="s">
        <v>275</v>
      </c>
      <c r="I28" s="135">
        <v>0.25</v>
      </c>
      <c r="J28" s="99"/>
      <c r="K28" s="99"/>
      <c r="L28" s="99"/>
      <c r="M28" s="99"/>
      <c r="N28" s="99"/>
    </row>
    <row r="29" spans="1:14" x14ac:dyDescent="0.3">
      <c r="A29" s="130" t="s">
        <v>24</v>
      </c>
      <c r="B29" s="131" t="s">
        <v>24</v>
      </c>
      <c r="C29" s="132">
        <v>0.56000000000000005</v>
      </c>
      <c r="D29" s="132" t="s">
        <v>161</v>
      </c>
      <c r="E29" s="132">
        <v>1.56</v>
      </c>
      <c r="F29" s="133" t="s">
        <v>274</v>
      </c>
      <c r="G29" s="134">
        <v>0.53</v>
      </c>
      <c r="H29" s="132" t="s">
        <v>275</v>
      </c>
      <c r="I29" s="135">
        <v>0.25</v>
      </c>
      <c r="J29" s="99"/>
      <c r="K29" s="99"/>
      <c r="L29" s="99"/>
      <c r="M29" s="99"/>
      <c r="N29" s="99"/>
    </row>
    <row r="30" spans="1:14" x14ac:dyDescent="0.3">
      <c r="A30" s="130" t="s">
        <v>25</v>
      </c>
      <c r="B30" s="131" t="s">
        <v>77</v>
      </c>
      <c r="C30" s="132">
        <v>0.55000000000000004</v>
      </c>
      <c r="D30" s="132" t="s">
        <v>161</v>
      </c>
      <c r="E30" s="132">
        <v>1.56</v>
      </c>
      <c r="F30" s="133" t="s">
        <v>274</v>
      </c>
      <c r="G30" s="134">
        <v>0.53</v>
      </c>
      <c r="H30" s="132" t="s">
        <v>152</v>
      </c>
      <c r="I30" s="135">
        <v>0.25</v>
      </c>
      <c r="J30" s="99"/>
      <c r="K30" s="99"/>
      <c r="L30" s="99"/>
      <c r="M30" s="99"/>
      <c r="N30" s="99"/>
    </row>
    <row r="31" spans="1:14" x14ac:dyDescent="0.3">
      <c r="A31" s="130" t="s">
        <v>26</v>
      </c>
      <c r="B31" s="131" t="s">
        <v>78</v>
      </c>
      <c r="C31" s="132">
        <v>0.56000000000000005</v>
      </c>
      <c r="D31" s="132" t="s">
        <v>161</v>
      </c>
      <c r="E31" s="132">
        <v>1.56</v>
      </c>
      <c r="F31" s="133" t="s">
        <v>274</v>
      </c>
      <c r="G31" s="134">
        <v>0.43</v>
      </c>
      <c r="H31" s="132" t="s">
        <v>278</v>
      </c>
      <c r="I31" s="135">
        <v>0.25</v>
      </c>
      <c r="J31" s="99"/>
      <c r="K31" s="99"/>
      <c r="L31" s="99"/>
      <c r="M31" s="99"/>
      <c r="N31" s="99"/>
    </row>
    <row r="32" spans="1:14" x14ac:dyDescent="0.3">
      <c r="A32" s="130" t="s">
        <v>27</v>
      </c>
      <c r="B32" s="131" t="s">
        <v>79</v>
      </c>
      <c r="C32" s="132">
        <v>0.48</v>
      </c>
      <c r="D32" s="132" t="s">
        <v>161</v>
      </c>
      <c r="E32" s="132">
        <v>1.3</v>
      </c>
      <c r="F32" s="133" t="s">
        <v>274</v>
      </c>
      <c r="G32" s="134">
        <v>0.6</v>
      </c>
      <c r="H32" s="132" t="s">
        <v>281</v>
      </c>
      <c r="I32" s="135">
        <v>0.43</v>
      </c>
      <c r="J32" s="99"/>
      <c r="K32" s="99"/>
      <c r="L32" s="99"/>
      <c r="M32" s="99"/>
      <c r="N32" s="99"/>
    </row>
    <row r="33" spans="1:14" x14ac:dyDescent="0.3">
      <c r="A33" s="130" t="s">
        <v>28</v>
      </c>
      <c r="B33" s="131" t="s">
        <v>80</v>
      </c>
      <c r="C33" s="132">
        <v>0.42</v>
      </c>
      <c r="D33" s="132" t="s">
        <v>161</v>
      </c>
      <c r="E33" s="132">
        <v>1.3</v>
      </c>
      <c r="F33" s="133" t="s">
        <v>274</v>
      </c>
      <c r="G33" s="134">
        <v>0.6</v>
      </c>
      <c r="H33" s="132" t="s">
        <v>281</v>
      </c>
      <c r="I33" s="135">
        <v>0.43</v>
      </c>
      <c r="J33" s="99"/>
      <c r="K33" s="99"/>
      <c r="L33" s="99"/>
      <c r="M33" s="99"/>
      <c r="N33" s="99"/>
    </row>
    <row r="34" spans="1:14" x14ac:dyDescent="0.3">
      <c r="A34" s="130" t="s">
        <v>81</v>
      </c>
      <c r="B34" s="131" t="s">
        <v>163</v>
      </c>
      <c r="C34" s="132">
        <v>0.42</v>
      </c>
      <c r="D34" s="132" t="s">
        <v>103</v>
      </c>
      <c r="E34" s="132">
        <v>1.3</v>
      </c>
      <c r="F34" s="133" t="s">
        <v>274</v>
      </c>
      <c r="G34" s="134">
        <v>0.6</v>
      </c>
      <c r="H34" s="131" t="s">
        <v>280</v>
      </c>
      <c r="I34" s="135">
        <v>0.43</v>
      </c>
      <c r="J34" s="99"/>
      <c r="K34" s="99"/>
      <c r="L34" s="99"/>
      <c r="M34" s="99"/>
      <c r="N34" s="99"/>
    </row>
    <row r="35" spans="1:14" x14ac:dyDescent="0.3">
      <c r="A35" s="130" t="s">
        <v>29</v>
      </c>
      <c r="B35" s="131" t="s">
        <v>82</v>
      </c>
      <c r="C35" s="132">
        <v>0.5</v>
      </c>
      <c r="D35" s="132" t="s">
        <v>161</v>
      </c>
      <c r="E35" s="132">
        <v>1.56</v>
      </c>
      <c r="F35" s="133" t="s">
        <v>274</v>
      </c>
      <c r="G35" s="134">
        <v>0.43</v>
      </c>
      <c r="H35" s="132" t="s">
        <v>278</v>
      </c>
      <c r="I35" s="135">
        <v>0.25</v>
      </c>
      <c r="J35" s="99"/>
      <c r="K35" s="99"/>
      <c r="L35" s="99"/>
      <c r="M35" s="99"/>
      <c r="N35" s="99"/>
    </row>
    <row r="36" spans="1:14" x14ac:dyDescent="0.3">
      <c r="A36" s="130" t="s">
        <v>102</v>
      </c>
      <c r="B36" s="131" t="s">
        <v>101</v>
      </c>
      <c r="C36" s="132">
        <v>0.55000000000000004</v>
      </c>
      <c r="D36" s="132" t="s">
        <v>161</v>
      </c>
      <c r="E36" s="132">
        <v>1.56</v>
      </c>
      <c r="F36" s="133" t="s">
        <v>274</v>
      </c>
      <c r="G36" s="134">
        <v>0.53</v>
      </c>
      <c r="H36" s="132" t="s">
        <v>275</v>
      </c>
      <c r="I36" s="135">
        <v>0.25</v>
      </c>
      <c r="J36" s="99"/>
      <c r="K36" s="99"/>
      <c r="L36" s="99"/>
      <c r="M36" s="99"/>
      <c r="N36" s="99"/>
    </row>
    <row r="37" spans="1:14" x14ac:dyDescent="0.3">
      <c r="A37" s="130" t="s">
        <v>30</v>
      </c>
      <c r="B37" s="131" t="s">
        <v>104</v>
      </c>
      <c r="C37" s="132">
        <v>0.52</v>
      </c>
      <c r="D37" s="132" t="s">
        <v>161</v>
      </c>
      <c r="E37" s="132">
        <v>1.56</v>
      </c>
      <c r="F37" s="133" t="s">
        <v>274</v>
      </c>
      <c r="G37" s="134">
        <v>0.53</v>
      </c>
      <c r="H37" s="132" t="s">
        <v>275</v>
      </c>
      <c r="I37" s="135">
        <v>0.25</v>
      </c>
      <c r="J37" s="99"/>
      <c r="K37" s="99"/>
      <c r="L37" s="99"/>
      <c r="M37" s="99"/>
      <c r="N37" s="99"/>
    </row>
    <row r="38" spans="1:14" x14ac:dyDescent="0.3">
      <c r="A38" s="130" t="s">
        <v>31</v>
      </c>
      <c r="B38" s="131" t="s">
        <v>105</v>
      </c>
      <c r="C38" s="132">
        <v>0.52</v>
      </c>
      <c r="D38" s="132" t="s">
        <v>161</v>
      </c>
      <c r="E38" s="132">
        <v>1.56</v>
      </c>
      <c r="F38" s="133" t="s">
        <v>274</v>
      </c>
      <c r="G38" s="134">
        <v>0.43</v>
      </c>
      <c r="H38" s="132" t="s">
        <v>278</v>
      </c>
      <c r="I38" s="135">
        <v>0.25</v>
      </c>
      <c r="J38" s="99"/>
      <c r="K38" s="99"/>
      <c r="L38" s="99"/>
      <c r="M38" s="99"/>
      <c r="N38" s="99"/>
    </row>
    <row r="39" spans="1:14" x14ac:dyDescent="0.3">
      <c r="A39" s="130" t="s">
        <v>107</v>
      </c>
      <c r="B39" s="131" t="s">
        <v>132</v>
      </c>
      <c r="C39" s="132">
        <v>0.313</v>
      </c>
      <c r="D39" s="132" t="s">
        <v>130</v>
      </c>
      <c r="E39" s="132">
        <v>1.56</v>
      </c>
      <c r="F39" s="133" t="s">
        <v>274</v>
      </c>
      <c r="G39" s="134">
        <v>0.6</v>
      </c>
      <c r="H39" s="132" t="s">
        <v>283</v>
      </c>
      <c r="I39" s="135">
        <v>1.03</v>
      </c>
      <c r="J39" s="99"/>
      <c r="K39" s="99"/>
      <c r="L39" s="99"/>
      <c r="M39" s="99"/>
      <c r="N39" s="99"/>
    </row>
    <row r="40" spans="1:14" x14ac:dyDescent="0.3">
      <c r="A40" s="130" t="s">
        <v>108</v>
      </c>
      <c r="B40" s="131" t="s">
        <v>132</v>
      </c>
      <c r="C40" s="132">
        <v>0.35199999999999998</v>
      </c>
      <c r="D40" s="132" t="s">
        <v>130</v>
      </c>
      <c r="E40" s="132">
        <v>1.56</v>
      </c>
      <c r="F40" s="133" t="s">
        <v>274</v>
      </c>
      <c r="G40" s="134">
        <v>0.6</v>
      </c>
      <c r="H40" s="132" t="s">
        <v>283</v>
      </c>
      <c r="I40" s="135">
        <v>1.03</v>
      </c>
      <c r="J40" s="99"/>
      <c r="K40" s="99"/>
      <c r="L40" s="99"/>
      <c r="M40" s="99"/>
      <c r="N40" s="99"/>
    </row>
    <row r="41" spans="1:14" x14ac:dyDescent="0.3">
      <c r="A41" s="130" t="s">
        <v>121</v>
      </c>
      <c r="B41" s="131" t="s">
        <v>132</v>
      </c>
      <c r="C41" s="132">
        <v>0.32200000000000001</v>
      </c>
      <c r="D41" s="132" t="s">
        <v>130</v>
      </c>
      <c r="E41" s="132">
        <v>1.56</v>
      </c>
      <c r="F41" s="133" t="s">
        <v>274</v>
      </c>
      <c r="G41" s="134">
        <v>0.6</v>
      </c>
      <c r="H41" s="132" t="s">
        <v>283</v>
      </c>
      <c r="I41" s="135">
        <v>1.03</v>
      </c>
      <c r="J41" s="99"/>
      <c r="K41" s="99"/>
      <c r="L41" s="99"/>
      <c r="M41" s="99"/>
      <c r="N41" s="99"/>
    </row>
    <row r="42" spans="1:14" x14ac:dyDescent="0.3">
      <c r="A42" s="130" t="s">
        <v>122</v>
      </c>
      <c r="B42" s="131" t="s">
        <v>132</v>
      </c>
      <c r="C42" s="132">
        <v>0.311</v>
      </c>
      <c r="D42" s="132" t="s">
        <v>130</v>
      </c>
      <c r="E42" s="132">
        <v>1.56</v>
      </c>
      <c r="F42" s="133" t="s">
        <v>274</v>
      </c>
      <c r="G42" s="134">
        <v>0.6</v>
      </c>
      <c r="H42" s="132" t="s">
        <v>283</v>
      </c>
      <c r="I42" s="135">
        <v>1.03</v>
      </c>
      <c r="J42" s="99"/>
      <c r="K42" s="99"/>
      <c r="L42" s="99"/>
      <c r="M42" s="99"/>
      <c r="N42" s="99"/>
    </row>
    <row r="43" spans="1:14" x14ac:dyDescent="0.3">
      <c r="A43" s="130" t="s">
        <v>109</v>
      </c>
      <c r="B43" s="131" t="s">
        <v>132</v>
      </c>
      <c r="C43" s="132">
        <v>0.33900000000000002</v>
      </c>
      <c r="D43" s="132" t="s">
        <v>130</v>
      </c>
      <c r="E43" s="132">
        <v>1.56</v>
      </c>
      <c r="F43" s="133" t="s">
        <v>274</v>
      </c>
      <c r="G43" s="134">
        <v>0.6</v>
      </c>
      <c r="H43" s="132" t="s">
        <v>283</v>
      </c>
      <c r="I43" s="135">
        <v>1.03</v>
      </c>
      <c r="J43" s="99"/>
      <c r="K43" s="99"/>
      <c r="L43" s="99"/>
      <c r="M43" s="99"/>
      <c r="N43" s="99"/>
    </row>
    <row r="44" spans="1:14" x14ac:dyDescent="0.3">
      <c r="A44" s="130" t="s">
        <v>123</v>
      </c>
      <c r="B44" s="131" t="s">
        <v>132</v>
      </c>
      <c r="C44" s="132">
        <v>0.33600000000000002</v>
      </c>
      <c r="D44" s="132" t="s">
        <v>130</v>
      </c>
      <c r="E44" s="132">
        <v>1.56</v>
      </c>
      <c r="F44" s="133" t="s">
        <v>274</v>
      </c>
      <c r="G44" s="134">
        <v>0.6</v>
      </c>
      <c r="H44" s="132" t="s">
        <v>283</v>
      </c>
      <c r="I44" s="135">
        <v>1.03</v>
      </c>
      <c r="J44" s="99"/>
      <c r="K44" s="99"/>
      <c r="L44" s="99"/>
      <c r="M44" s="99"/>
      <c r="N44" s="99"/>
    </row>
    <row r="45" spans="1:14" x14ac:dyDescent="0.3">
      <c r="A45" s="130" t="s">
        <v>110</v>
      </c>
      <c r="B45" s="131" t="s">
        <v>132</v>
      </c>
      <c r="C45" s="132">
        <v>0.32900000000000001</v>
      </c>
      <c r="D45" s="132" t="s">
        <v>130</v>
      </c>
      <c r="E45" s="132">
        <v>1.56</v>
      </c>
      <c r="F45" s="133" t="s">
        <v>274</v>
      </c>
      <c r="G45" s="134">
        <v>0.6</v>
      </c>
      <c r="H45" s="132" t="s">
        <v>283</v>
      </c>
      <c r="I45" s="135">
        <v>1.03</v>
      </c>
      <c r="J45" s="99"/>
      <c r="K45" s="99"/>
      <c r="L45" s="99"/>
      <c r="M45" s="99"/>
      <c r="N45" s="99"/>
    </row>
    <row r="46" spans="1:14" x14ac:dyDescent="0.3">
      <c r="A46" s="130" t="s">
        <v>124</v>
      </c>
      <c r="B46" s="131" t="s">
        <v>132</v>
      </c>
      <c r="C46" s="132">
        <v>0.34300000000000003</v>
      </c>
      <c r="D46" s="132" t="s">
        <v>130</v>
      </c>
      <c r="E46" s="132">
        <v>1.56</v>
      </c>
      <c r="F46" s="133" t="s">
        <v>274</v>
      </c>
      <c r="G46" s="134">
        <v>0.6</v>
      </c>
      <c r="H46" s="132" t="s">
        <v>283</v>
      </c>
      <c r="I46" s="135">
        <v>1.03</v>
      </c>
      <c r="J46" s="99"/>
      <c r="K46" s="99"/>
      <c r="L46" s="99"/>
      <c r="M46" s="99"/>
      <c r="N46" s="99"/>
    </row>
    <row r="47" spans="1:14" x14ac:dyDescent="0.3">
      <c r="A47" s="130" t="s">
        <v>125</v>
      </c>
      <c r="B47" s="131" t="s">
        <v>132</v>
      </c>
      <c r="C47" s="132">
        <v>0.32500000000000001</v>
      </c>
      <c r="D47" s="132" t="s">
        <v>130</v>
      </c>
      <c r="E47" s="132">
        <v>1.56</v>
      </c>
      <c r="F47" s="133" t="s">
        <v>274</v>
      </c>
      <c r="G47" s="134">
        <v>0.6</v>
      </c>
      <c r="H47" s="132" t="s">
        <v>283</v>
      </c>
      <c r="I47" s="135">
        <v>1.03</v>
      </c>
      <c r="J47" s="99"/>
      <c r="K47" s="99"/>
      <c r="L47" s="99"/>
      <c r="M47" s="99"/>
      <c r="N47" s="99"/>
    </row>
    <row r="48" spans="1:14" x14ac:dyDescent="0.3">
      <c r="A48" s="130" t="s">
        <v>126</v>
      </c>
      <c r="B48" s="131" t="s">
        <v>132</v>
      </c>
      <c r="C48" s="132">
        <v>0.32</v>
      </c>
      <c r="D48" s="132" t="s">
        <v>130</v>
      </c>
      <c r="E48" s="132">
        <v>1.56</v>
      </c>
      <c r="F48" s="133" t="s">
        <v>274</v>
      </c>
      <c r="G48" s="134">
        <v>0.6</v>
      </c>
      <c r="H48" s="132" t="s">
        <v>283</v>
      </c>
      <c r="I48" s="135">
        <v>1.03</v>
      </c>
      <c r="J48" s="99"/>
      <c r="K48" s="99"/>
      <c r="L48" s="99"/>
      <c r="M48" s="99"/>
      <c r="N48" s="99"/>
    </row>
    <row r="49" spans="1:14" x14ac:dyDescent="0.3">
      <c r="A49" s="130" t="s">
        <v>111</v>
      </c>
      <c r="B49" s="131" t="s">
        <v>132</v>
      </c>
      <c r="C49" s="132">
        <v>0.28199999999999997</v>
      </c>
      <c r="D49" s="132" t="s">
        <v>130</v>
      </c>
      <c r="E49" s="132">
        <v>1.56</v>
      </c>
      <c r="F49" s="133" t="s">
        <v>274</v>
      </c>
      <c r="G49" s="134">
        <v>0.6</v>
      </c>
      <c r="H49" s="132" t="s">
        <v>283</v>
      </c>
      <c r="I49" s="135">
        <v>1.03</v>
      </c>
      <c r="J49" s="99"/>
      <c r="K49" s="99"/>
      <c r="L49" s="99"/>
      <c r="M49" s="99"/>
      <c r="N49" s="99"/>
    </row>
    <row r="50" spans="1:14" x14ac:dyDescent="0.3">
      <c r="A50" s="130" t="s">
        <v>127</v>
      </c>
      <c r="B50" s="131" t="s">
        <v>132</v>
      </c>
      <c r="C50" s="132">
        <v>0.32800000000000001</v>
      </c>
      <c r="D50" s="132" t="s">
        <v>130</v>
      </c>
      <c r="E50" s="132">
        <v>1.56</v>
      </c>
      <c r="F50" s="133" t="s">
        <v>274</v>
      </c>
      <c r="G50" s="134">
        <v>0.6</v>
      </c>
      <c r="H50" s="132" t="s">
        <v>283</v>
      </c>
      <c r="I50" s="135">
        <v>1.03</v>
      </c>
      <c r="J50" s="99"/>
      <c r="K50" s="99"/>
      <c r="L50" s="99"/>
      <c r="M50" s="99"/>
      <c r="N50" s="99"/>
    </row>
    <row r="51" spans="1:14" x14ac:dyDescent="0.3">
      <c r="A51" s="130" t="s">
        <v>112</v>
      </c>
      <c r="B51" s="131" t="s">
        <v>132</v>
      </c>
      <c r="C51" s="132">
        <v>0.32600000000000001</v>
      </c>
      <c r="D51" s="132" t="s">
        <v>130</v>
      </c>
      <c r="E51" s="132">
        <v>1.56</v>
      </c>
      <c r="F51" s="133" t="s">
        <v>274</v>
      </c>
      <c r="G51" s="134">
        <v>0.6</v>
      </c>
      <c r="H51" s="132" t="s">
        <v>283</v>
      </c>
      <c r="I51" s="135">
        <v>1.03</v>
      </c>
      <c r="J51" s="99"/>
      <c r="K51" s="99"/>
      <c r="L51" s="99"/>
      <c r="M51" s="99"/>
      <c r="N51" s="99"/>
    </row>
    <row r="52" spans="1:14" x14ac:dyDescent="0.3">
      <c r="A52" s="130" t="s">
        <v>113</v>
      </c>
      <c r="B52" s="131" t="s">
        <v>132</v>
      </c>
      <c r="C52" s="132">
        <v>0.35899999999999999</v>
      </c>
      <c r="D52" s="132" t="s">
        <v>130</v>
      </c>
      <c r="E52" s="132">
        <v>1.56</v>
      </c>
      <c r="F52" s="133" t="s">
        <v>274</v>
      </c>
      <c r="G52" s="134">
        <v>0.6</v>
      </c>
      <c r="H52" s="132" t="s">
        <v>283</v>
      </c>
      <c r="I52" s="135">
        <v>1.03</v>
      </c>
      <c r="J52" s="99"/>
      <c r="K52" s="99"/>
      <c r="L52" s="99"/>
      <c r="M52" s="99"/>
      <c r="N52" s="99"/>
    </row>
    <row r="53" spans="1:14" x14ac:dyDescent="0.3">
      <c r="A53" s="130" t="s">
        <v>114</v>
      </c>
      <c r="B53" s="131" t="s">
        <v>132</v>
      </c>
      <c r="C53" s="132">
        <v>0.34599999999999997</v>
      </c>
      <c r="D53" s="132" t="s">
        <v>130</v>
      </c>
      <c r="E53" s="132">
        <v>1.56</v>
      </c>
      <c r="F53" s="133" t="s">
        <v>274</v>
      </c>
      <c r="G53" s="134">
        <v>0.6</v>
      </c>
      <c r="H53" s="132" t="s">
        <v>283</v>
      </c>
      <c r="I53" s="135">
        <v>1.03</v>
      </c>
      <c r="J53" s="99"/>
      <c r="K53" s="99"/>
      <c r="L53" s="99"/>
      <c r="M53" s="99"/>
      <c r="N53" s="99"/>
    </row>
    <row r="54" spans="1:14" x14ac:dyDescent="0.3">
      <c r="A54" s="130" t="s">
        <v>115</v>
      </c>
      <c r="B54" s="131" t="s">
        <v>132</v>
      </c>
      <c r="C54" s="132">
        <v>0.32600000000000001</v>
      </c>
      <c r="D54" s="132" t="s">
        <v>130</v>
      </c>
      <c r="E54" s="132">
        <v>1.56</v>
      </c>
      <c r="F54" s="133" t="s">
        <v>274</v>
      </c>
      <c r="G54" s="134">
        <v>0.6</v>
      </c>
      <c r="H54" s="132" t="s">
        <v>283</v>
      </c>
      <c r="I54" s="135">
        <v>1.03</v>
      </c>
      <c r="J54" s="99"/>
      <c r="K54" s="99"/>
      <c r="L54" s="99"/>
      <c r="M54" s="99"/>
      <c r="N54" s="99"/>
    </row>
    <row r="55" spans="1:14" x14ac:dyDescent="0.3">
      <c r="A55" s="130" t="s">
        <v>116</v>
      </c>
      <c r="B55" s="131" t="s">
        <v>132</v>
      </c>
      <c r="C55" s="132">
        <v>0.30499999999999999</v>
      </c>
      <c r="D55" s="132" t="s">
        <v>130</v>
      </c>
      <c r="E55" s="132">
        <v>1.56</v>
      </c>
      <c r="F55" s="133" t="s">
        <v>274</v>
      </c>
      <c r="G55" s="134">
        <v>0.6</v>
      </c>
      <c r="H55" s="132" t="s">
        <v>283</v>
      </c>
      <c r="I55" s="135">
        <v>1.03</v>
      </c>
      <c r="J55" s="99"/>
      <c r="K55" s="99"/>
      <c r="L55" s="99"/>
      <c r="M55" s="99"/>
      <c r="N55" s="99"/>
    </row>
    <row r="56" spans="1:14" x14ac:dyDescent="0.3">
      <c r="A56" s="130" t="s">
        <v>128</v>
      </c>
      <c r="B56" s="131" t="s">
        <v>132</v>
      </c>
      <c r="C56" s="132">
        <v>0.32300000000000001</v>
      </c>
      <c r="D56" s="132" t="s">
        <v>130</v>
      </c>
      <c r="E56" s="132">
        <v>1.56</v>
      </c>
      <c r="F56" s="133" t="s">
        <v>274</v>
      </c>
      <c r="G56" s="134">
        <v>0.6</v>
      </c>
      <c r="H56" s="132" t="s">
        <v>283</v>
      </c>
      <c r="I56" s="135">
        <v>1.03</v>
      </c>
      <c r="J56" s="99"/>
      <c r="K56" s="99"/>
      <c r="L56" s="99"/>
      <c r="M56" s="99"/>
      <c r="N56" s="99"/>
    </row>
    <row r="57" spans="1:14" x14ac:dyDescent="0.3">
      <c r="A57" s="130" t="s">
        <v>129</v>
      </c>
      <c r="B57" s="131" t="s">
        <v>132</v>
      </c>
      <c r="C57" s="132">
        <v>0.36699999999999999</v>
      </c>
      <c r="D57" s="132" t="s">
        <v>130</v>
      </c>
      <c r="E57" s="132">
        <v>1.56</v>
      </c>
      <c r="F57" s="133" t="s">
        <v>274</v>
      </c>
      <c r="G57" s="134">
        <v>0.6</v>
      </c>
      <c r="H57" s="132" t="s">
        <v>283</v>
      </c>
      <c r="I57" s="135">
        <v>1.03</v>
      </c>
      <c r="J57" s="99"/>
      <c r="K57" s="99"/>
      <c r="L57" s="99"/>
      <c r="M57" s="99"/>
      <c r="N57" s="99"/>
    </row>
    <row r="58" spans="1:14" x14ac:dyDescent="0.3">
      <c r="A58" s="130" t="s">
        <v>117</v>
      </c>
      <c r="B58" s="131" t="s">
        <v>132</v>
      </c>
      <c r="C58" s="132">
        <v>0.36</v>
      </c>
      <c r="D58" s="132" t="s">
        <v>130</v>
      </c>
      <c r="E58" s="132">
        <v>1.56</v>
      </c>
      <c r="F58" s="133" t="s">
        <v>274</v>
      </c>
      <c r="G58" s="134">
        <v>0.6</v>
      </c>
      <c r="H58" s="132" t="s">
        <v>283</v>
      </c>
      <c r="I58" s="135">
        <v>1.03</v>
      </c>
      <c r="J58" s="99"/>
      <c r="K58" s="99"/>
      <c r="L58" s="99"/>
      <c r="M58" s="99"/>
      <c r="N58" s="99"/>
    </row>
    <row r="59" spans="1:14" x14ac:dyDescent="0.3">
      <c r="A59" s="130" t="s">
        <v>118</v>
      </c>
      <c r="B59" s="131" t="s">
        <v>132</v>
      </c>
      <c r="C59" s="132">
        <v>0.36799999999999999</v>
      </c>
      <c r="D59" s="132" t="s">
        <v>130</v>
      </c>
      <c r="E59" s="132">
        <v>1.56</v>
      </c>
      <c r="F59" s="133" t="s">
        <v>274</v>
      </c>
      <c r="G59" s="134">
        <v>0.6</v>
      </c>
      <c r="H59" s="132" t="s">
        <v>283</v>
      </c>
      <c r="I59" s="135">
        <v>1.03</v>
      </c>
      <c r="J59" s="99"/>
      <c r="K59" s="99"/>
      <c r="L59" s="99"/>
      <c r="M59" s="99"/>
      <c r="N59" s="99"/>
    </row>
    <row r="60" spans="1:14" x14ac:dyDescent="0.3">
      <c r="A60" s="130" t="s">
        <v>119</v>
      </c>
      <c r="B60" s="131" t="s">
        <v>132</v>
      </c>
      <c r="C60" s="132">
        <v>0.30599999999999999</v>
      </c>
      <c r="D60" s="132" t="s">
        <v>130</v>
      </c>
      <c r="E60" s="132">
        <v>1.56</v>
      </c>
      <c r="F60" s="133" t="s">
        <v>274</v>
      </c>
      <c r="G60" s="134">
        <v>0.6</v>
      </c>
      <c r="H60" s="132" t="s">
        <v>283</v>
      </c>
      <c r="I60" s="135">
        <v>1.03</v>
      </c>
      <c r="J60" s="99"/>
      <c r="K60" s="99"/>
      <c r="L60" s="99"/>
      <c r="M60" s="99"/>
      <c r="N60" s="99"/>
    </row>
    <row r="61" spans="1:14" x14ac:dyDescent="0.3">
      <c r="A61" s="130" t="s">
        <v>120</v>
      </c>
      <c r="B61" s="131" t="s">
        <v>132</v>
      </c>
      <c r="C61" s="132">
        <v>0.313</v>
      </c>
      <c r="D61" s="132" t="s">
        <v>130</v>
      </c>
      <c r="E61" s="132">
        <v>1.56</v>
      </c>
      <c r="F61" s="133" t="s">
        <v>274</v>
      </c>
      <c r="G61" s="134">
        <v>0.6</v>
      </c>
      <c r="H61" s="132" t="s">
        <v>283</v>
      </c>
      <c r="I61" s="135">
        <v>1.03</v>
      </c>
      <c r="J61" s="99"/>
      <c r="K61" s="99"/>
      <c r="L61" s="99"/>
      <c r="M61" s="99"/>
      <c r="N61" s="99"/>
    </row>
    <row r="62" spans="1:14" x14ac:dyDescent="0.3">
      <c r="A62" s="130" t="s">
        <v>32</v>
      </c>
      <c r="B62" s="131" t="s">
        <v>133</v>
      </c>
      <c r="C62" s="132">
        <v>0.37</v>
      </c>
      <c r="D62" s="132" t="s">
        <v>161</v>
      </c>
      <c r="E62" s="132">
        <v>1.56</v>
      </c>
      <c r="F62" s="133" t="s">
        <v>274</v>
      </c>
      <c r="G62" s="134">
        <v>0.6</v>
      </c>
      <c r="H62" s="132" t="s">
        <v>283</v>
      </c>
      <c r="I62" s="135">
        <v>1.03</v>
      </c>
      <c r="J62" s="99"/>
      <c r="K62" s="99"/>
      <c r="L62" s="99"/>
      <c r="M62" s="99"/>
      <c r="N62" s="99"/>
    </row>
    <row r="63" spans="1:14" x14ac:dyDescent="0.3">
      <c r="A63" s="130" t="s">
        <v>90</v>
      </c>
      <c r="B63" s="131" t="s">
        <v>83</v>
      </c>
      <c r="C63" s="132">
        <v>0.45</v>
      </c>
      <c r="D63" s="132" t="s">
        <v>161</v>
      </c>
      <c r="E63" s="132">
        <v>1.3</v>
      </c>
      <c r="F63" s="133" t="s">
        <v>274</v>
      </c>
      <c r="G63" s="134">
        <v>0.45</v>
      </c>
      <c r="H63" s="132" t="s">
        <v>276</v>
      </c>
      <c r="I63" s="135">
        <v>0.43</v>
      </c>
      <c r="J63" s="99"/>
      <c r="K63" s="99"/>
      <c r="L63" s="99"/>
      <c r="M63" s="99"/>
      <c r="N63" s="99"/>
    </row>
    <row r="64" spans="1:14" x14ac:dyDescent="0.3">
      <c r="A64" s="130" t="s">
        <v>33</v>
      </c>
      <c r="B64" s="131" t="s">
        <v>134</v>
      </c>
      <c r="C64" s="132">
        <v>0.39</v>
      </c>
      <c r="D64" s="132" t="s">
        <v>161</v>
      </c>
      <c r="E64" s="132">
        <v>1.3</v>
      </c>
      <c r="F64" s="133" t="s">
        <v>274</v>
      </c>
      <c r="G64" s="134">
        <v>0.45</v>
      </c>
      <c r="H64" s="132" t="s">
        <v>276</v>
      </c>
      <c r="I64" s="135">
        <v>0.43</v>
      </c>
      <c r="J64" s="99"/>
      <c r="K64" s="99"/>
      <c r="L64" s="99"/>
      <c r="M64" s="99"/>
      <c r="N64" s="99"/>
    </row>
    <row r="65" spans="1:14" x14ac:dyDescent="0.3">
      <c r="A65" s="130" t="s">
        <v>34</v>
      </c>
      <c r="B65" s="131" t="s">
        <v>135</v>
      </c>
      <c r="C65" s="132">
        <v>0.44</v>
      </c>
      <c r="D65" s="132" t="s">
        <v>161</v>
      </c>
      <c r="E65" s="132">
        <v>1.3</v>
      </c>
      <c r="F65" s="133" t="s">
        <v>274</v>
      </c>
      <c r="G65" s="134">
        <v>0.45</v>
      </c>
      <c r="H65" s="132" t="s">
        <v>276</v>
      </c>
      <c r="I65" s="135">
        <v>0.43</v>
      </c>
      <c r="J65" s="99"/>
      <c r="K65" s="99"/>
      <c r="L65" s="99"/>
      <c r="M65" s="99"/>
      <c r="N65" s="99"/>
    </row>
    <row r="66" spans="1:14" x14ac:dyDescent="0.3">
      <c r="A66" s="130" t="s">
        <v>35</v>
      </c>
      <c r="B66" s="131" t="s">
        <v>84</v>
      </c>
      <c r="C66" s="132">
        <v>0.46</v>
      </c>
      <c r="D66" s="132" t="s">
        <v>161</v>
      </c>
      <c r="E66" s="132">
        <v>1.3</v>
      </c>
      <c r="F66" s="133" t="s">
        <v>274</v>
      </c>
      <c r="G66" s="134">
        <v>0.45</v>
      </c>
      <c r="H66" s="132" t="s">
        <v>276</v>
      </c>
      <c r="I66" s="135">
        <v>0.43</v>
      </c>
      <c r="J66" s="99"/>
      <c r="K66" s="99"/>
      <c r="L66" s="99"/>
      <c r="M66" s="99"/>
      <c r="N66" s="99"/>
    </row>
    <row r="67" spans="1:14" x14ac:dyDescent="0.3">
      <c r="A67" s="130" t="s">
        <v>36</v>
      </c>
      <c r="B67" s="131" t="s">
        <v>85</v>
      </c>
      <c r="C67" s="132">
        <v>0.46</v>
      </c>
      <c r="D67" s="132" t="s">
        <v>161</v>
      </c>
      <c r="E67" s="132">
        <v>1.3</v>
      </c>
      <c r="F67" s="133" t="s">
        <v>274</v>
      </c>
      <c r="G67" s="134">
        <v>0.45</v>
      </c>
      <c r="H67" s="132" t="s">
        <v>152</v>
      </c>
      <c r="I67" s="135">
        <v>0.59</v>
      </c>
      <c r="J67" s="99"/>
      <c r="K67" s="99"/>
      <c r="L67" s="99"/>
      <c r="M67" s="99"/>
      <c r="N67" s="99"/>
    </row>
    <row r="68" spans="1:14" x14ac:dyDescent="0.3">
      <c r="A68" s="130" t="s">
        <v>37</v>
      </c>
      <c r="B68" s="131" t="s">
        <v>136</v>
      </c>
      <c r="C68" s="132">
        <v>0.44</v>
      </c>
      <c r="D68" s="132" t="s">
        <v>161</v>
      </c>
      <c r="E68" s="132">
        <v>1.3</v>
      </c>
      <c r="F68" s="133" t="s">
        <v>274</v>
      </c>
      <c r="G68" s="134">
        <v>0.45</v>
      </c>
      <c r="H68" s="132" t="s">
        <v>276</v>
      </c>
      <c r="I68" s="135">
        <v>0.43</v>
      </c>
      <c r="J68" s="99"/>
      <c r="K68" s="99"/>
      <c r="L68" s="99"/>
      <c r="M68" s="99"/>
      <c r="N68" s="99"/>
    </row>
    <row r="69" spans="1:14" x14ac:dyDescent="0.3">
      <c r="A69" s="130" t="s">
        <v>38</v>
      </c>
      <c r="B69" s="131" t="s">
        <v>86</v>
      </c>
      <c r="C69" s="132">
        <v>0.46</v>
      </c>
      <c r="D69" s="132" t="s">
        <v>161</v>
      </c>
      <c r="E69" s="132">
        <v>1.3</v>
      </c>
      <c r="F69" s="133" t="s">
        <v>274</v>
      </c>
      <c r="G69" s="134">
        <v>0.45</v>
      </c>
      <c r="H69" s="132" t="s">
        <v>276</v>
      </c>
      <c r="I69" s="135">
        <v>0.43</v>
      </c>
      <c r="J69" s="99"/>
      <c r="K69" s="99"/>
      <c r="L69" s="99"/>
      <c r="M69" s="99"/>
      <c r="N69" s="99"/>
    </row>
    <row r="70" spans="1:14" x14ac:dyDescent="0.3">
      <c r="A70" s="130" t="s">
        <v>39</v>
      </c>
      <c r="B70" s="131" t="s">
        <v>137</v>
      </c>
      <c r="C70" s="132">
        <v>0.48</v>
      </c>
      <c r="D70" s="132" t="s">
        <v>161</v>
      </c>
      <c r="E70" s="132">
        <v>2.4</v>
      </c>
      <c r="F70" s="132" t="s">
        <v>284</v>
      </c>
      <c r="G70" s="134">
        <v>0.45</v>
      </c>
      <c r="H70" s="132" t="s">
        <v>276</v>
      </c>
      <c r="I70" s="135">
        <v>0.43</v>
      </c>
      <c r="J70" s="99"/>
      <c r="K70" s="99"/>
      <c r="L70" s="99"/>
      <c r="M70" s="99"/>
      <c r="N70" s="99"/>
    </row>
    <row r="71" spans="1:14" x14ac:dyDescent="0.3">
      <c r="A71" s="130" t="s">
        <v>40</v>
      </c>
      <c r="B71" s="131" t="s">
        <v>87</v>
      </c>
      <c r="C71" s="132">
        <v>0.46</v>
      </c>
      <c r="D71" s="132" t="s">
        <v>150</v>
      </c>
      <c r="E71" s="132">
        <v>1.3</v>
      </c>
      <c r="F71" s="133" t="s">
        <v>274</v>
      </c>
      <c r="G71" s="134">
        <v>0.45</v>
      </c>
      <c r="H71" s="132" t="s">
        <v>276</v>
      </c>
      <c r="I71" s="135">
        <v>0.43</v>
      </c>
      <c r="J71" s="99"/>
      <c r="K71" s="99"/>
      <c r="L71" s="99"/>
      <c r="M71" s="99"/>
      <c r="N71" s="99"/>
    </row>
    <row r="72" spans="1:14" x14ac:dyDescent="0.3">
      <c r="A72" s="130" t="s">
        <v>41</v>
      </c>
      <c r="B72" s="131" t="s">
        <v>88</v>
      </c>
      <c r="C72" s="132">
        <v>0.44</v>
      </c>
      <c r="D72" s="132" t="s">
        <v>161</v>
      </c>
      <c r="E72" s="132">
        <v>1.3</v>
      </c>
      <c r="F72" s="133" t="s">
        <v>274</v>
      </c>
      <c r="G72" s="134">
        <v>0.45</v>
      </c>
      <c r="H72" s="132" t="s">
        <v>276</v>
      </c>
      <c r="I72" s="135">
        <v>0.43</v>
      </c>
      <c r="J72" s="99"/>
      <c r="K72" s="99"/>
      <c r="L72" s="99"/>
      <c r="M72" s="99"/>
      <c r="N72" s="99"/>
    </row>
    <row r="73" spans="1:14" x14ac:dyDescent="0.3">
      <c r="A73" s="130" t="s">
        <v>138</v>
      </c>
      <c r="B73" s="131" t="s">
        <v>140</v>
      </c>
      <c r="C73" s="132">
        <v>0.46</v>
      </c>
      <c r="D73" s="132" t="s">
        <v>151</v>
      </c>
      <c r="E73" s="132">
        <v>1.3</v>
      </c>
      <c r="F73" s="133" t="s">
        <v>274</v>
      </c>
      <c r="G73" s="134">
        <v>0.45</v>
      </c>
      <c r="H73" s="132" t="s">
        <v>276</v>
      </c>
      <c r="I73" s="135">
        <v>0.43</v>
      </c>
      <c r="J73" s="99"/>
      <c r="K73" s="99"/>
      <c r="L73" s="99"/>
      <c r="M73" s="99"/>
      <c r="N73" s="99"/>
    </row>
    <row r="74" spans="1:14" x14ac:dyDescent="0.3">
      <c r="A74" s="130" t="s">
        <v>42</v>
      </c>
      <c r="B74" s="131" t="s">
        <v>139</v>
      </c>
      <c r="C74" s="132">
        <v>0.34</v>
      </c>
      <c r="D74" s="132" t="s">
        <v>161</v>
      </c>
      <c r="E74" s="132">
        <v>1.3</v>
      </c>
      <c r="F74" s="133" t="s">
        <v>274</v>
      </c>
      <c r="G74" s="134">
        <v>0.45</v>
      </c>
      <c r="H74" s="132" t="s">
        <v>276</v>
      </c>
      <c r="I74" s="135">
        <v>0.43</v>
      </c>
      <c r="J74" s="99"/>
      <c r="K74" s="99"/>
      <c r="L74" s="99"/>
      <c r="M74" s="99"/>
      <c r="N74" s="99"/>
    </row>
    <row r="75" spans="1:14" x14ac:dyDescent="0.3">
      <c r="A75" s="130" t="s">
        <v>43</v>
      </c>
      <c r="B75" s="131" t="s">
        <v>162</v>
      </c>
      <c r="C75" s="132">
        <v>0.5</v>
      </c>
      <c r="D75" s="132" t="s">
        <v>161</v>
      </c>
      <c r="E75" s="132">
        <v>1.56</v>
      </c>
      <c r="F75" s="133" t="s">
        <v>274</v>
      </c>
      <c r="G75" s="134">
        <v>0.53</v>
      </c>
      <c r="H75" s="132" t="s">
        <v>275</v>
      </c>
      <c r="I75" s="135">
        <v>0.25</v>
      </c>
      <c r="J75" s="99"/>
      <c r="K75" s="99"/>
      <c r="L75" s="99"/>
      <c r="M75" s="99"/>
      <c r="N75" s="99"/>
    </row>
    <row r="76" spans="1:14" x14ac:dyDescent="0.3">
      <c r="A76" s="130" t="s">
        <v>44</v>
      </c>
      <c r="B76" s="131" t="s">
        <v>89</v>
      </c>
      <c r="C76" s="132">
        <v>0.57999999999999996</v>
      </c>
      <c r="D76" s="132" t="s">
        <v>161</v>
      </c>
      <c r="E76" s="132">
        <v>1.56</v>
      </c>
      <c r="F76" s="133" t="s">
        <v>274</v>
      </c>
      <c r="G76" s="134">
        <v>0.3</v>
      </c>
      <c r="H76" s="132" t="s">
        <v>277</v>
      </c>
      <c r="I76" s="135">
        <v>0.25</v>
      </c>
      <c r="J76" s="99"/>
      <c r="K76" s="99"/>
      <c r="L76" s="99"/>
      <c r="M76" s="99"/>
      <c r="N76" s="99"/>
    </row>
    <row r="77" spans="1:14" x14ac:dyDescent="0.3">
      <c r="A77" s="130" t="s">
        <v>47</v>
      </c>
      <c r="B77" s="131" t="s">
        <v>141</v>
      </c>
      <c r="C77" s="132">
        <v>0.37</v>
      </c>
      <c r="D77" s="132" t="s">
        <v>161</v>
      </c>
      <c r="E77" s="132">
        <v>1.3</v>
      </c>
      <c r="F77" s="133" t="s">
        <v>274</v>
      </c>
      <c r="G77" s="134">
        <v>0.55000000000000004</v>
      </c>
      <c r="H77" s="132" t="s">
        <v>152</v>
      </c>
      <c r="I77" s="135">
        <v>0.43</v>
      </c>
      <c r="J77" s="99"/>
      <c r="K77" s="99"/>
      <c r="L77" s="99"/>
      <c r="M77" s="99"/>
      <c r="N77" s="99"/>
    </row>
    <row r="78" spans="1:14" x14ac:dyDescent="0.3">
      <c r="A78" s="130" t="s">
        <v>45</v>
      </c>
      <c r="B78" s="131" t="s">
        <v>96</v>
      </c>
      <c r="C78" s="132">
        <v>0.37</v>
      </c>
      <c r="D78" s="132" t="s">
        <v>161</v>
      </c>
      <c r="E78" s="132">
        <v>1.3</v>
      </c>
      <c r="F78" s="133" t="s">
        <v>274</v>
      </c>
      <c r="G78" s="134">
        <v>0.55000000000000004</v>
      </c>
      <c r="H78" s="132" t="s">
        <v>152</v>
      </c>
      <c r="I78" s="135">
        <v>0.43</v>
      </c>
      <c r="J78" s="99"/>
      <c r="K78" s="99"/>
      <c r="L78" s="99"/>
      <c r="M78" s="99"/>
      <c r="N78" s="99"/>
    </row>
    <row r="79" spans="1:14" x14ac:dyDescent="0.3">
      <c r="A79" s="130" t="s">
        <v>46</v>
      </c>
      <c r="B79" s="131" t="s">
        <v>95</v>
      </c>
      <c r="C79" s="132">
        <v>0.38</v>
      </c>
      <c r="D79" s="132" t="s">
        <v>161</v>
      </c>
      <c r="E79" s="132">
        <v>1.3</v>
      </c>
      <c r="F79" s="133" t="s">
        <v>274</v>
      </c>
      <c r="G79" s="134">
        <v>0.55000000000000004</v>
      </c>
      <c r="H79" s="132" t="s">
        <v>153</v>
      </c>
      <c r="I79" s="135">
        <v>0.43</v>
      </c>
      <c r="J79" s="99"/>
      <c r="K79" s="99"/>
      <c r="L79" s="99"/>
      <c r="M79" s="99"/>
      <c r="N79" s="99"/>
    </row>
    <row r="80" spans="1:14" x14ac:dyDescent="0.3">
      <c r="A80" s="130" t="s">
        <v>48</v>
      </c>
      <c r="B80" s="131" t="s">
        <v>94</v>
      </c>
      <c r="C80" s="132">
        <v>0.36</v>
      </c>
      <c r="D80" s="132" t="s">
        <v>161</v>
      </c>
      <c r="E80" s="132">
        <v>1.3</v>
      </c>
      <c r="F80" s="133" t="s">
        <v>274</v>
      </c>
      <c r="G80" s="134">
        <v>0.55000000000000004</v>
      </c>
      <c r="H80" s="132" t="s">
        <v>153</v>
      </c>
      <c r="I80" s="135">
        <v>0.43</v>
      </c>
      <c r="J80" s="99"/>
      <c r="K80" s="99"/>
      <c r="L80" s="99"/>
      <c r="M80" s="99"/>
      <c r="N80" s="99"/>
    </row>
    <row r="81" spans="1:14" x14ac:dyDescent="0.3">
      <c r="A81" s="130" t="s">
        <v>49</v>
      </c>
      <c r="B81" s="131" t="s">
        <v>142</v>
      </c>
      <c r="C81" s="132">
        <v>0.37</v>
      </c>
      <c r="D81" s="132" t="s">
        <v>161</v>
      </c>
      <c r="E81" s="132">
        <v>1.56</v>
      </c>
      <c r="F81" s="133" t="s">
        <v>274</v>
      </c>
      <c r="G81" s="134">
        <v>0.43</v>
      </c>
      <c r="H81" s="132" t="s">
        <v>278</v>
      </c>
      <c r="I81" s="135">
        <v>0.25</v>
      </c>
      <c r="J81" s="99"/>
      <c r="K81" s="99"/>
      <c r="L81" s="99"/>
      <c r="M81" s="99"/>
      <c r="N81" s="99"/>
    </row>
    <row r="82" spans="1:14" x14ac:dyDescent="0.3">
      <c r="A82" s="130" t="s">
        <v>158</v>
      </c>
      <c r="B82" s="131" t="s">
        <v>159</v>
      </c>
      <c r="C82" s="132">
        <v>0.35</v>
      </c>
      <c r="D82" s="132" t="s">
        <v>160</v>
      </c>
      <c r="E82" s="132">
        <v>1.3</v>
      </c>
      <c r="F82" s="133" t="s">
        <v>274</v>
      </c>
      <c r="G82" s="134">
        <v>0.55000000000000004</v>
      </c>
      <c r="H82" s="132" t="s">
        <v>153</v>
      </c>
      <c r="I82" s="135">
        <v>0.43</v>
      </c>
      <c r="J82" s="99"/>
      <c r="K82" s="99"/>
      <c r="L82" s="99"/>
      <c r="M82" s="99"/>
      <c r="N82" s="99"/>
    </row>
    <row r="83" spans="1:14" x14ac:dyDescent="0.3">
      <c r="A83" s="130" t="s">
        <v>156</v>
      </c>
      <c r="B83" s="131" t="s">
        <v>157</v>
      </c>
      <c r="C83" s="132">
        <v>0.34</v>
      </c>
      <c r="D83" s="132" t="s">
        <v>161</v>
      </c>
      <c r="E83" s="132">
        <v>1.3</v>
      </c>
      <c r="F83" s="133" t="s">
        <v>274</v>
      </c>
      <c r="G83" s="134">
        <v>0.55000000000000004</v>
      </c>
      <c r="H83" s="132" t="s">
        <v>153</v>
      </c>
      <c r="I83" s="135">
        <v>0.43</v>
      </c>
      <c r="J83" s="99"/>
      <c r="K83" s="99"/>
      <c r="L83" s="99"/>
      <c r="M83" s="99"/>
      <c r="N83" s="99"/>
    </row>
    <row r="84" spans="1:14" x14ac:dyDescent="0.3">
      <c r="A84" s="130" t="s">
        <v>92</v>
      </c>
      <c r="B84" s="131" t="s">
        <v>93</v>
      </c>
      <c r="C84" s="132">
        <v>0.31</v>
      </c>
      <c r="D84" s="132" t="s">
        <v>161</v>
      </c>
      <c r="E84" s="132">
        <v>1.3</v>
      </c>
      <c r="F84" s="133" t="s">
        <v>274</v>
      </c>
      <c r="G84" s="134">
        <v>0.55000000000000004</v>
      </c>
      <c r="H84" s="132" t="s">
        <v>153</v>
      </c>
      <c r="I84" s="135">
        <v>0.43</v>
      </c>
      <c r="J84" s="99"/>
      <c r="K84" s="99"/>
      <c r="L84" s="99"/>
      <c r="M84" s="99"/>
      <c r="N84" s="99"/>
    </row>
    <row r="85" spans="1:14" x14ac:dyDescent="0.3">
      <c r="A85" s="130" t="s">
        <v>50</v>
      </c>
      <c r="B85" s="131" t="s">
        <v>143</v>
      </c>
      <c r="C85" s="132">
        <v>0.43</v>
      </c>
      <c r="D85" s="132" t="s">
        <v>161</v>
      </c>
      <c r="E85" s="132">
        <v>1.56</v>
      </c>
      <c r="F85" s="133" t="s">
        <v>274</v>
      </c>
      <c r="G85" s="134">
        <v>0.53</v>
      </c>
      <c r="H85" s="132" t="s">
        <v>275</v>
      </c>
      <c r="I85" s="135">
        <v>0.25</v>
      </c>
      <c r="J85" s="99"/>
      <c r="K85" s="99"/>
      <c r="L85" s="99"/>
      <c r="M85" s="99"/>
      <c r="N85" s="99"/>
    </row>
    <row r="86" spans="1:14" x14ac:dyDescent="0.3">
      <c r="A86" s="130" t="s">
        <v>51</v>
      </c>
      <c r="B86" s="131" t="s">
        <v>91</v>
      </c>
      <c r="C86" s="132">
        <v>0.38</v>
      </c>
      <c r="D86" s="132" t="s">
        <v>161</v>
      </c>
      <c r="E86" s="132">
        <v>1.56</v>
      </c>
      <c r="F86" s="133" t="s">
        <v>274</v>
      </c>
      <c r="G86" s="134">
        <v>0.6</v>
      </c>
      <c r="H86" s="132" t="s">
        <v>279</v>
      </c>
      <c r="I86" s="135">
        <v>0.25</v>
      </c>
      <c r="J86" s="99"/>
      <c r="K86" s="99"/>
      <c r="L86" s="99"/>
      <c r="M86" s="99"/>
      <c r="N86" s="99"/>
    </row>
    <row r="87" spans="1:14" x14ac:dyDescent="0.3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9"/>
      <c r="K87" s="99"/>
      <c r="L87" s="99"/>
      <c r="M87" s="99"/>
      <c r="N87" s="99"/>
    </row>
    <row r="88" spans="1:14" x14ac:dyDescent="0.3">
      <c r="A88" s="130" t="s">
        <v>148</v>
      </c>
      <c r="B88" s="138"/>
      <c r="C88" s="132">
        <v>0.42</v>
      </c>
      <c r="D88" s="132" t="s">
        <v>161</v>
      </c>
      <c r="E88" s="132">
        <v>1.3</v>
      </c>
      <c r="F88" s="133" t="s">
        <v>274</v>
      </c>
      <c r="G88" s="139"/>
      <c r="H88" s="138"/>
      <c r="I88" s="140"/>
    </row>
    <row r="89" spans="1:14" ht="15" thickBot="1" x14ac:dyDescent="0.35">
      <c r="A89" s="141" t="s">
        <v>149</v>
      </c>
      <c r="B89" s="142"/>
      <c r="C89" s="143">
        <v>0.56999999999999995</v>
      </c>
      <c r="D89" s="144" t="s">
        <v>161</v>
      </c>
      <c r="E89" s="143">
        <v>1.56</v>
      </c>
      <c r="F89" s="143" t="s">
        <v>274</v>
      </c>
      <c r="G89" s="142"/>
      <c r="H89" s="142"/>
      <c r="I89" s="145"/>
    </row>
    <row r="93" spans="1:14" x14ac:dyDescent="0.3">
      <c r="A93" s="130" t="s">
        <v>208</v>
      </c>
    </row>
    <row r="94" spans="1:14" x14ac:dyDescent="0.3">
      <c r="A94" s="130" t="s">
        <v>209</v>
      </c>
    </row>
    <row r="95" spans="1:14" x14ac:dyDescent="0.3">
      <c r="A95" s="13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G7" sqref="G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6" t="s">
        <v>207</v>
      </c>
      <c r="B5" s="147" t="s">
        <v>250</v>
      </c>
      <c r="C5" s="148" t="str">
        <f>Calculateur!S2</f>
        <v>ΔStock moyen de long terme (tCO₂/ha)</v>
      </c>
      <c r="D5" s="148" t="str">
        <f>Calculateur!T2</f>
        <v>Δstock CO₂ 30 ans (tCO₂/ha)</v>
      </c>
      <c r="E5" s="148" t="s">
        <v>228</v>
      </c>
      <c r="F5" s="148" t="s">
        <v>239</v>
      </c>
      <c r="G5" s="148" t="s">
        <v>240</v>
      </c>
      <c r="H5" s="149" t="s">
        <v>241</v>
      </c>
      <c r="I5" s="150" t="s">
        <v>242</v>
      </c>
      <c r="J5" s="151" t="s">
        <v>243</v>
      </c>
      <c r="K5" s="152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3" t="str">
        <f>IF('Données projet'!$B$9="","",'Données projet'!$B$9)</f>
        <v>Chêne sessile</v>
      </c>
      <c r="B6" s="154">
        <f>'Données projet'!D9</f>
        <v>1.3324</v>
      </c>
      <c r="C6" s="155">
        <f ca="1">IF(OR('Données projet'!B9="",'Données projet'!C9="",'Données projet'!C9=0%),0,Calculateur!S3)</f>
        <v>428.8489304403459</v>
      </c>
      <c r="D6" s="155">
        <f>IF(OR('Données projet'!B9="",'Données projet'!C9="",'Données projet'!C9=0%),0,Calculateur!T3)</f>
        <v>247.01165577562966</v>
      </c>
      <c r="E6" s="155">
        <f ca="1">MIN(C6,D6)</f>
        <v>247.01165577562966</v>
      </c>
      <c r="F6" s="155">
        <f ca="1">E6*B6</f>
        <v>329.11833015544897</v>
      </c>
      <c r="G6" s="155">
        <f ca="1">F6*(100%-'Données projet'!$C$24)*(100%-'Données projet'!$C$25)*(100%-'Données projet'!$C$26)*(100%-'Données projet'!$C$27)</f>
        <v>296.20649713990406</v>
      </c>
      <c r="H6" s="156">
        <f>IF(OR('Données projet'!B9="",'Données projet'!C9="",'Données projet'!C9=0%),0,AVERAGE(Calculateur!$AC$3:$AC$33)*B6)</f>
        <v>0</v>
      </c>
      <c r="I6" s="157">
        <f>H6*(100%-'Données projet'!$C$24)*(100%-'Données projet'!$C$25)*(100%-'Données projet'!$C$26)*(100%-'Données projet'!$C$27)</f>
        <v>0</v>
      </c>
      <c r="J6" s="158">
        <f>IF(OR('Données projet'!B9="",'Données projet'!C9="",'Données projet'!C9=0%),0,SUM(Calculateur!$V$3:$V$33)*VLOOKUP('Données projet'!$B$9,Paramètres!$A$1:$I$89,9,0)*B6)</f>
        <v>9.6599000000000004</v>
      </c>
      <c r="K6" s="159">
        <f>J6*(100%-'Données projet'!$C$24)*(100%-'Données projet'!$C$25)*(100%-'Données projet'!$C$26)*(100%-'Données projet'!$C$27)</f>
        <v>8.6939100000000007</v>
      </c>
      <c r="L6" s="160">
        <f ca="1">G6+I6+K6</f>
        <v>304.90040713990408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1" t="str">
        <f>IF('Données projet'!$B$10="","",'Données projet'!$B$10)</f>
        <v>Chêne pubescent</v>
      </c>
      <c r="B7" s="162">
        <f>'Données projet'!D10</f>
        <v>1.1658499999999998</v>
      </c>
      <c r="C7" s="155">
        <f ca="1">IF(OR('Données projet'!B10="",'Données projet'!C10="",'Données projet'!C10=0%),0,Calculateur!AN3)</f>
        <v>475.47920969424894</v>
      </c>
      <c r="D7" s="155">
        <f>IF(OR('Données projet'!B10="",'Données projet'!C10="",'Données projet'!C10=0%),0,Calculateur!AO3)</f>
        <v>271.73544012419364</v>
      </c>
      <c r="E7" s="155">
        <f t="shared" ref="E7:E15" ca="1" si="0">MIN(C7,D7)</f>
        <v>271.73544012419364</v>
      </c>
      <c r="F7" s="155">
        <f t="shared" ref="F7:F15" ca="1" si="1">E7*B7</f>
        <v>316.80276286879109</v>
      </c>
      <c r="G7" s="155">
        <f ca="1">F7*(100%-'Données projet'!$C$24)*(100%-'Données projet'!$C$25)*(100%-'Données projet'!$C$26)*(100%-'Données projet'!$C$27)</f>
        <v>285.12248658191197</v>
      </c>
      <c r="H7" s="163">
        <f>IF(OR('Données projet'!B10="",'Données projet'!C10="",'Données projet'!C10=0%),0,AVERAGE(Calculateur!$AX$3:$AX$33)*B7)</f>
        <v>0</v>
      </c>
      <c r="I7" s="157">
        <f>H7*(100%-'Données projet'!$C$24)*(100%-'Données projet'!$C$25)*(100%-'Données projet'!$C$26)*(100%-'Données projet'!$C$27)</f>
        <v>0</v>
      </c>
      <c r="J7" s="158">
        <f>IF(OR('Données projet'!B10="",'Données projet'!C10="",'Données projet'!C10=0%),0,SUM(Calculateur!$AQ$3:$AQ$33)*VLOOKUP('Données projet'!$B$10,Paramètres!$A$1:$I$89,9,0)*B7)</f>
        <v>8.4524124999999994</v>
      </c>
      <c r="K7" s="159">
        <f>J7*(100%-'Données projet'!$C$24)*(100%-'Données projet'!$C$25)*(100%-'Données projet'!$C$26)*(100%-'Données projet'!$C$27)</f>
        <v>7.6071712499999995</v>
      </c>
      <c r="L7" s="160">
        <f t="shared" ref="L7:L15" ca="1" si="2">G7+I7+K7</f>
        <v>292.72965783191199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1" t="str">
        <f>IF('Données projet'!$B$11="","",'Données projet'!$B$11)</f>
        <v>Alisier torminal</v>
      </c>
      <c r="B8" s="162">
        <f>'Données projet'!D11</f>
        <v>0.33310000000000001</v>
      </c>
      <c r="C8" s="155">
        <f ca="1">IF(OR('Données projet'!B11="",'Données projet'!C11="",'Données projet'!C11=0%),0,Calculateur!BI3)</f>
        <v>455.50822833641354</v>
      </c>
      <c r="D8" s="155">
        <f>IF(OR('Données projet'!B11="",'Données projet'!C11="",'Données projet'!C11=0%),0,Calculateur!BJ3)</f>
        <v>261.14722581688039</v>
      </c>
      <c r="E8" s="155">
        <f t="shared" ca="1" si="0"/>
        <v>261.14722581688039</v>
      </c>
      <c r="F8" s="155">
        <f t="shared" ca="1" si="1"/>
        <v>86.988140919602856</v>
      </c>
      <c r="G8" s="155">
        <f ca="1">F8*(100%-'Données projet'!$C$24)*(100%-'Données projet'!$C$25)*(100%-'Données projet'!$C$26)*(100%-'Données projet'!$C$27)</f>
        <v>78.289326827642569</v>
      </c>
      <c r="H8" s="163">
        <f>IF(OR('Données projet'!B11="",'Données projet'!C11="",'Données projet'!C11=0%),0,AVERAGE(Calculateur!$BS$3:$BS$33)*B8)</f>
        <v>0</v>
      </c>
      <c r="I8" s="157">
        <f>H8*(100%-'Données projet'!$C$24)*(100%-'Données projet'!$C$25)*(100%-'Données projet'!$C$26)*(100%-'Données projet'!$C$27)</f>
        <v>0</v>
      </c>
      <c r="J8" s="158">
        <f>IF(OR('Données projet'!B11="",'Données projet'!C11="",'Données projet'!C11=0%),0,SUM(Calculateur!$BL$3:$BL$33)*VLOOKUP('Données projet'!$B$11,Paramètres!$A$1:$I$89,9,0)*B8)</f>
        <v>2.4149750000000001</v>
      </c>
      <c r="K8" s="159">
        <f>J8*(100%-'Données projet'!$C$24)*(100%-'Données projet'!$C$25)*(100%-'Données projet'!$C$26)*(100%-'Données projet'!$C$27)</f>
        <v>2.1734775000000002</v>
      </c>
      <c r="L8" s="160">
        <f t="shared" ca="1" si="2"/>
        <v>80.462804327642573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1" t="str">
        <f>IF('Données projet'!$B$12="","",'Données projet'!$B$12)</f>
        <v>Cormier</v>
      </c>
      <c r="B9" s="162">
        <f>'Données projet'!D12</f>
        <v>0.16655</v>
      </c>
      <c r="C9" s="155">
        <f ca="1">IF(OR('Données projet'!B12="",'Données projet'!C12="",'Données projet'!C12=0%),0,Calculateur!CD3)</f>
        <v>502.07782026233912</v>
      </c>
      <c r="D9" s="155">
        <f>IF(OR('Données projet'!B12="",'Données projet'!C12="",'Données projet'!C12=0%),0,Calculateur!CE3)</f>
        <v>285.83623046025156</v>
      </c>
      <c r="E9" s="155">
        <f t="shared" ca="1" si="0"/>
        <v>285.83623046025156</v>
      </c>
      <c r="F9" s="155">
        <f t="shared" ca="1" si="1"/>
        <v>47.606024183154901</v>
      </c>
      <c r="G9" s="155">
        <f ca="1">F9*(100%-'Données projet'!$C$24)*(100%-'Données projet'!$C$25)*(100%-'Données projet'!$C$26)*(100%-'Données projet'!$C$27)</f>
        <v>42.845421764839415</v>
      </c>
      <c r="H9" s="163">
        <f>IF(OR('Données projet'!B12="",'Données projet'!C12="",'Données projet'!C12=0%),0,AVERAGE(Calculateur!$CN$3:$CN$33)*B9)</f>
        <v>0</v>
      </c>
      <c r="I9" s="157">
        <f>H9*(100%-'Données projet'!$C$24)*(100%-'Données projet'!$C$25)*(100%-'Données projet'!$C$26)*(100%-'Données projet'!$C$27)</f>
        <v>0</v>
      </c>
      <c r="J9" s="158">
        <f>IF(OR('Données projet'!B12="",'Données projet'!C12="",'Données projet'!C12=0%),0,SUM(Calculateur!$CG$3:$CG$33)*VLOOKUP('Données projet'!$B$12,Paramètres!$A$1:$I$89,9,0)*B9)</f>
        <v>1.2074875</v>
      </c>
      <c r="K9" s="159">
        <f>J9*(100%-'Données projet'!$C$24)*(100%-'Données projet'!$C$25)*(100%-'Données projet'!$C$26)*(100%-'Données projet'!$C$27)</f>
        <v>1.0867387500000001</v>
      </c>
      <c r="L9" s="160">
        <f t="shared" ca="1" si="2"/>
        <v>43.932160514839417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1" t="str">
        <f>IF('Données projet'!$B$13="","",'Données projet'!$B$13)</f>
        <v>Merisier</v>
      </c>
      <c r="B10" s="162">
        <f>'Données projet'!D13</f>
        <v>0.16655</v>
      </c>
      <c r="C10" s="155">
        <f ca="1">IF(OR('Données projet'!B13="",'Données projet'!C13="",'Données projet'!C13=0%),0,Calculateur!CY3)</f>
        <v>289.19475369871481</v>
      </c>
      <c r="D10" s="155">
        <f>IF(OR('Données projet'!B13="",'Données projet'!C13="",'Données projet'!C13=0%),0,Calculateur!CZ3)</f>
        <v>283.48738729114024</v>
      </c>
      <c r="E10" s="155">
        <f t="shared" ca="1" si="0"/>
        <v>283.48738729114024</v>
      </c>
      <c r="F10" s="155">
        <f t="shared" ca="1" si="1"/>
        <v>47.214824353339409</v>
      </c>
      <c r="G10" s="155">
        <f ca="1">F10*(100%-'Données projet'!$C$24)*(100%-'Données projet'!$C$25)*(100%-'Données projet'!$C$26)*(100%-'Données projet'!$C$27)</f>
        <v>42.49334191800547</v>
      </c>
      <c r="H10" s="163">
        <f>IF(OR('Données projet'!B13="",'Données projet'!C13="",'Données projet'!C13=0%),0,AVERAGE(Calculateur!$DI$3:$DI$33)*B10)</f>
        <v>0</v>
      </c>
      <c r="I10" s="157">
        <f>H10*(100%-'Données projet'!$C$24)*(100%-'Données projet'!$C$25)*(100%-'Données projet'!$C$26)*(100%-'Données projet'!$C$27)</f>
        <v>0</v>
      </c>
      <c r="J10" s="158">
        <f>IF(OR('Données projet'!B13="",'Données projet'!C13="",'Données projet'!C13=0%),0,SUM(Calculateur!$DB$3:$DB$33)*VLOOKUP('Données projet'!$B$13,Paramètres!$A$1:$I$89,9,0)*B10)</f>
        <v>2.2900624999999999</v>
      </c>
      <c r="K10" s="159">
        <f>J10*(100%-'Données projet'!$C$24)*(100%-'Données projet'!$C$25)*(100%-'Données projet'!$C$26)*(100%-'Données projet'!$C$27)</f>
        <v>2.06105625</v>
      </c>
      <c r="L10" s="160">
        <f t="shared" ca="1" si="2"/>
        <v>44.55439816800547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1" t="str">
        <f>IF('Données projet'!$B$14="","",'Données projet'!$B$14)</f>
        <v>Tilleul</v>
      </c>
      <c r="B11" s="162">
        <f>'Données projet'!D14</f>
        <v>0.16655</v>
      </c>
      <c r="C11" s="155">
        <f ca="1">IF(OR('Données projet'!B14="",'Données projet'!C14="",'Données projet'!C14=0%),0,Calculateur!DT3)</f>
        <v>343.33067866534634</v>
      </c>
      <c r="D11" s="155">
        <f>IF(OR('Données projet'!B14="",'Données projet'!C14="",'Données projet'!C14=0%),0,Calculateur!DU3)</f>
        <v>261.91036689641402</v>
      </c>
      <c r="E11" s="155">
        <f t="shared" ca="1" si="0"/>
        <v>261.91036689641402</v>
      </c>
      <c r="F11" s="155">
        <f t="shared" ca="1" si="1"/>
        <v>43.621171606597755</v>
      </c>
      <c r="G11" s="155">
        <f ca="1">F11*(100%-'Données projet'!$C$24)*(100%-'Données projet'!$C$25)*(100%-'Données projet'!$C$26)*(100%-'Données projet'!$C$27)</f>
        <v>39.259054445937984</v>
      </c>
      <c r="H11" s="163">
        <f>IF(OR('Données projet'!B14="",'Données projet'!C14="",'Données projet'!C14=0%),0,AVERAGE(Calculateur!$ED$3:$ED$33)*B11)</f>
        <v>0</v>
      </c>
      <c r="I11" s="157">
        <f>H11*(100%-'Données projet'!$C$24)*(100%-'Données projet'!$C$25)*(100%-'Données projet'!$C$26)*(100%-'Données projet'!$C$27)</f>
        <v>0</v>
      </c>
      <c r="J11" s="158">
        <f>IF(OR('Données projet'!B14="",'Données projet'!C14="",'Données projet'!C14=0%),0,SUM(Calculateur!$DW$3:$DW$33)*VLOOKUP('Données projet'!$B$14,Paramètres!$A$1:$I$89,9,0)*B11)</f>
        <v>2.2420192307692304</v>
      </c>
      <c r="K11" s="159">
        <f>J11*(100%-'Données projet'!$C$24)*(100%-'Données projet'!$C$25)*(100%-'Données projet'!$C$26)*(100%-'Données projet'!$C$27)</f>
        <v>2.0178173076923076</v>
      </c>
      <c r="L11" s="160">
        <f t="shared" ca="1" si="2"/>
        <v>41.276871753630289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1" t="str">
        <f>IF('Données projet'!$B$15="","",'Données projet'!$B$15)</f>
        <v/>
      </c>
      <c r="B12" s="162">
        <f>'Données projet'!D15</f>
        <v>0</v>
      </c>
      <c r="C12" s="155">
        <f>IF(OR('Données projet'!B15="",'Données projet'!C15="",'Données projet'!C15=0%),0,Calculateur!EO3)</f>
        <v>0</v>
      </c>
      <c r="D12" s="155">
        <f>IF(OR('Données projet'!B15="",'Données projet'!C15="",'Données projet'!C15=0%),0,Calculateur!EP3)</f>
        <v>0</v>
      </c>
      <c r="E12" s="155">
        <f t="shared" si="0"/>
        <v>0</v>
      </c>
      <c r="F12" s="155">
        <f t="shared" si="1"/>
        <v>0</v>
      </c>
      <c r="G12" s="155">
        <f>F12*(100%-'Données projet'!$C$24)*(100%-'Données projet'!$C$25)*(100%-'Données projet'!$C$26)*(100%-'Données projet'!$C$27)</f>
        <v>0</v>
      </c>
      <c r="H12" s="163">
        <f>IF(OR('Données projet'!B15="",'Données projet'!C15="",'Données projet'!C15=0%),0,AVERAGE(Calculateur!$EY$3:$EY$33)*B12)</f>
        <v>0</v>
      </c>
      <c r="I12" s="157">
        <f>H12*(100%-'Données projet'!$C$24)*(100%-'Données projet'!$C$25)*(100%-'Données projet'!$C$26)*(100%-'Données projet'!$C$27)</f>
        <v>0</v>
      </c>
      <c r="J12" s="158">
        <f>IF(OR('Données projet'!B15="",'Données projet'!C15="",'Données projet'!C15=0%),0,SUM(Calculateur!$ER$3:$ER$33)*VLOOKUP('Données projet'!$B$15,Paramètres!$A$1:$I$89,9,0)*B12)</f>
        <v>0</v>
      </c>
      <c r="K12" s="159">
        <f>J12*(100%-'Données projet'!$C$24)*(100%-'Données projet'!$C$25)*(100%-'Données projet'!$C$26)*(100%-'Données projet'!$C$27)</f>
        <v>0</v>
      </c>
      <c r="L12" s="160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1" t="str">
        <f>IF('Données projet'!$B$16="","",'Données projet'!$B$16)</f>
        <v/>
      </c>
      <c r="B13" s="162">
        <f>'Données projet'!D16</f>
        <v>0</v>
      </c>
      <c r="C13" s="155">
        <f>IF(OR('Données projet'!B16="",'Données projet'!C16="",'Données projet'!C16=0%),0,Calculateur!FJ3)</f>
        <v>0</v>
      </c>
      <c r="D13" s="155">
        <f>IF(OR('Données projet'!B16="",'Données projet'!C16="",'Données projet'!C16=0%),0,Calculateur!FK3)</f>
        <v>0</v>
      </c>
      <c r="E13" s="155">
        <f t="shared" si="0"/>
        <v>0</v>
      </c>
      <c r="F13" s="155">
        <f t="shared" si="1"/>
        <v>0</v>
      </c>
      <c r="G13" s="155">
        <f>F13*(100%-'Données projet'!$C$24)*(100%-'Données projet'!$C$25)*(100%-'Données projet'!$C$26)*(100%-'Données projet'!$C$27)</f>
        <v>0</v>
      </c>
      <c r="H13" s="163">
        <f>IF(OR('Données projet'!B16="",'Données projet'!C16="",'Données projet'!C16=0%),0,AVERAGE(Calculateur!$FT$3:$FT$33)*B13)</f>
        <v>0</v>
      </c>
      <c r="I13" s="157">
        <f>H13*(100%-'Données projet'!$C$24)*(100%-'Données projet'!$C$25)*(100%-'Données projet'!$C$26)*(100%-'Données projet'!$C$27)</f>
        <v>0</v>
      </c>
      <c r="J13" s="158">
        <f>IF(OR('Données projet'!C16="",'Données projet'!C16=0%),0,SUM(Calculateur!$FM$3:$FM$33)*VLOOKUP('Données projet'!$B$16,Paramètres!$A$1:$I$89,9,0)*B13)</f>
        <v>0</v>
      </c>
      <c r="K13" s="159">
        <f>J13*(100%-'Données projet'!$C$24)*(100%-'Données projet'!$C$25)*(100%-'Données projet'!$C$26)*(100%-'Données projet'!$C$27)</f>
        <v>0</v>
      </c>
      <c r="L13" s="160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1" t="str">
        <f>IF('Données projet'!$B$17="","",'Données projet'!$B$17)</f>
        <v/>
      </c>
      <c r="B14" s="162">
        <f>'Données projet'!D17</f>
        <v>0</v>
      </c>
      <c r="C14" s="155">
        <f>IF(OR('Données projet'!B17="",'Données projet'!C17="",'Données projet'!C17=0%),0,Calculateur!GE3)</f>
        <v>0</v>
      </c>
      <c r="D14" s="155">
        <f>IF(OR('Données projet'!B17="",'Données projet'!C17="",'Données projet'!C17=0%),0,Calculateur!GF3)</f>
        <v>0</v>
      </c>
      <c r="E14" s="155">
        <f t="shared" si="0"/>
        <v>0</v>
      </c>
      <c r="F14" s="155">
        <f t="shared" si="1"/>
        <v>0</v>
      </c>
      <c r="G14" s="155">
        <f>F14*(100%-'Données projet'!$C$24)*(100%-'Données projet'!$C$25)*(100%-'Données projet'!$C$26)*(100%-'Données projet'!$C$27)</f>
        <v>0</v>
      </c>
      <c r="H14" s="163">
        <f>IF(OR('Données projet'!B17="",'Données projet'!C17="",'Données projet'!C17=0%),0,AVERAGE(Calculateur!$GO$3:$GO$33)*B14)</f>
        <v>0</v>
      </c>
      <c r="I14" s="157">
        <f>H14*(100%-'Données projet'!$C$24)*(100%-'Données projet'!$C$25)*(100%-'Données projet'!$C$26)*(100%-'Données projet'!$C$27)</f>
        <v>0</v>
      </c>
      <c r="J14" s="158">
        <f>IF(OR('Données projet'!B17="",'Données projet'!C17="",'Données projet'!C17=0%),0,SUM(Calculateur!$GH$3:$GH$33)*VLOOKUP('Données projet'!$B$17,Paramètres!$A$1:$I$89,9,0)*B14)</f>
        <v>0</v>
      </c>
      <c r="K14" s="159">
        <f>J14*(100%-'Données projet'!$C$24)*(100%-'Données projet'!$C$25)*(100%-'Données projet'!$C$26)*(100%-'Données projet'!$C$27)</f>
        <v>0</v>
      </c>
      <c r="L14" s="160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4" t="str">
        <f>IF('Données projet'!B18="","",'Données projet'!B18)</f>
        <v/>
      </c>
      <c r="B15" s="165">
        <f>'Données projet'!D18</f>
        <v>0</v>
      </c>
      <c r="C15" s="166">
        <f>IF(OR('Données projet'!B18="",'Données projet'!C18="",'Données projet'!C18=0%),0,Calculateur!GZ3)</f>
        <v>0</v>
      </c>
      <c r="D15" s="166">
        <f>IF(OR('Données projet'!B18="",'Données projet'!C18="",'Données projet'!C18=0%),0,Calculateur!HA3)</f>
        <v>0</v>
      </c>
      <c r="E15" s="166">
        <f t="shared" si="0"/>
        <v>0</v>
      </c>
      <c r="F15" s="167">
        <f t="shared" si="1"/>
        <v>0</v>
      </c>
      <c r="G15" s="167">
        <f>F15*(100%-'Données projet'!$C$24)*(100%-'Données projet'!$C$25)*(100%-'Données projet'!$C$26)*(100%-'Données projet'!$C$27)</f>
        <v>0</v>
      </c>
      <c r="H15" s="168">
        <f>IF(OR('Données projet'!B18="",'Données projet'!C18="",'Données projet'!C18=0%),0,AVERAGE(Calculateur!$HJ$3:$HJ$33)*B15)</f>
        <v>0</v>
      </c>
      <c r="I15" s="169">
        <f>H15*(100%-'Données projet'!$C$24)*(100%-'Données projet'!$C$25)*(100%-'Données projet'!$C$26)*(100%-'Données projet'!$C$27)</f>
        <v>0</v>
      </c>
      <c r="J15" s="170">
        <f>IF(OR('Données projet'!B18="",'Données projet'!C18="",'Données projet'!C18=0%),0,SUM(Calculateur!$HC$3:$HC$33)*VLOOKUP('Données projet'!$B$18,Paramètres!$A$1:$I$89,9,0)*B15)</f>
        <v>0</v>
      </c>
      <c r="K15" s="171">
        <f>J15*(100%-'Données projet'!$C$24)*(100%-'Données projet'!$C$25)*(100%-'Données projet'!$C$26)*(100%-'Données projet'!$C$27)</f>
        <v>0</v>
      </c>
      <c r="L15" s="172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5"/>
      <c r="B16" s="232"/>
      <c r="C16" s="233"/>
      <c r="D16" s="25"/>
      <c r="E16" s="25"/>
      <c r="F16" s="173">
        <f t="shared" ref="F16:L16" ca="1" si="3">SUM(F6:F15)</f>
        <v>871.35125408693489</v>
      </c>
      <c r="G16" s="174">
        <f t="shared" ca="1" si="3"/>
        <v>784.21612867824149</v>
      </c>
      <c r="H16" s="175">
        <f t="shared" si="3"/>
        <v>0</v>
      </c>
      <c r="I16" s="175">
        <f t="shared" si="3"/>
        <v>0</v>
      </c>
      <c r="J16" s="176">
        <f t="shared" si="3"/>
        <v>26.266856730769231</v>
      </c>
      <c r="K16" s="176">
        <f t="shared" si="3"/>
        <v>23.640171057692307</v>
      </c>
      <c r="L16" s="177">
        <f t="shared" ca="1" si="3"/>
        <v>807.85629973593393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5"/>
      <c r="B17" s="232"/>
      <c r="C17" s="233"/>
      <c r="D17" s="230"/>
      <c r="E17" s="230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5"/>
      <c r="B18" s="232"/>
      <c r="C18" s="233"/>
      <c r="D18" s="230"/>
      <c r="E18" s="230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8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8" t="str">
        <f>A7</f>
        <v>Chêne pubescent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8" t="str">
        <f>A8</f>
        <v>Alisier torminal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8" t="str">
        <f>A9</f>
        <v>Cormier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8" t="str">
        <f>A10</f>
        <v>Merisier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8" t="str">
        <f>A11</f>
        <v>Tilleul</v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8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8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8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8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I7" zoomScale="85" zoomScaleNormal="85" workbookViewId="0">
      <selection activeCell="R18" sqref="R18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1" customFormat="1" x14ac:dyDescent="0.3">
      <c r="A3" s="98"/>
      <c r="B3" s="98"/>
      <c r="C3" s="98"/>
      <c r="D3" s="98"/>
      <c r="E3" s="98"/>
      <c r="F3" s="179"/>
      <c r="G3" s="179"/>
      <c r="H3" s="180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</row>
    <row r="4" spans="1:42" s="201" customFormat="1" x14ac:dyDescent="0.3">
      <c r="A4" s="98"/>
      <c r="B4" s="98"/>
      <c r="C4" s="98"/>
      <c r="D4" s="98"/>
      <c r="E4" s="98"/>
      <c r="G4" s="179"/>
      <c r="H4" s="324" t="s">
        <v>315</v>
      </c>
      <c r="I4" s="324"/>
      <c r="K4" s="321" t="s">
        <v>253</v>
      </c>
      <c r="L4" s="322"/>
      <c r="M4" s="267">
        <v>4.4999999999999998E-2</v>
      </c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98"/>
      <c r="AO4" s="98"/>
      <c r="AP4" s="98"/>
    </row>
    <row r="5" spans="1:42" s="201" customFormat="1" x14ac:dyDescent="0.3">
      <c r="A5" s="98"/>
      <c r="B5" s="98"/>
      <c r="C5" s="98"/>
      <c r="D5" s="98"/>
      <c r="E5" s="98"/>
      <c r="G5" s="179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</row>
    <row r="6" spans="1:42" s="201" customFormat="1" ht="15" thickBot="1" x14ac:dyDescent="0.35">
      <c r="A6" s="98"/>
      <c r="B6" s="98"/>
      <c r="C6" s="98"/>
      <c r="D6" s="98"/>
      <c r="E6" s="98"/>
      <c r="F6" s="228"/>
      <c r="G6" s="179"/>
      <c r="H6" s="181"/>
      <c r="I6" s="181"/>
      <c r="J6" s="181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</row>
    <row r="7" spans="1:42" s="201" customFormat="1" ht="27.75" customHeight="1" thickBot="1" x14ac:dyDescent="0.55000000000000004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32" t="s">
        <v>310</v>
      </c>
      <c r="S7" s="333"/>
      <c r="T7" s="333"/>
      <c r="U7" s="333"/>
      <c r="V7" s="334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</row>
    <row r="8" spans="1:42" x14ac:dyDescent="0.3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4" t="s">
        <v>262</v>
      </c>
      <c r="U9" s="187" t="s">
        <v>249</v>
      </c>
      <c r="V9" s="184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4" t="str">
        <f>B14</f>
        <v>Chêne sessile</v>
      </c>
      <c r="T10" s="188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622.41805335138281</v>
      </c>
      <c r="U10" s="189">
        <f>'Données projet'!D9</f>
        <v>1.3324</v>
      </c>
      <c r="V10" s="188">
        <f>U10*T10</f>
        <v>829.30981428538246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4" t="str">
        <f>B45</f>
        <v>Chêne pubescent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622.41805335138281</v>
      </c>
      <c r="U11" s="189">
        <f>'Données projet'!D10</f>
        <v>1.1658499999999998</v>
      </c>
      <c r="V11" s="188">
        <f t="shared" ref="V11" si="0">U11*T11</f>
        <v>725.64608749970955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4" t="str">
        <f>B76</f>
        <v>Alisier torminal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622.41805335138281</v>
      </c>
      <c r="U12" s="189">
        <f>'Données projet'!D11</f>
        <v>0.33310000000000001</v>
      </c>
      <c r="V12" s="188">
        <f t="shared" ref="V12:V19" si="1">U12*T12</f>
        <v>207.32745357134561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0"/>
      <c r="J13" s="25"/>
      <c r="K13" s="224"/>
      <c r="L13" s="183" t="s">
        <v>257</v>
      </c>
      <c r="M13" s="25"/>
      <c r="N13" s="25"/>
      <c r="O13" s="25"/>
      <c r="P13" s="25"/>
      <c r="Q13" s="264"/>
      <c r="R13" s="25"/>
      <c r="S13" s="184" t="str">
        <f>B107</f>
        <v>Cormier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622.41805335138281</v>
      </c>
      <c r="U13" s="189">
        <f>'Données projet'!D12</f>
        <v>0.16655</v>
      </c>
      <c r="V13" s="188">
        <f t="shared" si="1"/>
        <v>103.66372678567281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5" t="str">
        <f>IF('Données projet'!$B$9="","",'Données projet'!$B$9)</f>
        <v>Chêne sessile</v>
      </c>
      <c r="C14" s="5"/>
      <c r="D14" s="5"/>
      <c r="E14" s="5"/>
      <c r="F14" s="260"/>
      <c r="G14" s="220"/>
      <c r="H14" s="184" t="s">
        <v>178</v>
      </c>
      <c r="I14" s="184" t="s">
        <v>290</v>
      </c>
      <c r="J14" s="214"/>
      <c r="K14" s="182"/>
      <c r="L14" s="216"/>
      <c r="M14" s="25"/>
      <c r="N14" s="25"/>
      <c r="O14" s="5"/>
      <c r="P14" s="5"/>
      <c r="Q14" s="265"/>
      <c r="R14" s="5"/>
      <c r="S14" s="184" t="str">
        <f>B138</f>
        <v>Merisier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2660.6029057875253</v>
      </c>
      <c r="U14" s="189">
        <f>'Données projet'!D13</f>
        <v>0.16655</v>
      </c>
      <c r="V14" s="188">
        <f t="shared" si="1"/>
        <v>443.12341395891235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0"/>
      <c r="G15" s="325" t="s">
        <v>318</v>
      </c>
      <c r="H15" s="202">
        <v>0</v>
      </c>
      <c r="I15" s="203">
        <v>0</v>
      </c>
      <c r="J15" s="215"/>
      <c r="K15" s="224"/>
      <c r="L15" s="216"/>
      <c r="M15" s="25"/>
      <c r="N15" s="25"/>
      <c r="O15" s="25"/>
      <c r="P15" s="25"/>
      <c r="Q15" s="264"/>
      <c r="R15" s="25"/>
      <c r="S15" s="184" t="str">
        <f>B169</f>
        <v>Tilleul</v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910.18393398556452</v>
      </c>
      <c r="U15" s="189">
        <f>'Données projet'!D14</f>
        <v>0.16655</v>
      </c>
      <c r="V15" s="188">
        <f t="shared" si="1"/>
        <v>151.59113420529579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25"/>
      <c r="H16" s="202"/>
      <c r="I16" s="203"/>
      <c r="J16" s="215"/>
      <c r="K16" s="224"/>
      <c r="L16" s="321" t="s">
        <v>254</v>
      </c>
      <c r="M16" s="322"/>
      <c r="N16" s="2"/>
      <c r="O16" s="25"/>
      <c r="P16" s="25"/>
      <c r="Q16" s="264"/>
      <c r="R16" s="25"/>
      <c r="S16" s="184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9">
        <f>'Données projet'!D15</f>
        <v>0</v>
      </c>
      <c r="V16" s="188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9">
        <v>0</v>
      </c>
      <c r="B17" s="212" t="s">
        <v>132</v>
      </c>
      <c r="C17" s="211" t="s">
        <v>132</v>
      </c>
      <c r="D17" s="210" t="s">
        <v>132</v>
      </c>
      <c r="E17" s="205"/>
      <c r="F17" s="260"/>
      <c r="G17" s="325"/>
      <c r="J17" s="215"/>
      <c r="K17" s="224"/>
      <c r="L17" s="292" t="s">
        <v>289</v>
      </c>
      <c r="M17" s="294"/>
      <c r="N17" s="186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4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9">
        <f>'Données projet'!D16</f>
        <v>0</v>
      </c>
      <c r="V17" s="188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9">
        <v>1</v>
      </c>
      <c r="B18" s="212" t="s">
        <v>132</v>
      </c>
      <c r="C18" s="211" t="s">
        <v>132</v>
      </c>
      <c r="D18" s="210" t="s">
        <v>132</v>
      </c>
      <c r="E18" s="205"/>
      <c r="F18" s="260"/>
      <c r="G18" s="325"/>
      <c r="J18" s="215"/>
      <c r="K18" s="224"/>
      <c r="L18" s="292" t="s">
        <v>255</v>
      </c>
      <c r="M18" s="294"/>
      <c r="N18" s="204"/>
      <c r="O18" s="25"/>
      <c r="P18" s="25"/>
      <c r="Q18" s="264"/>
      <c r="R18" s="25"/>
      <c r="S18" s="184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9">
        <f>'Données projet'!D17</f>
        <v>0</v>
      </c>
      <c r="V18" s="188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9">
        <v>2</v>
      </c>
      <c r="B19" s="212" t="s">
        <v>132</v>
      </c>
      <c r="C19" s="211" t="s">
        <v>132</v>
      </c>
      <c r="D19" s="210" t="s">
        <v>132</v>
      </c>
      <c r="E19" s="205"/>
      <c r="F19" s="260"/>
      <c r="G19" s="325"/>
      <c r="H19" s="231" t="s">
        <v>178</v>
      </c>
      <c r="I19" s="231" t="s">
        <v>287</v>
      </c>
      <c r="J19" s="259"/>
      <c r="K19" s="182"/>
      <c r="L19" s="321" t="s">
        <v>288</v>
      </c>
      <c r="M19" s="322"/>
      <c r="N19" s="190">
        <f>N17*N18</f>
        <v>0</v>
      </c>
      <c r="O19" s="25"/>
      <c r="P19" s="5"/>
      <c r="Q19" s="265"/>
      <c r="R19" s="5"/>
      <c r="S19" s="184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9">
        <f>'Données projet'!D18</f>
        <v>0</v>
      </c>
      <c r="V19" s="188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9">
        <v>3</v>
      </c>
      <c r="B20" s="212" t="s">
        <v>132</v>
      </c>
      <c r="C20" s="211" t="s">
        <v>132</v>
      </c>
      <c r="D20" s="210" t="s">
        <v>132</v>
      </c>
      <c r="E20" s="205"/>
      <c r="F20" s="260"/>
      <c r="G20" s="325"/>
      <c r="H20" s="202">
        <v>0</v>
      </c>
      <c r="I20" s="203">
        <v>9000</v>
      </c>
      <c r="J20" s="5"/>
      <c r="K20" s="182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9">
        <v>4</v>
      </c>
      <c r="B21" s="212" t="s">
        <v>132</v>
      </c>
      <c r="C21" s="211" t="s">
        <v>132</v>
      </c>
      <c r="D21" s="210" t="s">
        <v>132</v>
      </c>
      <c r="E21" s="205"/>
      <c r="F21" s="260"/>
      <c r="H21" s="202"/>
      <c r="I21" s="203"/>
      <c r="K21" s="182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9">
        <v>5</v>
      </c>
      <c r="B22" s="212" t="s">
        <v>132</v>
      </c>
      <c r="C22" s="211" t="s">
        <v>132</v>
      </c>
      <c r="D22" s="210" t="s">
        <v>132</v>
      </c>
      <c r="E22" s="205"/>
      <c r="F22" s="260"/>
      <c r="H22" s="202"/>
      <c r="I22" s="203"/>
      <c r="K22" s="182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1">
        <f>'Données projet'!A36</f>
        <v>20</v>
      </c>
      <c r="B23" s="192">
        <f>'Données projet'!D36</f>
        <v>0</v>
      </c>
      <c r="C23" s="203">
        <v>10</v>
      </c>
      <c r="D23" s="193">
        <f>B23*C23</f>
        <v>0</v>
      </c>
      <c r="E23" s="205"/>
      <c r="F23" s="260"/>
      <c r="H23" s="202"/>
      <c r="I23" s="203"/>
      <c r="K23" s="224"/>
      <c r="L23" s="323" t="s">
        <v>260</v>
      </c>
      <c r="M23" s="323"/>
      <c r="N23" s="323"/>
      <c r="O23" s="25"/>
      <c r="P23" s="25"/>
      <c r="Q23" s="264"/>
      <c r="R23" s="25"/>
      <c r="S23" s="184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-27518.33836969368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1">
        <f>'Données projet'!A37</f>
        <v>25</v>
      </c>
      <c r="B24" s="192">
        <f>'Données projet'!D37</f>
        <v>0</v>
      </c>
      <c r="C24" s="205">
        <v>10</v>
      </c>
      <c r="D24" s="193">
        <f t="shared" ref="D24:D42" si="2">B24*C24</f>
        <v>0</v>
      </c>
      <c r="E24" s="205"/>
      <c r="F24" s="263"/>
      <c r="H24" s="202"/>
      <c r="I24" s="203"/>
      <c r="K24" s="224"/>
      <c r="O24" s="25"/>
      <c r="P24" s="25"/>
      <c r="Q24" s="264"/>
      <c r="R24" s="25"/>
      <c r="S24" s="184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1">
        <f>'Données projet'!A38</f>
        <v>30</v>
      </c>
      <c r="B25" s="192">
        <f>'Données projet'!D38</f>
        <v>29</v>
      </c>
      <c r="C25" s="205">
        <v>10</v>
      </c>
      <c r="D25" s="193">
        <f t="shared" si="2"/>
        <v>290</v>
      </c>
      <c r="E25" s="205"/>
      <c r="F25" s="263"/>
      <c r="G25" s="1"/>
      <c r="H25" s="202"/>
      <c r="I25" s="203"/>
      <c r="K25" s="224"/>
      <c r="L25" s="270" t="s">
        <v>285</v>
      </c>
      <c r="M25" s="270"/>
      <c r="N25" s="270"/>
      <c r="O25" s="270"/>
      <c r="P25" s="204">
        <v>0</v>
      </c>
      <c r="Q25" s="264"/>
      <c r="R25" s="25"/>
      <c r="S25" s="197" t="s">
        <v>266</v>
      </c>
      <c r="T25" s="339">
        <f ca="1">T23-T24</f>
        <v>-27518.33836969368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1">
        <f>'Données projet'!A39</f>
        <v>35</v>
      </c>
      <c r="B26" s="192">
        <f>'Données projet'!D39</f>
        <v>0</v>
      </c>
      <c r="C26" s="205">
        <v>10</v>
      </c>
      <c r="D26" s="193">
        <f t="shared" si="2"/>
        <v>0</v>
      </c>
      <c r="E26" s="205"/>
      <c r="F26" s="263"/>
      <c r="G26" s="258"/>
      <c r="H26" s="202"/>
      <c r="I26" s="203"/>
      <c r="K26" s="224"/>
      <c r="L26" s="326" t="s">
        <v>258</v>
      </c>
      <c r="M26" s="327"/>
      <c r="N26" s="327"/>
      <c r="O26" s="327"/>
      <c r="P26" s="328"/>
      <c r="Q26" s="264"/>
      <c r="R26" s="25"/>
      <c r="S26" s="197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1">
        <f>'Données projet'!A40</f>
        <v>40</v>
      </c>
      <c r="B27" s="192">
        <f>'Données projet'!D40</f>
        <v>42</v>
      </c>
      <c r="C27" s="205">
        <v>10</v>
      </c>
      <c r="D27" s="193">
        <f t="shared" si="2"/>
        <v>420</v>
      </c>
      <c r="E27" s="205"/>
      <c r="F27" s="263"/>
      <c r="G27" s="258"/>
      <c r="H27" s="202"/>
      <c r="I27" s="203"/>
      <c r="K27" s="224"/>
      <c r="L27" s="329"/>
      <c r="M27" s="330"/>
      <c r="N27" s="330"/>
      <c r="O27" s="330"/>
      <c r="P27" s="331"/>
      <c r="Q27" s="264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1">
        <f>'Données projet'!A41</f>
        <v>45</v>
      </c>
      <c r="B28" s="192">
        <f>'Données projet'!D41</f>
        <v>0</v>
      </c>
      <c r="C28" s="205">
        <v>10</v>
      </c>
      <c r="D28" s="193">
        <f t="shared" si="2"/>
        <v>0</v>
      </c>
      <c r="E28" s="205"/>
      <c r="F28" s="263"/>
      <c r="G28" s="221"/>
      <c r="H28" s="202"/>
      <c r="I28" s="203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1">
        <f>'Données projet'!A42</f>
        <v>50</v>
      </c>
      <c r="B29" s="192">
        <f>'Données projet'!D42</f>
        <v>42</v>
      </c>
      <c r="C29" s="205">
        <v>15</v>
      </c>
      <c r="D29" s="193">
        <f t="shared" si="2"/>
        <v>630</v>
      </c>
      <c r="E29" s="205"/>
      <c r="F29" s="263"/>
      <c r="G29" s="217"/>
      <c r="H29" s="202"/>
      <c r="I29" s="203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1">
        <f>'Données projet'!A43</f>
        <v>55</v>
      </c>
      <c r="B30" s="192">
        <f>'Données projet'!D43</f>
        <v>0</v>
      </c>
      <c r="C30" s="205">
        <v>20</v>
      </c>
      <c r="D30" s="193">
        <f t="shared" si="2"/>
        <v>0</v>
      </c>
      <c r="E30" s="205"/>
      <c r="F30" s="263"/>
      <c r="G30" s="217"/>
      <c r="H30" s="202"/>
      <c r="I30" s="203"/>
      <c r="K30" s="194"/>
      <c r="L30" s="184" t="s">
        <v>259</v>
      </c>
      <c r="M30" s="195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1">
        <f>'Données projet'!A44</f>
        <v>60</v>
      </c>
      <c r="B31" s="192">
        <f>'Données projet'!D44</f>
        <v>42</v>
      </c>
      <c r="C31" s="205">
        <v>25</v>
      </c>
      <c r="D31" s="193">
        <f t="shared" si="2"/>
        <v>1050</v>
      </c>
      <c r="E31" s="205"/>
      <c r="F31" s="263"/>
      <c r="G31" s="217"/>
      <c r="H31" s="202"/>
      <c r="I31" s="203"/>
      <c r="K31" s="182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1">
        <f>'Données projet'!A45</f>
        <v>65</v>
      </c>
      <c r="B32" s="192">
        <f>'Données projet'!D45</f>
        <v>0</v>
      </c>
      <c r="C32" s="205">
        <v>30</v>
      </c>
      <c r="D32" s="193">
        <f t="shared" si="2"/>
        <v>0</v>
      </c>
      <c r="E32" s="205"/>
      <c r="F32" s="263"/>
      <c r="G32" s="217"/>
      <c r="H32" s="202"/>
      <c r="I32" s="203"/>
      <c r="K32" s="182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1">
        <f>'Données projet'!A46</f>
        <v>70</v>
      </c>
      <c r="B33" s="192">
        <f>'Données projet'!D46</f>
        <v>42</v>
      </c>
      <c r="C33" s="205">
        <v>35</v>
      </c>
      <c r="D33" s="193">
        <f t="shared" si="2"/>
        <v>1470</v>
      </c>
      <c r="E33" s="205"/>
      <c r="F33" s="263"/>
      <c r="G33" s="217"/>
      <c r="H33" s="202"/>
      <c r="I33" s="203"/>
      <c r="K33" s="182"/>
      <c r="L33" s="5"/>
      <c r="M33" s="5"/>
      <c r="N33" s="5"/>
      <c r="O33" s="206">
        <v>0</v>
      </c>
      <c r="P33" s="196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1">
        <f>'Données projet'!A47</f>
        <v>75</v>
      </c>
      <c r="B34" s="192">
        <f>'Données projet'!D47</f>
        <v>0</v>
      </c>
      <c r="C34" s="205">
        <v>40</v>
      </c>
      <c r="D34" s="193">
        <f t="shared" si="2"/>
        <v>0</v>
      </c>
      <c r="E34" s="205"/>
      <c r="F34" s="263"/>
      <c r="G34" s="217"/>
      <c r="H34" s="202"/>
      <c r="I34" s="203"/>
      <c r="K34" s="182"/>
      <c r="L34" s="282"/>
      <c r="M34" s="282"/>
      <c r="N34" s="283"/>
      <c r="O34" s="206">
        <f>IF(O33+1&lt;=MIN('Données projet'!$E$9:$E$18),O33+1,"STOP")</f>
        <v>1</v>
      </c>
      <c r="P34" s="196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1">
        <f>'Données projet'!A48</f>
        <v>80</v>
      </c>
      <c r="B35" s="192">
        <f>'Données projet'!D48</f>
        <v>42</v>
      </c>
      <c r="C35" s="205">
        <v>45</v>
      </c>
      <c r="D35" s="193">
        <f t="shared" si="2"/>
        <v>1890</v>
      </c>
      <c r="E35" s="205"/>
      <c r="F35" s="263"/>
      <c r="G35" s="217"/>
      <c r="H35" s="202"/>
      <c r="I35" s="203"/>
      <c r="K35" s="182"/>
      <c r="L35" s="282"/>
      <c r="M35" s="282"/>
      <c r="N35" s="283"/>
      <c r="O35" s="206">
        <f>IF(O34+1&lt;=MIN('Données projet'!$E$9:$E$18),O34+1,"STOP")</f>
        <v>2</v>
      </c>
      <c r="P35" s="196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1">
        <f>'Données projet'!A49</f>
        <v>90</v>
      </c>
      <c r="B36" s="192">
        <f>'Données projet'!D49</f>
        <v>42</v>
      </c>
      <c r="C36" s="205">
        <v>50</v>
      </c>
      <c r="D36" s="193">
        <f t="shared" si="2"/>
        <v>2100</v>
      </c>
      <c r="E36" s="205"/>
      <c r="F36" s="263"/>
      <c r="G36" s="217"/>
      <c r="H36" s="202"/>
      <c r="I36" s="203"/>
      <c r="K36" s="182"/>
      <c r="L36" s="25"/>
      <c r="M36" s="25"/>
      <c r="N36" s="25"/>
      <c r="O36" s="206">
        <f>IF(O35+1&lt;=MIN('Données projet'!$E$9:$E$18),O35+1,"STOP")</f>
        <v>3</v>
      </c>
      <c r="P36" s="196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1">
        <f>'Données projet'!A50</f>
        <v>100</v>
      </c>
      <c r="B37" s="192">
        <f>'Données projet'!D50</f>
        <v>42</v>
      </c>
      <c r="C37" s="205">
        <v>60</v>
      </c>
      <c r="D37" s="193">
        <f t="shared" si="2"/>
        <v>2520</v>
      </c>
      <c r="E37" s="205"/>
      <c r="F37" s="263"/>
      <c r="G37" s="217"/>
      <c r="H37" s="202"/>
      <c r="I37" s="203"/>
      <c r="K37" s="182"/>
      <c r="L37" s="25"/>
      <c r="M37" s="25"/>
      <c r="N37" s="25"/>
      <c r="O37" s="206">
        <f>IF(O36+1&lt;=MIN('Données projet'!$E$9:$E$18),O36+1,"STOP")</f>
        <v>4</v>
      </c>
      <c r="P37" s="196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1">
        <f>'Données projet'!A51</f>
        <v>110</v>
      </c>
      <c r="B38" s="192">
        <f>'Données projet'!D51</f>
        <v>39</v>
      </c>
      <c r="C38" s="205">
        <v>70</v>
      </c>
      <c r="D38" s="193">
        <f t="shared" si="2"/>
        <v>2730</v>
      </c>
      <c r="E38" s="205"/>
      <c r="F38" s="263"/>
      <c r="G38" s="217"/>
      <c r="H38" s="202"/>
      <c r="I38" s="203"/>
      <c r="K38" s="182"/>
      <c r="L38" s="25"/>
      <c r="M38" s="25"/>
      <c r="N38" s="25"/>
      <c r="O38" s="206">
        <f>IF(O37+1&lt;=MIN('Données projet'!$E$9:$E$18),O37+1,"STOP")</f>
        <v>5</v>
      </c>
      <c r="P38" s="196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1">
        <f>'Données projet'!A52</f>
        <v>120</v>
      </c>
      <c r="B39" s="192">
        <f>'Données projet'!D52</f>
        <v>35</v>
      </c>
      <c r="C39" s="205">
        <v>80</v>
      </c>
      <c r="D39" s="193">
        <f t="shared" si="2"/>
        <v>2800</v>
      </c>
      <c r="E39" s="205"/>
      <c r="F39" s="263"/>
      <c r="G39" s="217"/>
      <c r="H39" s="202"/>
      <c r="I39" s="203"/>
      <c r="K39" s="224"/>
      <c r="L39" s="25"/>
      <c r="M39" s="25"/>
      <c r="N39" s="25"/>
      <c r="O39" s="206">
        <f>IF(O38+1&lt;=MIN('Données projet'!$E$9:$E$18),O38+1,"STOP")</f>
        <v>6</v>
      </c>
      <c r="P39" s="196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1">
        <f>'Données projet'!A53</f>
        <v>130</v>
      </c>
      <c r="B40" s="192">
        <f>'Données projet'!D53</f>
        <v>31</v>
      </c>
      <c r="C40" s="205">
        <v>100</v>
      </c>
      <c r="D40" s="193">
        <f t="shared" si="2"/>
        <v>3100</v>
      </c>
      <c r="E40" s="205"/>
      <c r="F40" s="263"/>
      <c r="G40" s="217"/>
      <c r="H40" s="202"/>
      <c r="I40" s="203"/>
      <c r="K40" s="224"/>
      <c r="L40" s="25"/>
      <c r="M40" s="25"/>
      <c r="N40" s="25"/>
      <c r="O40" s="206">
        <f>IF(O39+1&lt;=MIN('Données projet'!$E$9:$E$18),O39+1,"STOP")</f>
        <v>7</v>
      </c>
      <c r="P40" s="196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1">
        <f>'Données projet'!A54</f>
        <v>140</v>
      </c>
      <c r="B41" s="192">
        <f>'Données projet'!D54</f>
        <v>27</v>
      </c>
      <c r="C41" s="205">
        <v>150</v>
      </c>
      <c r="D41" s="193">
        <f t="shared" si="2"/>
        <v>4050</v>
      </c>
      <c r="E41" s="205"/>
      <c r="F41" s="263"/>
      <c r="G41" s="217"/>
      <c r="H41" s="202"/>
      <c r="I41" s="203"/>
      <c r="K41" s="224"/>
      <c r="L41" s="25"/>
      <c r="M41" s="25"/>
      <c r="N41" s="25"/>
      <c r="O41" s="206">
        <f>IF(O40+1&lt;=MIN('Données projet'!$E$9:$E$18),O40+1,"STOP")</f>
        <v>8</v>
      </c>
      <c r="P41" s="196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1">
        <f>'Données projet'!A55</f>
        <v>150</v>
      </c>
      <c r="B42" s="192">
        <f>'Données projet'!D55</f>
        <v>293</v>
      </c>
      <c r="C42" s="205">
        <v>200</v>
      </c>
      <c r="D42" s="193">
        <f t="shared" si="2"/>
        <v>58600</v>
      </c>
      <c r="E42" s="205"/>
      <c r="F42" s="263"/>
      <c r="G42" s="217"/>
      <c r="H42" s="202"/>
      <c r="I42" s="203"/>
      <c r="K42" s="224"/>
      <c r="L42" s="25"/>
      <c r="M42" s="25"/>
      <c r="N42" s="25"/>
      <c r="O42" s="206">
        <f>IF(O41+1&lt;=MIN('Données projet'!$E$9:$E$18),O41+1,"STOP")</f>
        <v>9</v>
      </c>
      <c r="P42" s="196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8"/>
      <c r="B43" s="198"/>
      <c r="C43" s="198"/>
      <c r="D43" s="255"/>
      <c r="E43" s="255"/>
      <c r="F43" s="268"/>
      <c r="G43" s="217"/>
      <c r="H43" s="202"/>
      <c r="I43" s="203"/>
      <c r="K43" s="224"/>
      <c r="L43" s="25"/>
      <c r="M43" s="25"/>
      <c r="N43" s="25"/>
      <c r="O43" s="206">
        <f>IF(O42+1&lt;=MIN('Données projet'!$E$9:$E$18),O42+1,"STOP")</f>
        <v>10</v>
      </c>
      <c r="P43" s="196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0"/>
      <c r="G44" s="217"/>
      <c r="H44" s="202"/>
      <c r="I44" s="203"/>
      <c r="K44" s="224"/>
      <c r="L44" s="25"/>
      <c r="M44" s="25"/>
      <c r="N44" s="25"/>
      <c r="O44" s="206">
        <f>IF(O43+1&lt;=MIN('Données projet'!$E$9:$E$18),O43+1,"STOP")</f>
        <v>11</v>
      </c>
      <c r="P44" s="196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5" t="str">
        <f>IF('Données projet'!$B$10="","",'Données projet'!$B$10)</f>
        <v>Chêne pubescent</v>
      </c>
      <c r="C45" s="5"/>
      <c r="D45" s="5"/>
      <c r="E45" s="5"/>
      <c r="F45" s="260"/>
      <c r="G45" s="217"/>
      <c r="H45" s="202"/>
      <c r="I45" s="203"/>
      <c r="J45" s="25"/>
      <c r="K45" s="224"/>
      <c r="L45" s="25"/>
      <c r="M45" s="25"/>
      <c r="N45" s="25"/>
      <c r="O45" s="206">
        <f>IF(O44+1&lt;=MIN('Données projet'!$E$9:$E$18),O44+1,"STOP")</f>
        <v>12</v>
      </c>
      <c r="P45" s="196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0"/>
      <c r="G46" s="217"/>
      <c r="H46" s="202"/>
      <c r="I46" s="203"/>
      <c r="J46" s="25"/>
      <c r="K46" s="224"/>
      <c r="L46" s="219"/>
      <c r="M46" s="219"/>
      <c r="N46" s="219"/>
      <c r="O46" s="206">
        <f>IF(O45+1&lt;=MIN('Données projet'!$E$9:$E$18),O45+1,"STOP")</f>
        <v>13</v>
      </c>
      <c r="P46" s="199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2"/>
      <c r="I47" s="203"/>
      <c r="J47" s="25"/>
      <c r="K47" s="224"/>
      <c r="L47" s="5"/>
      <c r="M47" s="5"/>
      <c r="N47" s="5"/>
      <c r="O47" s="206">
        <f>IF(O46+1&lt;=MIN('Données projet'!$E$9:$E$18),O46+1,"STOP")</f>
        <v>14</v>
      </c>
      <c r="P47" s="196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9">
        <v>0</v>
      </c>
      <c r="B48" s="212" t="s">
        <v>132</v>
      </c>
      <c r="C48" s="211" t="s">
        <v>132</v>
      </c>
      <c r="D48" s="210" t="s">
        <v>132</v>
      </c>
      <c r="E48" s="205"/>
      <c r="F48" s="261"/>
      <c r="G48" s="217"/>
      <c r="H48" s="202"/>
      <c r="I48" s="203"/>
      <c r="J48" s="25"/>
      <c r="K48" s="224"/>
      <c r="L48" s="5"/>
      <c r="M48" s="5"/>
      <c r="N48" s="5"/>
      <c r="O48" s="206">
        <f>IF(O47+1&lt;=MIN('Données projet'!$E$9:$E$18),O47+1,"STOP")</f>
        <v>15</v>
      </c>
      <c r="P48" s="196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7" customFormat="1" ht="17.25" customHeight="1" x14ac:dyDescent="0.3">
      <c r="A49" s="209">
        <v>1</v>
      </c>
      <c r="B49" s="212" t="s">
        <v>132</v>
      </c>
      <c r="C49" s="211" t="s">
        <v>132</v>
      </c>
      <c r="D49" s="210" t="s">
        <v>132</v>
      </c>
      <c r="E49" s="205"/>
      <c r="F49" s="261"/>
      <c r="G49" s="218"/>
      <c r="H49" s="202"/>
      <c r="I49" s="203"/>
      <c r="J49" s="219"/>
      <c r="K49" s="226"/>
      <c r="L49" s="5"/>
      <c r="M49" s="5"/>
      <c r="N49" s="5"/>
      <c r="O49" s="206">
        <f>IF(O48+1&lt;=MIN('Données projet'!$E$9:$E$18),O48+1,"STOP")</f>
        <v>16</v>
      </c>
      <c r="P49" s="196">
        <f t="shared" si="3"/>
        <v>0</v>
      </c>
      <c r="Q49" s="266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</row>
    <row r="50" spans="1:56" x14ac:dyDescent="0.3">
      <c r="A50" s="209">
        <v>2</v>
      </c>
      <c r="B50" s="212" t="s">
        <v>132</v>
      </c>
      <c r="C50" s="211" t="s">
        <v>132</v>
      </c>
      <c r="D50" s="210" t="s">
        <v>132</v>
      </c>
      <c r="E50" s="205"/>
      <c r="F50" s="261"/>
      <c r="G50" s="220"/>
      <c r="H50" s="202"/>
      <c r="I50" s="203"/>
      <c r="J50" s="25"/>
      <c r="K50" s="182"/>
      <c r="L50" s="5"/>
      <c r="M50" s="5"/>
      <c r="N50" s="5"/>
      <c r="O50" s="206">
        <f>IF(O49+1&lt;=MIN('Données projet'!$E$9:$E$18),O49+1,"STOP")</f>
        <v>17</v>
      </c>
      <c r="P50" s="196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9">
        <v>3</v>
      </c>
      <c r="B51" s="212" t="s">
        <v>132</v>
      </c>
      <c r="C51" s="211" t="s">
        <v>132</v>
      </c>
      <c r="D51" s="210" t="s">
        <v>132</v>
      </c>
      <c r="E51" s="205"/>
      <c r="F51" s="261"/>
      <c r="G51" s="220"/>
      <c r="H51" s="202"/>
      <c r="I51" s="203"/>
      <c r="J51" s="25"/>
      <c r="K51" s="182"/>
      <c r="L51" s="5"/>
      <c r="M51" s="5"/>
      <c r="N51" s="5"/>
      <c r="O51" s="206">
        <f>IF(O50+1&lt;=MIN('Données projet'!$E$9:$E$18),O50+1,"STOP")</f>
        <v>18</v>
      </c>
      <c r="P51" s="196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9">
        <v>4</v>
      </c>
      <c r="B52" s="212" t="s">
        <v>132</v>
      </c>
      <c r="C52" s="211" t="s">
        <v>132</v>
      </c>
      <c r="D52" s="210" t="s">
        <v>132</v>
      </c>
      <c r="E52" s="205"/>
      <c r="F52" s="261"/>
      <c r="G52" s="220"/>
      <c r="H52" s="202"/>
      <c r="I52" s="203"/>
      <c r="J52" s="25"/>
      <c r="K52" s="182"/>
      <c r="L52" s="5"/>
      <c r="M52" s="5"/>
      <c r="N52" s="5"/>
      <c r="O52" s="206">
        <f>IF(O51+1&lt;=MIN('Données projet'!$E$9:$E$18),O51+1,"STOP")</f>
        <v>19</v>
      </c>
      <c r="P52" s="196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9">
        <v>5</v>
      </c>
      <c r="B53" s="212" t="s">
        <v>132</v>
      </c>
      <c r="C53" s="211" t="s">
        <v>132</v>
      </c>
      <c r="D53" s="210" t="s">
        <v>132</v>
      </c>
      <c r="E53" s="205"/>
      <c r="F53" s="261"/>
      <c r="G53" s="221"/>
      <c r="H53" s="202"/>
      <c r="I53" s="203"/>
      <c r="J53" s="25"/>
      <c r="K53" s="182"/>
      <c r="L53" s="5"/>
      <c r="M53" s="5"/>
      <c r="N53" s="5"/>
      <c r="O53" s="206">
        <f>IF(O52+1&lt;=MIN('Données projet'!$E$9:$E$18),O52+1,"STOP")</f>
        <v>20</v>
      </c>
      <c r="P53" s="196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1">
        <f>'Données projet'!A62</f>
        <v>20</v>
      </c>
      <c r="B54" s="192">
        <f>'Données projet'!D62</f>
        <v>0</v>
      </c>
      <c r="C54" s="203">
        <v>10</v>
      </c>
      <c r="D54" s="190">
        <f>B54*C54</f>
        <v>0</v>
      </c>
      <c r="E54" s="205"/>
      <c r="F54" s="262"/>
      <c r="G54" s="221"/>
      <c r="H54" s="202"/>
      <c r="I54" s="203"/>
      <c r="J54" s="25"/>
      <c r="K54" s="182"/>
      <c r="L54" s="5"/>
      <c r="M54" s="5"/>
      <c r="N54" s="5"/>
      <c r="O54" s="206">
        <f>IF(O53+1&lt;=MIN('Données projet'!$E$9:$E$18),O53+1,"STOP")</f>
        <v>21</v>
      </c>
      <c r="P54" s="196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1">
        <f>'Données projet'!A63</f>
        <v>25</v>
      </c>
      <c r="B55" s="192">
        <f>'Données projet'!D63</f>
        <v>0</v>
      </c>
      <c r="C55" s="205">
        <v>10</v>
      </c>
      <c r="D55" s="190">
        <f t="shared" ref="D55:D73" si="4">B55*C55</f>
        <v>0</v>
      </c>
      <c r="E55" s="205"/>
      <c r="F55" s="262"/>
      <c r="G55" s="221"/>
      <c r="H55" s="202"/>
      <c r="I55" s="203"/>
      <c r="J55" s="25"/>
      <c r="K55" s="182"/>
      <c r="L55" s="5"/>
      <c r="M55" s="5"/>
      <c r="N55" s="5"/>
      <c r="O55" s="206">
        <f>IF(O54+1&lt;=MIN('Données projet'!$E$9:$E$18),O54+1,"STOP")</f>
        <v>22</v>
      </c>
      <c r="P55" s="196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1">
        <f>'Données projet'!A64</f>
        <v>30</v>
      </c>
      <c r="B56" s="192">
        <f>'Données projet'!D64</f>
        <v>29</v>
      </c>
      <c r="C56" s="205">
        <v>10</v>
      </c>
      <c r="D56" s="190">
        <f t="shared" si="4"/>
        <v>290</v>
      </c>
      <c r="E56" s="205"/>
      <c r="F56" s="262"/>
      <c r="G56" s="221"/>
      <c r="H56" s="202"/>
      <c r="I56" s="203"/>
      <c r="J56" s="25"/>
      <c r="K56" s="182"/>
      <c r="L56" s="5"/>
      <c r="M56" s="5"/>
      <c r="N56" s="5"/>
      <c r="O56" s="206">
        <f>IF(O55+1&lt;=MIN('Données projet'!$E$9:$E$18),O55+1,"STOP")</f>
        <v>23</v>
      </c>
      <c r="P56" s="196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1">
        <f>'Données projet'!A65</f>
        <v>35</v>
      </c>
      <c r="B57" s="192">
        <f>'Données projet'!D65</f>
        <v>0</v>
      </c>
      <c r="C57" s="205">
        <v>10</v>
      </c>
      <c r="D57" s="190">
        <f t="shared" si="4"/>
        <v>0</v>
      </c>
      <c r="E57" s="205"/>
      <c r="F57" s="262"/>
      <c r="G57" s="221"/>
      <c r="H57" s="202"/>
      <c r="I57" s="203"/>
      <c r="J57" s="25"/>
      <c r="K57" s="182"/>
      <c r="L57" s="5"/>
      <c r="M57" s="5"/>
      <c r="N57" s="5"/>
      <c r="O57" s="206">
        <f>IF(O56+1&lt;=MIN('Données projet'!$E$9:$E$18),O56+1,"STOP")</f>
        <v>24</v>
      </c>
      <c r="P57" s="196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1">
        <f>'Données projet'!A66</f>
        <v>40</v>
      </c>
      <c r="B58" s="192">
        <f>'Données projet'!D66</f>
        <v>42</v>
      </c>
      <c r="C58" s="205">
        <v>10</v>
      </c>
      <c r="D58" s="190">
        <f t="shared" si="4"/>
        <v>420</v>
      </c>
      <c r="E58" s="205"/>
      <c r="F58" s="262"/>
      <c r="G58" s="221"/>
      <c r="H58" s="202"/>
      <c r="I58" s="203"/>
      <c r="J58" s="25"/>
      <c r="K58" s="182"/>
      <c r="L58" s="5"/>
      <c r="M58" s="5"/>
      <c r="N58" s="5"/>
      <c r="O58" s="206">
        <f>IF(O57+1&lt;=MIN('Données projet'!$E$9:$E$18),O57+1,"STOP")</f>
        <v>25</v>
      </c>
      <c r="P58" s="196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1">
        <f>'Données projet'!A67</f>
        <v>45</v>
      </c>
      <c r="B59" s="192">
        <f>'Données projet'!D67</f>
        <v>0</v>
      </c>
      <c r="C59" s="205">
        <v>10</v>
      </c>
      <c r="D59" s="190">
        <f t="shared" si="4"/>
        <v>0</v>
      </c>
      <c r="E59" s="205"/>
      <c r="F59" s="262"/>
      <c r="G59" s="221"/>
      <c r="H59" s="202"/>
      <c r="I59" s="203"/>
      <c r="J59" s="25"/>
      <c r="K59" s="182"/>
      <c r="L59" s="5"/>
      <c r="M59" s="5"/>
      <c r="N59" s="5"/>
      <c r="O59" s="206">
        <f>IF(O58+1&lt;=MIN('Données projet'!$E$9:$E$18),O58+1,"STOP")</f>
        <v>26</v>
      </c>
      <c r="P59" s="196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1">
        <f>'Données projet'!A68</f>
        <v>50</v>
      </c>
      <c r="B60" s="192">
        <f>'Données projet'!D68</f>
        <v>42</v>
      </c>
      <c r="C60" s="205">
        <v>15</v>
      </c>
      <c r="D60" s="190">
        <f t="shared" si="4"/>
        <v>630</v>
      </c>
      <c r="E60" s="205"/>
      <c r="F60" s="262"/>
      <c r="G60" s="222"/>
      <c r="H60" s="202"/>
      <c r="I60" s="203"/>
      <c r="J60" s="25"/>
      <c r="K60" s="182"/>
      <c r="L60" s="5"/>
      <c r="M60" s="5"/>
      <c r="N60" s="5"/>
      <c r="O60" s="206">
        <f>IF(O59+1&lt;=MIN('Données projet'!$E$9:$E$18),O59+1,"STOP")</f>
        <v>27</v>
      </c>
      <c r="P60" s="196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1">
        <f>'Données projet'!A69</f>
        <v>55</v>
      </c>
      <c r="B61" s="192">
        <f>'Données projet'!D69</f>
        <v>0</v>
      </c>
      <c r="C61" s="205">
        <v>20</v>
      </c>
      <c r="D61" s="190">
        <f t="shared" si="4"/>
        <v>0</v>
      </c>
      <c r="E61" s="205"/>
      <c r="F61" s="262"/>
      <c r="G61" s="222"/>
      <c r="H61" s="202"/>
      <c r="I61" s="203"/>
      <c r="J61" s="25"/>
      <c r="K61" s="182"/>
      <c r="L61" s="5"/>
      <c r="M61" s="5"/>
      <c r="N61" s="5"/>
      <c r="O61" s="206">
        <f>IF(O60+1&lt;=MIN('Données projet'!$E$9:$E$18),O60+1,"STOP")</f>
        <v>28</v>
      </c>
      <c r="P61" s="196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1">
        <f>'Données projet'!A70</f>
        <v>60</v>
      </c>
      <c r="B62" s="192">
        <f>'Données projet'!D70</f>
        <v>42</v>
      </c>
      <c r="C62" s="205">
        <v>25</v>
      </c>
      <c r="D62" s="190">
        <f t="shared" si="4"/>
        <v>1050</v>
      </c>
      <c r="E62" s="205"/>
      <c r="F62" s="262"/>
      <c r="G62" s="222"/>
      <c r="H62" s="202"/>
      <c r="I62" s="203"/>
      <c r="J62" s="25"/>
      <c r="K62" s="182"/>
      <c r="L62" s="5"/>
      <c r="M62" s="5"/>
      <c r="N62" s="5"/>
      <c r="O62" s="206">
        <f>IF(O61+1&lt;=MIN('Données projet'!$E$9:$E$18),O61+1,"STOP")</f>
        <v>29</v>
      </c>
      <c r="P62" s="196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1">
        <f>'Données projet'!A71</f>
        <v>65</v>
      </c>
      <c r="B63" s="192">
        <f>'Données projet'!D71</f>
        <v>0</v>
      </c>
      <c r="C63" s="205">
        <v>30</v>
      </c>
      <c r="D63" s="190">
        <f t="shared" si="4"/>
        <v>0</v>
      </c>
      <c r="E63" s="205"/>
      <c r="F63" s="262"/>
      <c r="G63" s="222"/>
      <c r="H63" s="202"/>
      <c r="I63" s="203"/>
      <c r="J63" s="25"/>
      <c r="K63" s="182"/>
      <c r="L63" s="5"/>
      <c r="M63" s="5"/>
      <c r="N63" s="5"/>
      <c r="O63" s="206">
        <f>IF(O62+1&lt;=MIN('Données projet'!$E$9:$E$18),O62+1,"STOP")</f>
        <v>30</v>
      </c>
      <c r="P63" s="196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1">
        <f>'Données projet'!A72</f>
        <v>70</v>
      </c>
      <c r="B64" s="192">
        <f>'Données projet'!D72</f>
        <v>42</v>
      </c>
      <c r="C64" s="205">
        <v>35</v>
      </c>
      <c r="D64" s="190">
        <f t="shared" si="4"/>
        <v>1470</v>
      </c>
      <c r="E64" s="205"/>
      <c r="F64" s="262"/>
      <c r="G64" s="222"/>
      <c r="H64" s="202"/>
      <c r="I64" s="203"/>
      <c r="J64" s="223"/>
      <c r="K64" s="182"/>
      <c r="L64" s="5"/>
      <c r="M64" s="5"/>
      <c r="N64" s="5"/>
      <c r="O64" s="206">
        <f>IF(O63+1&lt;=MIN('Données projet'!$E$9:$E$18),O63+1,"STOP")</f>
        <v>31</v>
      </c>
      <c r="P64" s="196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1">
        <f>'Données projet'!A73</f>
        <v>75</v>
      </c>
      <c r="B65" s="192">
        <f>'Données projet'!D73</f>
        <v>0</v>
      </c>
      <c r="C65" s="205">
        <v>40</v>
      </c>
      <c r="D65" s="190">
        <f t="shared" si="4"/>
        <v>0</v>
      </c>
      <c r="E65" s="205"/>
      <c r="F65" s="262"/>
      <c r="G65" s="222"/>
      <c r="H65" s="202"/>
      <c r="I65" s="203"/>
      <c r="J65" s="200"/>
      <c r="K65" s="182"/>
      <c r="L65" s="5"/>
      <c r="M65" s="5"/>
      <c r="N65" s="5"/>
      <c r="O65" s="206">
        <f>IF(O64+1&lt;=MIN('Données projet'!$E$9:$E$18),O64+1,"STOP")</f>
        <v>32</v>
      </c>
      <c r="P65" s="196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1">
        <f>'Données projet'!A74</f>
        <v>80</v>
      </c>
      <c r="B66" s="192">
        <f>'Données projet'!D74</f>
        <v>42</v>
      </c>
      <c r="C66" s="205">
        <v>45</v>
      </c>
      <c r="D66" s="190">
        <f t="shared" si="4"/>
        <v>1890</v>
      </c>
      <c r="E66" s="205"/>
      <c r="F66" s="262"/>
      <c r="G66" s="222"/>
      <c r="H66" s="202"/>
      <c r="I66" s="203"/>
      <c r="J66" s="200"/>
      <c r="K66" s="182"/>
      <c r="L66" s="5"/>
      <c r="M66" s="5"/>
      <c r="N66" s="5"/>
      <c r="O66" s="206">
        <f>IF(O65+1&lt;=MIN('Données projet'!$E$9:$E$18),O65+1,"STOP")</f>
        <v>33</v>
      </c>
      <c r="P66" s="196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1">
        <f>'Données projet'!A75</f>
        <v>90</v>
      </c>
      <c r="B67" s="192">
        <f>'Données projet'!D75</f>
        <v>42</v>
      </c>
      <c r="C67" s="205">
        <v>50</v>
      </c>
      <c r="D67" s="190">
        <f t="shared" si="4"/>
        <v>2100</v>
      </c>
      <c r="E67" s="205"/>
      <c r="F67" s="262"/>
      <c r="G67" s="222"/>
      <c r="H67" s="202"/>
      <c r="I67" s="203"/>
      <c r="J67" s="200"/>
      <c r="K67" s="182"/>
      <c r="L67" s="5"/>
      <c r="M67" s="5"/>
      <c r="N67" s="5"/>
      <c r="O67" s="206">
        <f>IF(O66+1&lt;=MIN('Données projet'!$E$9:$E$18),O66+1,"STOP")</f>
        <v>34</v>
      </c>
      <c r="P67" s="196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1">
        <f>'Données projet'!A76</f>
        <v>100</v>
      </c>
      <c r="B68" s="192">
        <f>'Données projet'!D76</f>
        <v>42</v>
      </c>
      <c r="C68" s="205">
        <v>60</v>
      </c>
      <c r="D68" s="190">
        <f t="shared" si="4"/>
        <v>2520</v>
      </c>
      <c r="E68" s="205"/>
      <c r="F68" s="262"/>
      <c r="G68" s="222"/>
      <c r="H68" s="202"/>
      <c r="I68" s="203"/>
      <c r="J68" s="200"/>
      <c r="K68" s="182"/>
      <c r="L68" s="5"/>
      <c r="M68" s="5"/>
      <c r="N68" s="5"/>
      <c r="O68" s="206">
        <f>IF(O67+1&lt;=MIN('Données projet'!$E$9:$E$18),O67+1,"STOP")</f>
        <v>35</v>
      </c>
      <c r="P68" s="196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1">
        <f>'Données projet'!A77</f>
        <v>110</v>
      </c>
      <c r="B69" s="192">
        <f>'Données projet'!D77</f>
        <v>39</v>
      </c>
      <c r="C69" s="205">
        <v>70</v>
      </c>
      <c r="D69" s="190">
        <f t="shared" si="4"/>
        <v>2730</v>
      </c>
      <c r="E69" s="205"/>
      <c r="F69" s="262"/>
      <c r="G69" s="222"/>
      <c r="H69" s="202"/>
      <c r="I69" s="203"/>
      <c r="J69" s="200"/>
      <c r="K69" s="182"/>
      <c r="L69" s="5"/>
      <c r="M69" s="5"/>
      <c r="N69" s="5"/>
      <c r="O69" s="206">
        <f>IF(O68+1&lt;=MIN('Données projet'!$E$9:$E$18),O68+1,"STOP")</f>
        <v>36</v>
      </c>
      <c r="P69" s="196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1">
        <f>'Données projet'!A78</f>
        <v>120</v>
      </c>
      <c r="B70" s="192">
        <f>'Données projet'!D78</f>
        <v>35</v>
      </c>
      <c r="C70" s="205">
        <v>80</v>
      </c>
      <c r="D70" s="190">
        <f t="shared" si="4"/>
        <v>2800</v>
      </c>
      <c r="E70" s="205"/>
      <c r="F70" s="262"/>
      <c r="G70" s="222"/>
      <c r="H70" s="202"/>
      <c r="I70" s="203"/>
      <c r="J70" s="200"/>
      <c r="K70" s="182"/>
      <c r="L70" s="5"/>
      <c r="M70" s="5"/>
      <c r="N70" s="5"/>
      <c r="O70" s="206">
        <f>IF(O69+1&lt;=MIN('Données projet'!$E$9:$E$18),O69+1,"STOP")</f>
        <v>37</v>
      </c>
      <c r="P70" s="196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1">
        <f>'Données projet'!A79</f>
        <v>130</v>
      </c>
      <c r="B71" s="192">
        <f>'Données projet'!D79</f>
        <v>31</v>
      </c>
      <c r="C71" s="205">
        <v>100</v>
      </c>
      <c r="D71" s="190">
        <f t="shared" si="4"/>
        <v>3100</v>
      </c>
      <c r="E71" s="205"/>
      <c r="F71" s="262"/>
      <c r="G71" s="222"/>
      <c r="H71" s="202"/>
      <c r="I71" s="203"/>
      <c r="J71" s="200"/>
      <c r="K71" s="182"/>
      <c r="L71" s="5"/>
      <c r="M71" s="5"/>
      <c r="N71" s="5"/>
      <c r="O71" s="206">
        <f>IF(O70+1&lt;=MIN('Données projet'!$E$9:$E$18),O70+1,"STOP")</f>
        <v>38</v>
      </c>
      <c r="P71" s="196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1">
        <f>'Données projet'!A80</f>
        <v>140</v>
      </c>
      <c r="B72" s="192">
        <f>'Données projet'!D80</f>
        <v>27</v>
      </c>
      <c r="C72" s="205">
        <v>150</v>
      </c>
      <c r="D72" s="190">
        <f t="shared" si="4"/>
        <v>4050</v>
      </c>
      <c r="E72" s="205"/>
      <c r="F72" s="262"/>
      <c r="G72" s="222"/>
      <c r="H72" s="202"/>
      <c r="I72" s="203"/>
      <c r="J72" s="5"/>
      <c r="K72" s="182"/>
      <c r="L72" s="5"/>
      <c r="M72" s="5"/>
      <c r="N72" s="5"/>
      <c r="O72" s="206">
        <f>IF(O71+1&lt;=MIN('Données projet'!$E$9:$E$18),O71+1,"STOP")</f>
        <v>39</v>
      </c>
      <c r="P72" s="196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1">
        <f>'Données projet'!A81</f>
        <v>150</v>
      </c>
      <c r="B73" s="192">
        <f>'Données projet'!D81</f>
        <v>293</v>
      </c>
      <c r="C73" s="205">
        <v>200</v>
      </c>
      <c r="D73" s="190">
        <f t="shared" si="4"/>
        <v>58600</v>
      </c>
      <c r="E73" s="205"/>
      <c r="F73" s="262"/>
      <c r="G73" s="222"/>
      <c r="H73" s="202"/>
      <c r="I73" s="203"/>
      <c r="J73" s="5"/>
      <c r="K73" s="182"/>
      <c r="L73" s="5"/>
      <c r="M73" s="5"/>
      <c r="N73" s="5"/>
      <c r="O73" s="206">
        <f>IF(O72+1&lt;=MIN('Données projet'!$E$9:$E$18),O72+1,"STOP")</f>
        <v>40</v>
      </c>
      <c r="P73" s="196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0"/>
      <c r="G74" s="222"/>
      <c r="H74" s="202"/>
      <c r="I74" s="203"/>
      <c r="J74" s="5"/>
      <c r="K74" s="182"/>
      <c r="L74" s="5"/>
      <c r="M74" s="5"/>
      <c r="N74" s="5"/>
      <c r="O74" s="206">
        <f>IF(O73+1&lt;=MIN('Données projet'!$E$9:$E$18),O73+1,"STOP")</f>
        <v>41</v>
      </c>
      <c r="P74" s="196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0"/>
      <c r="G75" s="222"/>
      <c r="H75" s="202"/>
      <c r="I75" s="203"/>
      <c r="J75" s="5"/>
      <c r="K75" s="182"/>
      <c r="L75" s="5"/>
      <c r="M75" s="5"/>
      <c r="N75" s="5"/>
      <c r="O75" s="206">
        <f>IF(O74+1&lt;=MIN('Données projet'!$E$9:$E$18),O74+1,"STOP")</f>
        <v>42</v>
      </c>
      <c r="P75" s="196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5" t="str">
        <f>IF('Données projet'!B11="","",'Données projet'!B11)</f>
        <v>Alisier torminal</v>
      </c>
      <c r="C76" s="5"/>
      <c r="D76" s="5"/>
      <c r="E76" s="5"/>
      <c r="F76" s="260"/>
      <c r="G76" s="222"/>
      <c r="H76" s="202"/>
      <c r="I76" s="203"/>
      <c r="J76" s="5"/>
      <c r="K76" s="182"/>
      <c r="L76" s="5"/>
      <c r="M76" s="5"/>
      <c r="N76" s="5"/>
      <c r="O76" s="206">
        <f>IF(O75+1&lt;=MIN('Données projet'!$E$9:$E$18),O75+1,"STOP")</f>
        <v>43</v>
      </c>
      <c r="P76" s="196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0"/>
      <c r="G77" s="222"/>
      <c r="H77" s="202"/>
      <c r="I77" s="203"/>
      <c r="J77" s="5"/>
      <c r="K77" s="182"/>
      <c r="L77" s="5"/>
      <c r="M77" s="5"/>
      <c r="N77" s="5"/>
      <c r="O77" s="206">
        <f>IF(O76+1&lt;=MIN('Données projet'!$E$9:$E$18),O76+1,"STOP")</f>
        <v>44</v>
      </c>
      <c r="P77" s="196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2"/>
      <c r="I78" s="203"/>
      <c r="J78" s="5"/>
      <c r="K78" s="182"/>
      <c r="L78" s="5"/>
      <c r="M78" s="5"/>
      <c r="N78" s="5"/>
      <c r="O78" s="206">
        <f>IF(O77+1&lt;=MIN('Données projet'!$E$9:$E$18),O77+1,"STOP")</f>
        <v>45</v>
      </c>
      <c r="P78" s="196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9">
        <v>0</v>
      </c>
      <c r="B79" s="212" t="s">
        <v>132</v>
      </c>
      <c r="C79" s="211" t="s">
        <v>132</v>
      </c>
      <c r="D79" s="210" t="s">
        <v>132</v>
      </c>
      <c r="E79" s="205"/>
      <c r="F79" s="261"/>
      <c r="G79" s="222"/>
      <c r="H79" s="202"/>
      <c r="I79" s="203"/>
      <c r="J79" s="5"/>
      <c r="K79" s="182"/>
      <c r="L79" s="5"/>
      <c r="M79" s="5"/>
      <c r="N79" s="5"/>
      <c r="O79" s="206">
        <f>IF(O78+1&lt;=MIN('Données projet'!$E$9:$E$18),O78+1,"STOP")</f>
        <v>46</v>
      </c>
      <c r="P79" s="196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9">
        <v>1</v>
      </c>
      <c r="B80" s="212" t="s">
        <v>132</v>
      </c>
      <c r="C80" s="211" t="s">
        <v>132</v>
      </c>
      <c r="D80" s="210" t="s">
        <v>132</v>
      </c>
      <c r="E80" s="205"/>
      <c r="F80" s="261"/>
      <c r="G80" s="220"/>
      <c r="H80" s="202"/>
      <c r="I80" s="203"/>
      <c r="J80" s="5"/>
      <c r="K80" s="182"/>
      <c r="L80" s="5"/>
      <c r="M80" s="5"/>
      <c r="N80" s="5"/>
      <c r="O80" s="206">
        <f>IF(O79+1&lt;=MIN('Données projet'!$E$9:$E$18),O79+1,"STOP")</f>
        <v>47</v>
      </c>
      <c r="P80" s="196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9">
        <v>2</v>
      </c>
      <c r="B81" s="212" t="s">
        <v>132</v>
      </c>
      <c r="C81" s="211" t="s">
        <v>132</v>
      </c>
      <c r="D81" s="210" t="s">
        <v>132</v>
      </c>
      <c r="E81" s="205"/>
      <c r="F81" s="261"/>
      <c r="G81" s="220"/>
      <c r="H81" s="202"/>
      <c r="I81" s="203"/>
      <c r="J81" s="5"/>
      <c r="K81" s="182"/>
      <c r="L81" s="5"/>
      <c r="M81" s="5"/>
      <c r="N81" s="5"/>
      <c r="O81" s="206">
        <f>IF(O80+1&lt;=MIN('Données projet'!$E$9:$E$18),O80+1,"STOP")</f>
        <v>48</v>
      </c>
      <c r="P81" s="196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9">
        <v>3</v>
      </c>
      <c r="B82" s="212" t="s">
        <v>132</v>
      </c>
      <c r="C82" s="211" t="s">
        <v>132</v>
      </c>
      <c r="D82" s="210" t="s">
        <v>132</v>
      </c>
      <c r="E82" s="205"/>
      <c r="F82" s="261"/>
      <c r="G82" s="220"/>
      <c r="H82" s="202"/>
      <c r="I82" s="203"/>
      <c r="J82" s="5"/>
      <c r="K82" s="182"/>
      <c r="L82" s="5"/>
      <c r="M82" s="5"/>
      <c r="N82" s="5"/>
      <c r="O82" s="206">
        <f>IF(O81+1&lt;=MIN('Données projet'!$E$9:$E$18),O81+1,"STOP")</f>
        <v>49</v>
      </c>
      <c r="P82" s="196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9">
        <v>4</v>
      </c>
      <c r="B83" s="212" t="s">
        <v>132</v>
      </c>
      <c r="C83" s="211" t="s">
        <v>132</v>
      </c>
      <c r="D83" s="210" t="s">
        <v>132</v>
      </c>
      <c r="E83" s="205"/>
      <c r="F83" s="261"/>
      <c r="G83" s="220"/>
      <c r="H83" s="202"/>
      <c r="I83" s="203"/>
      <c r="J83" s="5"/>
      <c r="K83" s="182"/>
      <c r="L83" s="5"/>
      <c r="M83" s="5"/>
      <c r="N83" s="5"/>
      <c r="O83" s="206">
        <f>IF(O82+1&lt;=MIN('Données projet'!$E$9:$E$18),O82+1,"STOP")</f>
        <v>50</v>
      </c>
      <c r="P83" s="196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9">
        <v>5</v>
      </c>
      <c r="B84" s="212" t="s">
        <v>132</v>
      </c>
      <c r="C84" s="211" t="s">
        <v>132</v>
      </c>
      <c r="D84" s="210" t="s">
        <v>132</v>
      </c>
      <c r="E84" s="205"/>
      <c r="F84" s="261"/>
      <c r="G84" s="221"/>
      <c r="H84" s="202"/>
      <c r="I84" s="203"/>
      <c r="J84" s="5"/>
      <c r="K84" s="182"/>
      <c r="L84" s="5"/>
      <c r="M84" s="5"/>
      <c r="N84" s="5"/>
      <c r="O84" s="206">
        <f>IF(O83+1&lt;=MIN('Données projet'!$E$9:$E$18),O83+1,"STOP")</f>
        <v>51</v>
      </c>
      <c r="P84" s="196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1">
        <f>'Données projet'!A88</f>
        <v>20</v>
      </c>
      <c r="B85" s="192">
        <f>'Données projet'!D88</f>
        <v>0</v>
      </c>
      <c r="C85" s="203">
        <v>10</v>
      </c>
      <c r="D85" s="190">
        <f>B85*C85</f>
        <v>0</v>
      </c>
      <c r="E85" s="205"/>
      <c r="F85" s="262"/>
      <c r="G85" s="221"/>
      <c r="H85" s="202"/>
      <c r="I85" s="203"/>
      <c r="J85" s="5"/>
      <c r="K85" s="182"/>
      <c r="L85" s="5"/>
      <c r="M85" s="5"/>
      <c r="N85" s="5"/>
      <c r="O85" s="206">
        <f>IF(O84+1&lt;=MIN('Données projet'!$E$9:$E$18),O84+1,"STOP")</f>
        <v>52</v>
      </c>
      <c r="P85" s="196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1">
        <f>'Données projet'!A89</f>
        <v>25</v>
      </c>
      <c r="B86" s="192">
        <f>'Données projet'!D89</f>
        <v>0</v>
      </c>
      <c r="C86" s="205">
        <v>10</v>
      </c>
      <c r="D86" s="190">
        <f t="shared" ref="D86:D104" si="6">B86*C86</f>
        <v>0</v>
      </c>
      <c r="E86" s="205"/>
      <c r="F86" s="262"/>
      <c r="G86" s="221"/>
      <c r="H86" s="202"/>
      <c r="I86" s="203"/>
      <c r="J86" s="5"/>
      <c r="K86" s="182"/>
      <c r="L86" s="5"/>
      <c r="M86" s="5"/>
      <c r="N86" s="5"/>
      <c r="O86" s="206">
        <f>IF(O85+1&lt;=MIN('Données projet'!$E$9:$E$18),O85+1,"STOP")</f>
        <v>53</v>
      </c>
      <c r="P86" s="196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1">
        <f>'Données projet'!A90</f>
        <v>30</v>
      </c>
      <c r="B87" s="192">
        <f>'Données projet'!D90</f>
        <v>29</v>
      </c>
      <c r="C87" s="205">
        <v>10</v>
      </c>
      <c r="D87" s="190">
        <f t="shared" si="6"/>
        <v>290</v>
      </c>
      <c r="E87" s="205"/>
      <c r="F87" s="262"/>
      <c r="G87" s="221"/>
      <c r="H87" s="202"/>
      <c r="I87" s="203"/>
      <c r="J87" s="5"/>
      <c r="K87" s="182"/>
      <c r="L87" s="5"/>
      <c r="M87" s="5"/>
      <c r="N87" s="5"/>
      <c r="O87" s="206">
        <f>IF(O86+1&lt;=MIN('Données projet'!$E$9:$E$18),O86+1,"STOP")</f>
        <v>54</v>
      </c>
      <c r="P87" s="196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1">
        <f>'Données projet'!A91</f>
        <v>35</v>
      </c>
      <c r="B88" s="192">
        <f>'Données projet'!D91</f>
        <v>0</v>
      </c>
      <c r="C88" s="205">
        <v>10</v>
      </c>
      <c r="D88" s="190">
        <f t="shared" si="6"/>
        <v>0</v>
      </c>
      <c r="E88" s="205"/>
      <c r="F88" s="262"/>
      <c r="G88" s="221"/>
      <c r="H88" s="202"/>
      <c r="I88" s="203"/>
      <c r="J88" s="5"/>
      <c r="K88" s="182"/>
      <c r="L88" s="5"/>
      <c r="M88" s="5"/>
      <c r="N88" s="5"/>
      <c r="O88" s="206">
        <f>IF(O87+1&lt;=MIN('Données projet'!$E$9:$E$18),O87+1,"STOP")</f>
        <v>55</v>
      </c>
      <c r="P88" s="196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1">
        <f>'Données projet'!A92</f>
        <v>40</v>
      </c>
      <c r="B89" s="192">
        <f>'Données projet'!D92</f>
        <v>42</v>
      </c>
      <c r="C89" s="205">
        <v>10</v>
      </c>
      <c r="D89" s="190">
        <f t="shared" si="6"/>
        <v>420</v>
      </c>
      <c r="E89" s="205"/>
      <c r="F89" s="262"/>
      <c r="G89" s="221"/>
      <c r="H89" s="202"/>
      <c r="I89" s="203"/>
      <c r="J89" s="5"/>
      <c r="K89" s="182"/>
      <c r="L89" s="5"/>
      <c r="M89" s="5"/>
      <c r="N89" s="5"/>
      <c r="O89" s="206">
        <f>IF(O88+1&lt;=MIN('Données projet'!$E$9:$E$18),O88+1,"STOP")</f>
        <v>56</v>
      </c>
      <c r="P89" s="196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1">
        <f>'Données projet'!A93</f>
        <v>45</v>
      </c>
      <c r="B90" s="192">
        <f>'Données projet'!D93</f>
        <v>0</v>
      </c>
      <c r="C90" s="205">
        <v>10</v>
      </c>
      <c r="D90" s="190">
        <f t="shared" si="6"/>
        <v>0</v>
      </c>
      <c r="E90" s="205"/>
      <c r="F90" s="262"/>
      <c r="G90" s="221"/>
      <c r="H90" s="202"/>
      <c r="I90" s="203"/>
      <c r="J90" s="5"/>
      <c r="K90" s="182"/>
      <c r="L90" s="5"/>
      <c r="M90" s="5"/>
      <c r="N90" s="5"/>
      <c r="O90" s="206">
        <f>IF(O89+1&lt;=MIN('Données projet'!$E$9:$E$18),O89+1,"STOP")</f>
        <v>57</v>
      </c>
      <c r="P90" s="196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1">
        <f>'Données projet'!A94</f>
        <v>50</v>
      </c>
      <c r="B91" s="192">
        <f>'Données projet'!D94</f>
        <v>42</v>
      </c>
      <c r="C91" s="205">
        <v>15</v>
      </c>
      <c r="D91" s="190">
        <f t="shared" si="6"/>
        <v>630</v>
      </c>
      <c r="E91" s="205"/>
      <c r="F91" s="262"/>
      <c r="G91" s="222"/>
      <c r="H91" s="202"/>
      <c r="I91" s="203"/>
      <c r="J91" s="5"/>
      <c r="K91" s="182"/>
      <c r="L91" s="5"/>
      <c r="M91" s="5"/>
      <c r="N91" s="5"/>
      <c r="O91" s="206">
        <f>IF(O90+1&lt;=MIN('Données projet'!$E$9:$E$18),O90+1,"STOP")</f>
        <v>58</v>
      </c>
      <c r="P91" s="196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1">
        <f>'Données projet'!A95</f>
        <v>55</v>
      </c>
      <c r="B92" s="192">
        <f>'Données projet'!D95</f>
        <v>0</v>
      </c>
      <c r="C92" s="205">
        <v>20</v>
      </c>
      <c r="D92" s="190">
        <f t="shared" si="6"/>
        <v>0</v>
      </c>
      <c r="E92" s="205"/>
      <c r="F92" s="262"/>
      <c r="G92" s="222"/>
      <c r="H92" s="202"/>
      <c r="I92" s="203"/>
      <c r="J92" s="5"/>
      <c r="K92" s="182"/>
      <c r="L92" s="5"/>
      <c r="M92" s="5"/>
      <c r="N92" s="5"/>
      <c r="O92" s="206">
        <f>IF(O91+1&lt;=MIN('Données projet'!$E$9:$E$18),O91+1,"STOP")</f>
        <v>59</v>
      </c>
      <c r="P92" s="196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1">
        <f>'Données projet'!A96</f>
        <v>60</v>
      </c>
      <c r="B93" s="192">
        <f>'Données projet'!D96</f>
        <v>42</v>
      </c>
      <c r="C93" s="205">
        <v>25</v>
      </c>
      <c r="D93" s="190">
        <f t="shared" si="6"/>
        <v>1050</v>
      </c>
      <c r="E93" s="205"/>
      <c r="F93" s="262"/>
      <c r="G93" s="222"/>
      <c r="H93" s="202"/>
      <c r="I93" s="203"/>
      <c r="J93" s="5"/>
      <c r="K93" s="182"/>
      <c r="L93" s="5"/>
      <c r="M93" s="5"/>
      <c r="N93" s="5"/>
      <c r="O93" s="206">
        <f>IF(O92+1&lt;=MIN('Données projet'!$E$9:$E$18),O92+1,"STOP")</f>
        <v>60</v>
      </c>
      <c r="P93" s="196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1">
        <f>'Données projet'!A97</f>
        <v>65</v>
      </c>
      <c r="B94" s="192">
        <f>'Données projet'!D97</f>
        <v>0</v>
      </c>
      <c r="C94" s="205">
        <v>30</v>
      </c>
      <c r="D94" s="190">
        <f t="shared" si="6"/>
        <v>0</v>
      </c>
      <c r="E94" s="205"/>
      <c r="F94" s="262"/>
      <c r="G94" s="222"/>
      <c r="H94" s="202"/>
      <c r="I94" s="203"/>
      <c r="J94" s="5"/>
      <c r="K94" s="182"/>
      <c r="L94" s="5"/>
      <c r="M94" s="5"/>
      <c r="N94" s="5"/>
      <c r="O94" s="206">
        <f>IF(O93+1&lt;=MIN('Données projet'!$E$9:$E$18),O93+1,"STOP")</f>
        <v>61</v>
      </c>
      <c r="P94" s="196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1">
        <f>'Données projet'!A98</f>
        <v>70</v>
      </c>
      <c r="B95" s="192">
        <f>'Données projet'!D98</f>
        <v>42</v>
      </c>
      <c r="C95" s="205">
        <v>35</v>
      </c>
      <c r="D95" s="190">
        <f t="shared" si="6"/>
        <v>1470</v>
      </c>
      <c r="E95" s="205"/>
      <c r="F95" s="262"/>
      <c r="G95" s="222"/>
      <c r="H95" s="202"/>
      <c r="I95" s="203"/>
      <c r="J95" s="5"/>
      <c r="K95" s="182"/>
      <c r="L95" s="5"/>
      <c r="M95" s="5"/>
      <c r="N95" s="5"/>
      <c r="O95" s="206">
        <f>IF(O94+1&lt;=MIN('Données projet'!$E$9:$E$18),O94+1,"STOP")</f>
        <v>62</v>
      </c>
      <c r="P95" s="196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1">
        <f>'Données projet'!A99</f>
        <v>75</v>
      </c>
      <c r="B96" s="192">
        <f>'Données projet'!D99</f>
        <v>0</v>
      </c>
      <c r="C96" s="205">
        <v>40</v>
      </c>
      <c r="D96" s="190">
        <f t="shared" si="6"/>
        <v>0</v>
      </c>
      <c r="E96" s="205"/>
      <c r="F96" s="262"/>
      <c r="G96" s="222"/>
      <c r="H96" s="202"/>
      <c r="I96" s="203"/>
      <c r="J96" s="5"/>
      <c r="K96" s="182"/>
      <c r="L96" s="5"/>
      <c r="M96" s="5"/>
      <c r="N96" s="5"/>
      <c r="O96" s="206">
        <f>IF(O95+1&lt;=MIN('Données projet'!$E$9:$E$18),O95+1,"STOP")</f>
        <v>63</v>
      </c>
      <c r="P96" s="196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1">
        <f>'Données projet'!A100</f>
        <v>80</v>
      </c>
      <c r="B97" s="192">
        <f>'Données projet'!D100</f>
        <v>42</v>
      </c>
      <c r="C97" s="205">
        <v>45</v>
      </c>
      <c r="D97" s="190">
        <f t="shared" si="6"/>
        <v>1890</v>
      </c>
      <c r="E97" s="205"/>
      <c r="F97" s="262"/>
      <c r="G97" s="222"/>
      <c r="H97" s="202"/>
      <c r="I97" s="203"/>
      <c r="J97" s="5"/>
      <c r="K97" s="182"/>
      <c r="L97" s="5"/>
      <c r="M97" s="5"/>
      <c r="N97" s="5"/>
      <c r="O97" s="206">
        <f>IF(O96+1&lt;=MIN('Données projet'!$E$9:$E$18),O96+1,"STOP")</f>
        <v>64</v>
      </c>
      <c r="P97" s="196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1">
        <f>'Données projet'!A101</f>
        <v>90</v>
      </c>
      <c r="B98" s="192">
        <f>'Données projet'!D101</f>
        <v>42</v>
      </c>
      <c r="C98" s="205">
        <v>50</v>
      </c>
      <c r="D98" s="190">
        <f t="shared" si="6"/>
        <v>2100</v>
      </c>
      <c r="E98" s="205"/>
      <c r="F98" s="262"/>
      <c r="G98" s="222"/>
      <c r="H98" s="202"/>
      <c r="I98" s="203"/>
      <c r="J98" s="5"/>
      <c r="K98" s="182"/>
      <c r="L98" s="5"/>
      <c r="M98" s="5"/>
      <c r="N98" s="5"/>
      <c r="O98" s="206">
        <f>IF(O97+1&lt;=MIN('Données projet'!$E$9:$E$18),O97+1,"STOP")</f>
        <v>65</v>
      </c>
      <c r="P98" s="196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1">
        <f>'Données projet'!A102</f>
        <v>100</v>
      </c>
      <c r="B99" s="192">
        <f>'Données projet'!D102</f>
        <v>42</v>
      </c>
      <c r="C99" s="205">
        <v>60</v>
      </c>
      <c r="D99" s="190">
        <f t="shared" si="6"/>
        <v>2520</v>
      </c>
      <c r="E99" s="205"/>
      <c r="F99" s="262"/>
      <c r="G99" s="222"/>
      <c r="H99" s="202"/>
      <c r="I99" s="203"/>
      <c r="J99" s="5"/>
      <c r="K99" s="182"/>
      <c r="L99" s="5"/>
      <c r="M99" s="5"/>
      <c r="N99" s="5"/>
      <c r="O99" s="206">
        <f>IF(O98+1&lt;=MIN('Données projet'!$E$9:$E$18),O98+1,"STOP")</f>
        <v>66</v>
      </c>
      <c r="P99" s="196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1">
        <f>'Données projet'!A103</f>
        <v>110</v>
      </c>
      <c r="B100" s="192">
        <f>'Données projet'!D103</f>
        <v>39</v>
      </c>
      <c r="C100" s="205">
        <v>70</v>
      </c>
      <c r="D100" s="190">
        <f t="shared" si="6"/>
        <v>2730</v>
      </c>
      <c r="E100" s="205"/>
      <c r="F100" s="262"/>
      <c r="G100" s="222"/>
      <c r="H100" s="202"/>
      <c r="I100" s="203"/>
      <c r="J100" s="5"/>
      <c r="K100" s="182"/>
      <c r="L100" s="5"/>
      <c r="M100" s="5"/>
      <c r="N100" s="5"/>
      <c r="O100" s="206">
        <f>IF(O99+1&lt;=MIN('Données projet'!$E$9:$E$18),O99+1,"STOP")</f>
        <v>67</v>
      </c>
      <c r="P100" s="196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1">
        <f>'Données projet'!A104</f>
        <v>120</v>
      </c>
      <c r="B101" s="192">
        <f>'Données projet'!D104</f>
        <v>35</v>
      </c>
      <c r="C101" s="205">
        <v>80</v>
      </c>
      <c r="D101" s="190">
        <f t="shared" si="6"/>
        <v>2800</v>
      </c>
      <c r="E101" s="205"/>
      <c r="F101" s="262"/>
      <c r="G101" s="222"/>
      <c r="H101" s="202"/>
      <c r="I101" s="203"/>
      <c r="J101" s="5"/>
      <c r="K101" s="182"/>
      <c r="L101" s="5"/>
      <c r="M101" s="5"/>
      <c r="N101" s="5"/>
      <c r="O101" s="206">
        <f>IF(O100+1&lt;=MIN('Données projet'!$E$9:$E$18),O100+1,"STOP")</f>
        <v>68</v>
      </c>
      <c r="P101" s="196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1">
        <f>'Données projet'!A105</f>
        <v>130</v>
      </c>
      <c r="B102" s="192">
        <f>'Données projet'!D105</f>
        <v>31</v>
      </c>
      <c r="C102" s="205">
        <v>100</v>
      </c>
      <c r="D102" s="190">
        <f t="shared" si="6"/>
        <v>3100</v>
      </c>
      <c r="E102" s="205"/>
      <c r="F102" s="262"/>
      <c r="G102" s="222"/>
      <c r="H102" s="202"/>
      <c r="I102" s="203"/>
      <c r="J102" s="5"/>
      <c r="K102" s="182"/>
      <c r="L102" s="5"/>
      <c r="M102" s="5"/>
      <c r="N102" s="5"/>
      <c r="O102" s="206">
        <f>IF(O101+1&lt;=MIN('Données projet'!$E$9:$E$18),O101+1,"STOP")</f>
        <v>69</v>
      </c>
      <c r="P102" s="196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1">
        <f>'Données projet'!A106</f>
        <v>140</v>
      </c>
      <c r="B103" s="192">
        <f>'Données projet'!D106</f>
        <v>27</v>
      </c>
      <c r="C103" s="205">
        <v>150</v>
      </c>
      <c r="D103" s="190">
        <f t="shared" si="6"/>
        <v>4050</v>
      </c>
      <c r="E103" s="205"/>
      <c r="F103" s="262"/>
      <c r="G103" s="222"/>
      <c r="H103" s="202"/>
      <c r="I103" s="203"/>
      <c r="J103" s="5"/>
      <c r="K103" s="182"/>
      <c r="L103" s="5"/>
      <c r="M103" s="5"/>
      <c r="N103" s="5"/>
      <c r="O103" s="206" t="str">
        <f>IF(O102+1&lt;=MIN('Données projet'!$E$9:$E$18),O102+1,"STOP")</f>
        <v>STOP</v>
      </c>
      <c r="P103" s="196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1">
        <f>'Données projet'!A107</f>
        <v>150</v>
      </c>
      <c r="B104" s="192">
        <f>'Données projet'!D107</f>
        <v>293</v>
      </c>
      <c r="C104" s="205">
        <v>200</v>
      </c>
      <c r="D104" s="190">
        <f t="shared" si="6"/>
        <v>58600</v>
      </c>
      <c r="E104" s="205"/>
      <c r="F104" s="262"/>
      <c r="G104" s="222"/>
      <c r="H104" s="202"/>
      <c r="I104" s="203"/>
      <c r="J104" s="5"/>
      <c r="K104" s="182"/>
      <c r="L104" s="5"/>
      <c r="M104" s="5"/>
      <c r="N104" s="5"/>
      <c r="O104" s="206" t="e">
        <f>IF(O103+1&lt;=MIN('Données projet'!$E$9:$E$18),O103+1,"STOP")</f>
        <v>#VALUE!</v>
      </c>
      <c r="P104" s="196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0"/>
      <c r="G105" s="222"/>
      <c r="H105" s="202"/>
      <c r="I105" s="203"/>
      <c r="J105" s="5"/>
      <c r="K105" s="182"/>
      <c r="L105" s="5"/>
      <c r="M105" s="5"/>
      <c r="N105" s="5"/>
      <c r="O105" s="206" t="e">
        <f>IF(O104+1&lt;=MIN('Données projet'!$E$9:$E$18),O104+1,"STOP")</f>
        <v>#VALUE!</v>
      </c>
      <c r="P105" s="196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0"/>
      <c r="G106" s="222"/>
      <c r="H106" s="202"/>
      <c r="I106" s="203"/>
      <c r="J106" s="5"/>
      <c r="K106" s="182"/>
      <c r="L106" s="5"/>
      <c r="M106" s="5"/>
      <c r="N106" s="5"/>
      <c r="O106" s="206" t="e">
        <f>IF(O105+1&lt;=MIN('Données projet'!$E$9:$E$18),O105+1,"STOP")</f>
        <v>#VALUE!</v>
      </c>
      <c r="P106" s="196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5" t="str">
        <f>IF('Données projet'!B12="","",'Données projet'!B12)</f>
        <v>Cormier</v>
      </c>
      <c r="C107" s="5"/>
      <c r="D107" s="5"/>
      <c r="E107" s="5"/>
      <c r="F107" s="260"/>
      <c r="G107" s="222"/>
      <c r="H107" s="202"/>
      <c r="I107" s="203"/>
      <c r="J107" s="5"/>
      <c r="K107" s="182"/>
      <c r="L107" s="5"/>
      <c r="M107" s="5"/>
      <c r="N107" s="5"/>
      <c r="O107" s="206" t="e">
        <f>IF(O106+1&lt;=MIN('Données projet'!$E$9:$E$18),O106+1,"STOP")</f>
        <v>#VALUE!</v>
      </c>
      <c r="P107" s="196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0"/>
      <c r="G108" s="222"/>
      <c r="H108" s="202"/>
      <c r="I108" s="203"/>
      <c r="J108" s="5"/>
      <c r="K108" s="182"/>
      <c r="L108" s="5"/>
      <c r="M108" s="5"/>
      <c r="N108" s="5"/>
      <c r="O108" s="206" t="e">
        <f>IF(O107+1&lt;=MIN('Données projet'!$E$9:$E$18),O107+1,"STOP")</f>
        <v>#VALUE!</v>
      </c>
      <c r="P108" s="196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2"/>
      <c r="I109" s="203"/>
      <c r="J109" s="5"/>
      <c r="K109" s="182"/>
      <c r="L109" s="5"/>
      <c r="M109" s="5"/>
      <c r="N109" s="5"/>
      <c r="O109" s="206" t="e">
        <f>IF(O108+1&lt;=MIN('Données projet'!$E$9:$E$18),O108+1,"STOP")</f>
        <v>#VALUE!</v>
      </c>
      <c r="P109" s="196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9">
        <v>0</v>
      </c>
      <c r="B110" s="212" t="s">
        <v>132</v>
      </c>
      <c r="C110" s="211" t="s">
        <v>132</v>
      </c>
      <c r="D110" s="210" t="s">
        <v>132</v>
      </c>
      <c r="E110" s="205"/>
      <c r="F110" s="261"/>
      <c r="G110" s="222"/>
      <c r="H110" s="202"/>
      <c r="I110" s="203"/>
      <c r="J110" s="5"/>
      <c r="K110" s="182"/>
      <c r="L110" s="5"/>
      <c r="M110" s="5"/>
      <c r="N110" s="5"/>
      <c r="O110" s="206" t="e">
        <f>IF(O109+1&lt;=MIN('Données projet'!$E$9:$E$18),O109+1,"STOP")</f>
        <v>#VALUE!</v>
      </c>
      <c r="P110" s="196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9">
        <v>1</v>
      </c>
      <c r="B111" s="212" t="s">
        <v>132</v>
      </c>
      <c r="C111" s="211" t="s">
        <v>132</v>
      </c>
      <c r="D111" s="210" t="s">
        <v>132</v>
      </c>
      <c r="E111" s="205"/>
      <c r="F111" s="261"/>
      <c r="G111" s="220"/>
      <c r="H111" s="202"/>
      <c r="I111" s="203"/>
      <c r="J111" s="5"/>
      <c r="K111" s="182"/>
      <c r="L111" s="5"/>
      <c r="M111" s="5"/>
      <c r="N111" s="5"/>
      <c r="O111" s="206" t="e">
        <f>IF(O110+1&lt;=MIN('Données projet'!$E$9:$E$18),O110+1,"STOP")</f>
        <v>#VALUE!</v>
      </c>
      <c r="P111" s="196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9">
        <v>2</v>
      </c>
      <c r="B112" s="212" t="s">
        <v>132</v>
      </c>
      <c r="C112" s="211" t="s">
        <v>132</v>
      </c>
      <c r="D112" s="210" t="s">
        <v>132</v>
      </c>
      <c r="E112" s="205"/>
      <c r="F112" s="261"/>
      <c r="G112" s="220"/>
      <c r="H112" s="202"/>
      <c r="I112" s="203"/>
      <c r="J112" s="5"/>
      <c r="K112" s="182"/>
      <c r="L112" s="5"/>
      <c r="M112" s="5"/>
      <c r="N112" s="5"/>
      <c r="O112" s="206" t="e">
        <f>IF(O111+1&lt;=MIN('Données projet'!$E$9:$E$18),O111+1,"STOP")</f>
        <v>#VALUE!</v>
      </c>
      <c r="P112" s="196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9">
        <v>3</v>
      </c>
      <c r="B113" s="212" t="s">
        <v>132</v>
      </c>
      <c r="C113" s="211" t="s">
        <v>132</v>
      </c>
      <c r="D113" s="210" t="s">
        <v>132</v>
      </c>
      <c r="E113" s="205"/>
      <c r="F113" s="261"/>
      <c r="G113" s="220"/>
      <c r="H113" s="202"/>
      <c r="I113" s="203"/>
      <c r="J113" s="5"/>
      <c r="K113" s="182"/>
      <c r="L113" s="5"/>
      <c r="M113" s="5"/>
      <c r="N113" s="5"/>
      <c r="O113" s="206" t="e">
        <f>IF(O112+1&lt;=MIN('Données projet'!$E$9:$E$18),O112+1,"STOP")</f>
        <v>#VALUE!</v>
      </c>
      <c r="P113" s="196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9">
        <v>4</v>
      </c>
      <c r="B114" s="212" t="s">
        <v>132</v>
      </c>
      <c r="C114" s="211" t="s">
        <v>132</v>
      </c>
      <c r="D114" s="210" t="s">
        <v>132</v>
      </c>
      <c r="E114" s="205"/>
      <c r="F114" s="261"/>
      <c r="G114" s="220"/>
      <c r="H114" s="202"/>
      <c r="I114" s="203"/>
      <c r="J114" s="5"/>
      <c r="K114" s="182"/>
      <c r="L114" s="5"/>
      <c r="M114" s="5"/>
      <c r="N114" s="5"/>
      <c r="O114" s="206" t="e">
        <f>IF(O113+1&lt;=MIN('Données projet'!$E$9:$E$18),O113+1,"STOP")</f>
        <v>#VALUE!</v>
      </c>
      <c r="P114" s="196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9">
        <v>5</v>
      </c>
      <c r="B115" s="212" t="s">
        <v>132</v>
      </c>
      <c r="C115" s="211" t="s">
        <v>132</v>
      </c>
      <c r="D115" s="210" t="s">
        <v>132</v>
      </c>
      <c r="E115" s="205"/>
      <c r="F115" s="261"/>
      <c r="G115" s="221"/>
      <c r="H115" s="202"/>
      <c r="I115" s="203"/>
      <c r="J115" s="5"/>
      <c r="K115" s="182"/>
      <c r="L115" s="5"/>
      <c r="M115" s="5"/>
      <c r="N115" s="5"/>
      <c r="O115" s="206" t="e">
        <f>IF(O114+1&lt;=MIN('Données projet'!$E$9:$E$18),O114+1,"STOP")</f>
        <v>#VALUE!</v>
      </c>
      <c r="P115" s="196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1">
        <f>'Données projet'!A114</f>
        <v>20</v>
      </c>
      <c r="B116" s="192">
        <f>'Données projet'!D114</f>
        <v>0</v>
      </c>
      <c r="C116" s="203">
        <v>10</v>
      </c>
      <c r="D116" s="190">
        <f>B116*C116</f>
        <v>0</v>
      </c>
      <c r="E116" s="205"/>
      <c r="F116" s="262"/>
      <c r="G116" s="221"/>
      <c r="H116" s="202"/>
      <c r="I116" s="203"/>
      <c r="J116" s="5"/>
      <c r="K116" s="182"/>
      <c r="L116" s="5"/>
      <c r="M116" s="5"/>
      <c r="N116" s="5"/>
      <c r="O116" s="206" t="e">
        <f>IF(O115+1&lt;=MIN('Données projet'!$E$9:$E$18),O115+1,"STOP")</f>
        <v>#VALUE!</v>
      </c>
      <c r="P116" s="196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1">
        <f>'Données projet'!A115</f>
        <v>25</v>
      </c>
      <c r="B117" s="192">
        <f>'Données projet'!D115</f>
        <v>0</v>
      </c>
      <c r="C117" s="205">
        <v>10</v>
      </c>
      <c r="D117" s="190">
        <f>B117*C117</f>
        <v>0</v>
      </c>
      <c r="E117" s="205"/>
      <c r="F117" s="262"/>
      <c r="G117" s="221"/>
      <c r="H117" s="202"/>
      <c r="I117" s="203"/>
      <c r="J117" s="5"/>
      <c r="K117" s="182"/>
      <c r="L117" s="5"/>
      <c r="M117" s="5"/>
      <c r="N117" s="5"/>
      <c r="O117" s="206" t="e">
        <f>IF(O116+1&lt;=MIN('Données projet'!$E$9:$E$18),O116+1,"STOP")</f>
        <v>#VALUE!</v>
      </c>
      <c r="P117" s="196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1">
        <f>'Données projet'!A116</f>
        <v>30</v>
      </c>
      <c r="B118" s="192">
        <f>'Données projet'!D116</f>
        <v>29</v>
      </c>
      <c r="C118" s="205">
        <v>10</v>
      </c>
      <c r="D118" s="190">
        <f>B118*C118</f>
        <v>290</v>
      </c>
      <c r="E118" s="205"/>
      <c r="F118" s="262"/>
      <c r="G118" s="221"/>
      <c r="H118" s="202"/>
      <c r="I118" s="203"/>
      <c r="J118" s="5"/>
      <c r="K118" s="182"/>
      <c r="L118" s="5"/>
      <c r="M118" s="5"/>
      <c r="N118" s="5"/>
      <c r="O118" s="206" t="e">
        <f>IF(O117+1&lt;=MIN('Données projet'!$E$9:$E$18),O117+1,"STOP")</f>
        <v>#VALUE!</v>
      </c>
      <c r="P118" s="196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1">
        <f>'Données projet'!A117</f>
        <v>35</v>
      </c>
      <c r="B119" s="192">
        <f>'Données projet'!D117</f>
        <v>0</v>
      </c>
      <c r="C119" s="205">
        <v>10</v>
      </c>
      <c r="D119" s="190">
        <f t="shared" ref="D119:D135" si="8">B119*C119</f>
        <v>0</v>
      </c>
      <c r="E119" s="205"/>
      <c r="F119" s="262"/>
      <c r="G119" s="221"/>
      <c r="H119" s="202"/>
      <c r="I119" s="203"/>
      <c r="J119" s="5"/>
      <c r="K119" s="182"/>
      <c r="L119" s="5"/>
      <c r="M119" s="5"/>
      <c r="N119" s="5"/>
      <c r="O119" s="206" t="e">
        <f>IF(O118+1&lt;=MIN('Données projet'!$E$9:$E$18),O118+1,"STOP")</f>
        <v>#VALUE!</v>
      </c>
      <c r="P119" s="196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1">
        <f>'Données projet'!A118</f>
        <v>40</v>
      </c>
      <c r="B120" s="192">
        <f>'Données projet'!D118</f>
        <v>42</v>
      </c>
      <c r="C120" s="205">
        <v>10</v>
      </c>
      <c r="D120" s="190">
        <f t="shared" si="8"/>
        <v>420</v>
      </c>
      <c r="E120" s="205"/>
      <c r="F120" s="262"/>
      <c r="G120" s="221"/>
      <c r="H120" s="202"/>
      <c r="I120" s="203"/>
      <c r="J120" s="5"/>
      <c r="K120" s="182"/>
      <c r="L120" s="5"/>
      <c r="M120" s="5"/>
      <c r="N120" s="5"/>
      <c r="O120" s="206" t="e">
        <f>IF(O119+1&lt;=MIN('Données projet'!$E$9:$E$18),O119+1,"STOP")</f>
        <v>#VALUE!</v>
      </c>
      <c r="P120" s="196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1">
        <f>'Données projet'!A119</f>
        <v>45</v>
      </c>
      <c r="B121" s="192">
        <f>'Données projet'!D119</f>
        <v>0</v>
      </c>
      <c r="C121" s="205">
        <v>10</v>
      </c>
      <c r="D121" s="190">
        <f t="shared" si="8"/>
        <v>0</v>
      </c>
      <c r="E121" s="205"/>
      <c r="F121" s="262"/>
      <c r="G121" s="221"/>
      <c r="H121" s="202"/>
      <c r="I121" s="203"/>
      <c r="J121" s="5"/>
      <c r="K121" s="182"/>
      <c r="L121" s="5"/>
      <c r="M121" s="5"/>
      <c r="N121" s="5"/>
      <c r="O121" s="206" t="e">
        <f>IF(O120+1&lt;=MIN('Données projet'!$E$9:$E$18),O120+1,"STOP")</f>
        <v>#VALUE!</v>
      </c>
      <c r="P121" s="196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1">
        <f>'Données projet'!A120</f>
        <v>50</v>
      </c>
      <c r="B122" s="192">
        <f>'Données projet'!D120</f>
        <v>42</v>
      </c>
      <c r="C122" s="205">
        <v>15</v>
      </c>
      <c r="D122" s="190">
        <f t="shared" si="8"/>
        <v>630</v>
      </c>
      <c r="E122" s="205"/>
      <c r="F122" s="262"/>
      <c r="G122" s="222"/>
      <c r="H122" s="202"/>
      <c r="I122" s="203"/>
      <c r="J122" s="5"/>
      <c r="K122" s="182"/>
      <c r="L122" s="5"/>
      <c r="M122" s="5"/>
      <c r="N122" s="5"/>
      <c r="O122" s="206" t="e">
        <f>IF(O121+1&lt;=MIN('Données projet'!$E$9:$E$18),O121+1,"STOP")</f>
        <v>#VALUE!</v>
      </c>
      <c r="P122" s="196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1">
        <f>'Données projet'!A121</f>
        <v>55</v>
      </c>
      <c r="B123" s="192">
        <f>'Données projet'!D121</f>
        <v>0</v>
      </c>
      <c r="C123" s="205">
        <v>20</v>
      </c>
      <c r="D123" s="190">
        <f t="shared" si="8"/>
        <v>0</v>
      </c>
      <c r="E123" s="205"/>
      <c r="F123" s="262"/>
      <c r="G123" s="222"/>
      <c r="H123" s="202"/>
      <c r="I123" s="203"/>
      <c r="J123" s="5"/>
      <c r="K123" s="182"/>
      <c r="L123" s="5"/>
      <c r="M123" s="5"/>
      <c r="N123" s="5"/>
      <c r="O123" s="206" t="e">
        <f>IF(O122+1&lt;=MIN('Données projet'!$E$9:$E$18),O122+1,"STOP")</f>
        <v>#VALUE!</v>
      </c>
      <c r="P123" s="196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1">
        <f>'Données projet'!A122</f>
        <v>60</v>
      </c>
      <c r="B124" s="192">
        <f>'Données projet'!D122</f>
        <v>42</v>
      </c>
      <c r="C124" s="205">
        <v>25</v>
      </c>
      <c r="D124" s="190">
        <f t="shared" si="8"/>
        <v>1050</v>
      </c>
      <c r="E124" s="205"/>
      <c r="F124" s="262"/>
      <c r="G124" s="222"/>
      <c r="H124" s="202"/>
      <c r="I124" s="203"/>
      <c r="J124" s="5"/>
      <c r="K124" s="182"/>
      <c r="L124" s="5"/>
      <c r="M124" s="5"/>
      <c r="N124" s="5"/>
      <c r="O124" s="206" t="e">
        <f>IF(O123+1&lt;=MIN('Données projet'!$E$9:$E$18),O123+1,"STOP")</f>
        <v>#VALUE!</v>
      </c>
      <c r="P124" s="196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1">
        <f>'Données projet'!A123</f>
        <v>65</v>
      </c>
      <c r="B125" s="192">
        <f>'Données projet'!D123</f>
        <v>0</v>
      </c>
      <c r="C125" s="205">
        <v>30</v>
      </c>
      <c r="D125" s="190">
        <f t="shared" si="8"/>
        <v>0</v>
      </c>
      <c r="E125" s="205"/>
      <c r="F125" s="262"/>
      <c r="G125" s="222"/>
      <c r="H125" s="202"/>
      <c r="I125" s="203"/>
      <c r="J125" s="5"/>
      <c r="K125" s="182"/>
      <c r="L125" s="5"/>
      <c r="M125" s="5"/>
      <c r="N125" s="5"/>
      <c r="O125" s="206" t="e">
        <f>IF(O124+1&lt;=MIN('Données projet'!$E$9:$E$18),O124+1,"STOP")</f>
        <v>#VALUE!</v>
      </c>
      <c r="P125" s="196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1">
        <f>'Données projet'!A124</f>
        <v>70</v>
      </c>
      <c r="B126" s="192">
        <f>'Données projet'!D124</f>
        <v>42</v>
      </c>
      <c r="C126" s="205">
        <v>35</v>
      </c>
      <c r="D126" s="190">
        <f t="shared" si="8"/>
        <v>1470</v>
      </c>
      <c r="E126" s="205"/>
      <c r="F126" s="262"/>
      <c r="G126" s="222"/>
      <c r="H126" s="202"/>
      <c r="I126" s="203"/>
      <c r="J126" s="5"/>
      <c r="K126" s="182"/>
      <c r="L126" s="5"/>
      <c r="M126" s="5"/>
      <c r="N126" s="5"/>
      <c r="O126" s="206" t="e">
        <f>IF(O125+1&lt;=MIN('Données projet'!$E$9:$E$18),O125+1,"STOP")</f>
        <v>#VALUE!</v>
      </c>
      <c r="P126" s="196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1">
        <f>'Données projet'!A125</f>
        <v>75</v>
      </c>
      <c r="B127" s="192">
        <f>'Données projet'!D125</f>
        <v>0</v>
      </c>
      <c r="C127" s="205">
        <v>40</v>
      </c>
      <c r="D127" s="190">
        <f t="shared" si="8"/>
        <v>0</v>
      </c>
      <c r="E127" s="205"/>
      <c r="F127" s="262"/>
      <c r="G127" s="222"/>
      <c r="H127" s="202"/>
      <c r="I127" s="203"/>
      <c r="J127" s="5"/>
      <c r="K127" s="182"/>
      <c r="L127" s="5"/>
      <c r="M127" s="5"/>
      <c r="N127" s="5"/>
      <c r="O127" s="206" t="e">
        <f>IF(O126+1&lt;=MIN('Données projet'!$E$9:$E$18),O126+1,"STOP")</f>
        <v>#VALUE!</v>
      </c>
      <c r="P127" s="196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1">
        <f>'Données projet'!A126</f>
        <v>80</v>
      </c>
      <c r="B128" s="192">
        <f>'Données projet'!D126</f>
        <v>42</v>
      </c>
      <c r="C128" s="205">
        <v>45</v>
      </c>
      <c r="D128" s="190">
        <f t="shared" si="8"/>
        <v>1890</v>
      </c>
      <c r="E128" s="205"/>
      <c r="F128" s="262"/>
      <c r="G128" s="222"/>
      <c r="H128" s="202"/>
      <c r="I128" s="203"/>
      <c r="J128" s="5"/>
      <c r="K128" s="182"/>
      <c r="L128" s="5"/>
      <c r="M128" s="5"/>
      <c r="N128" s="5"/>
      <c r="O128" s="206" t="e">
        <f>IF(O127+1&lt;=MIN('Données projet'!$E$9:$E$18),O127+1,"STOP")</f>
        <v>#VALUE!</v>
      </c>
      <c r="P128" s="196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1">
        <f>'Données projet'!A127</f>
        <v>90</v>
      </c>
      <c r="B129" s="192">
        <f>'Données projet'!D127</f>
        <v>42</v>
      </c>
      <c r="C129" s="205">
        <v>50</v>
      </c>
      <c r="D129" s="190">
        <f t="shared" si="8"/>
        <v>2100</v>
      </c>
      <c r="E129" s="205"/>
      <c r="F129" s="262"/>
      <c r="G129" s="222"/>
      <c r="H129" s="202"/>
      <c r="I129" s="203"/>
      <c r="J129" s="5"/>
      <c r="K129" s="182"/>
      <c r="L129" s="5"/>
      <c r="M129" s="5"/>
      <c r="N129" s="5"/>
      <c r="O129" s="206" t="e">
        <f>IF(O128+1&lt;=MIN('Données projet'!$E$9:$E$18),O128+1,"STOP")</f>
        <v>#VALUE!</v>
      </c>
      <c r="P129" s="196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1">
        <f>'Données projet'!A128</f>
        <v>100</v>
      </c>
      <c r="B130" s="192">
        <f>'Données projet'!D128</f>
        <v>42</v>
      </c>
      <c r="C130" s="205">
        <v>60</v>
      </c>
      <c r="D130" s="190">
        <f t="shared" si="8"/>
        <v>2520</v>
      </c>
      <c r="E130" s="205"/>
      <c r="F130" s="262"/>
      <c r="G130" s="222"/>
      <c r="H130" s="202"/>
      <c r="I130" s="203"/>
      <c r="J130" s="5"/>
      <c r="K130" s="182"/>
      <c r="L130" s="5"/>
      <c r="M130" s="5"/>
      <c r="N130" s="5"/>
      <c r="O130" s="206" t="e">
        <f>IF(O129+1&lt;=MIN('Données projet'!$E$9:$E$18),O129+1,"STOP")</f>
        <v>#VALUE!</v>
      </c>
      <c r="P130" s="196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1">
        <f>'Données projet'!A129</f>
        <v>110</v>
      </c>
      <c r="B131" s="192">
        <f>'Données projet'!D129</f>
        <v>39</v>
      </c>
      <c r="C131" s="205">
        <v>70</v>
      </c>
      <c r="D131" s="190">
        <f t="shared" si="8"/>
        <v>2730</v>
      </c>
      <c r="E131" s="205"/>
      <c r="F131" s="262"/>
      <c r="G131" s="222"/>
      <c r="H131" s="202"/>
      <c r="I131" s="203"/>
      <c r="J131" s="5"/>
      <c r="K131" s="182"/>
      <c r="L131" s="5"/>
      <c r="M131" s="5"/>
      <c r="N131" s="5"/>
      <c r="O131" s="206" t="e">
        <f>IF(O130+1&lt;=MIN('Données projet'!$E$9:$E$18),O130+1,"STOP")</f>
        <v>#VALUE!</v>
      </c>
      <c r="P131" s="196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1">
        <f>'Données projet'!A130</f>
        <v>120</v>
      </c>
      <c r="B132" s="192">
        <f>'Données projet'!D130</f>
        <v>35</v>
      </c>
      <c r="C132" s="205">
        <v>80</v>
      </c>
      <c r="D132" s="190">
        <f t="shared" si="8"/>
        <v>2800</v>
      </c>
      <c r="E132" s="205"/>
      <c r="F132" s="262"/>
      <c r="G132" s="222"/>
      <c r="H132" s="202"/>
      <c r="I132" s="203"/>
      <c r="J132" s="5"/>
      <c r="K132" s="182"/>
      <c r="L132" s="5"/>
      <c r="M132" s="5"/>
      <c r="N132" s="5"/>
      <c r="O132" s="206" t="e">
        <f>IF(O131+1&lt;=MIN('Données projet'!$E$9:$E$18),O131+1,"STOP")</f>
        <v>#VALUE!</v>
      </c>
      <c r="P132" s="196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1">
        <f>'Données projet'!A131</f>
        <v>130</v>
      </c>
      <c r="B133" s="192">
        <f>'Données projet'!D131</f>
        <v>31</v>
      </c>
      <c r="C133" s="205">
        <v>100</v>
      </c>
      <c r="D133" s="190">
        <f t="shared" si="8"/>
        <v>3100</v>
      </c>
      <c r="E133" s="205"/>
      <c r="F133" s="262"/>
      <c r="G133" s="222"/>
      <c r="H133" s="202"/>
      <c r="I133" s="203"/>
      <c r="J133" s="5"/>
      <c r="K133" s="182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1">
        <f>'Données projet'!A132</f>
        <v>140</v>
      </c>
      <c r="B134" s="192">
        <f>'Données projet'!D132</f>
        <v>27</v>
      </c>
      <c r="C134" s="205">
        <v>150</v>
      </c>
      <c r="D134" s="190">
        <f t="shared" si="8"/>
        <v>4050</v>
      </c>
      <c r="E134" s="205"/>
      <c r="F134" s="262"/>
      <c r="G134" s="222"/>
      <c r="H134" s="202"/>
      <c r="I134" s="203"/>
      <c r="J134" s="5"/>
      <c r="K134" s="182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1">
        <f>'Données projet'!A133</f>
        <v>150</v>
      </c>
      <c r="B135" s="192">
        <f>'Données projet'!D133</f>
        <v>293</v>
      </c>
      <c r="C135" s="205">
        <v>200</v>
      </c>
      <c r="D135" s="190">
        <f t="shared" si="8"/>
        <v>58600</v>
      </c>
      <c r="E135" s="205"/>
      <c r="F135" s="262"/>
      <c r="G135" s="222"/>
      <c r="H135" s="202"/>
      <c r="I135" s="203"/>
      <c r="J135" s="5"/>
      <c r="K135" s="182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0"/>
      <c r="G136" s="222"/>
      <c r="H136" s="202"/>
      <c r="I136" s="203"/>
      <c r="J136" s="5"/>
      <c r="K136" s="182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0"/>
      <c r="G137" s="222"/>
      <c r="H137" s="202"/>
      <c r="I137" s="203"/>
      <c r="J137" s="5"/>
      <c r="K137" s="182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5" t="str">
        <f>IF('Données projet'!B13="","",'Données projet'!B13)</f>
        <v>Merisier</v>
      </c>
      <c r="C138" s="5"/>
      <c r="D138" s="5"/>
      <c r="E138" s="5"/>
      <c r="F138" s="260"/>
      <c r="G138" s="222"/>
      <c r="H138" s="202"/>
      <c r="I138" s="203"/>
      <c r="J138" s="5"/>
      <c r="K138" s="182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0"/>
      <c r="G139" s="222"/>
      <c r="H139" s="202"/>
      <c r="I139" s="203"/>
      <c r="J139" s="5"/>
      <c r="K139" s="182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2"/>
      <c r="I140" s="203"/>
      <c r="J140" s="5"/>
      <c r="K140" s="182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9">
        <v>0</v>
      </c>
      <c r="B141" s="212" t="s">
        <v>132</v>
      </c>
      <c r="C141" s="211" t="s">
        <v>132</v>
      </c>
      <c r="D141" s="210" t="s">
        <v>132</v>
      </c>
      <c r="E141" s="205"/>
      <c r="F141" s="261"/>
      <c r="G141" s="222"/>
      <c r="H141" s="202"/>
      <c r="I141" s="203"/>
      <c r="J141" s="5"/>
      <c r="K141" s="182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9">
        <v>1</v>
      </c>
      <c r="B142" s="212" t="s">
        <v>132</v>
      </c>
      <c r="C142" s="211" t="s">
        <v>132</v>
      </c>
      <c r="D142" s="210" t="s">
        <v>132</v>
      </c>
      <c r="E142" s="205"/>
      <c r="F142" s="261"/>
      <c r="G142" s="220"/>
      <c r="H142" s="202"/>
      <c r="I142" s="203"/>
      <c r="J142" s="5"/>
      <c r="K142" s="182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9">
        <v>2</v>
      </c>
      <c r="B143" s="212" t="s">
        <v>132</v>
      </c>
      <c r="C143" s="211" t="s">
        <v>132</v>
      </c>
      <c r="D143" s="210" t="s">
        <v>132</v>
      </c>
      <c r="E143" s="205"/>
      <c r="F143" s="261"/>
      <c r="G143" s="220"/>
      <c r="H143" s="202"/>
      <c r="I143" s="203"/>
      <c r="J143" s="5"/>
      <c r="K143" s="182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9">
        <v>3</v>
      </c>
      <c r="B144" s="212" t="s">
        <v>132</v>
      </c>
      <c r="C144" s="211" t="s">
        <v>132</v>
      </c>
      <c r="D144" s="210" t="s">
        <v>132</v>
      </c>
      <c r="E144" s="205"/>
      <c r="F144" s="261"/>
      <c r="G144" s="220"/>
      <c r="H144" s="202"/>
      <c r="I144" s="203"/>
      <c r="J144" s="5"/>
      <c r="K144" s="182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9">
        <v>4</v>
      </c>
      <c r="B145" s="212" t="s">
        <v>132</v>
      </c>
      <c r="C145" s="211" t="s">
        <v>132</v>
      </c>
      <c r="D145" s="210" t="s">
        <v>132</v>
      </c>
      <c r="E145" s="205"/>
      <c r="F145" s="261"/>
      <c r="G145" s="220"/>
      <c r="H145" s="202"/>
      <c r="I145" s="203"/>
      <c r="J145" s="5"/>
      <c r="K145" s="182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9">
        <v>5</v>
      </c>
      <c r="B146" s="212" t="s">
        <v>132</v>
      </c>
      <c r="C146" s="211" t="s">
        <v>132</v>
      </c>
      <c r="D146" s="210" t="s">
        <v>132</v>
      </c>
      <c r="E146" s="205"/>
      <c r="F146" s="261"/>
      <c r="G146" s="221"/>
      <c r="H146" s="202"/>
      <c r="I146" s="203"/>
      <c r="J146" s="5"/>
      <c r="K146" s="182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6">
        <f>'Données projet'!D140</f>
        <v>0</v>
      </c>
      <c r="C147" s="203"/>
      <c r="D147" s="193">
        <f>B147*C147</f>
        <v>0</v>
      </c>
      <c r="E147" s="205"/>
      <c r="F147" s="263"/>
      <c r="G147" s="221"/>
      <c r="H147" s="202"/>
      <c r="I147" s="203"/>
      <c r="J147" s="5"/>
      <c r="K147" s="182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6">
        <f>'Données projet'!D141</f>
        <v>28</v>
      </c>
      <c r="C148" s="203">
        <v>10</v>
      </c>
      <c r="D148" s="193">
        <f t="shared" ref="D148:D166" si="10">B148*C148</f>
        <v>280</v>
      </c>
      <c r="E148" s="205"/>
      <c r="F148" s="263"/>
      <c r="G148" s="221"/>
      <c r="H148" s="202"/>
      <c r="I148" s="203"/>
      <c r="J148" s="5"/>
      <c r="K148" s="182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6">
        <f>'Données projet'!D142</f>
        <v>27</v>
      </c>
      <c r="C149" s="203">
        <v>10</v>
      </c>
      <c r="D149" s="193">
        <f t="shared" si="10"/>
        <v>270</v>
      </c>
      <c r="E149" s="205"/>
      <c r="F149" s="263"/>
      <c r="G149" s="221"/>
      <c r="H149" s="202"/>
      <c r="I149" s="203"/>
      <c r="J149" s="5"/>
      <c r="K149" s="182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31</v>
      </c>
      <c r="B150" s="186">
        <f>'Données projet'!D143</f>
        <v>36</v>
      </c>
      <c r="C150" s="203">
        <v>15</v>
      </c>
      <c r="D150" s="193">
        <f t="shared" si="10"/>
        <v>540</v>
      </c>
      <c r="E150" s="205"/>
      <c r="F150" s="263"/>
      <c r="G150" s="221"/>
      <c r="H150" s="202"/>
      <c r="I150" s="203"/>
      <c r="J150" s="5"/>
      <c r="K150" s="182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37</v>
      </c>
      <c r="B151" s="186">
        <f>'Données projet'!D144</f>
        <v>36</v>
      </c>
      <c r="C151" s="203">
        <v>20</v>
      </c>
      <c r="D151" s="193">
        <f t="shared" si="10"/>
        <v>720</v>
      </c>
      <c r="E151" s="205"/>
      <c r="F151" s="263"/>
      <c r="G151" s="221"/>
      <c r="H151" s="202"/>
      <c r="I151" s="203"/>
      <c r="J151" s="5"/>
      <c r="K151" s="182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44</v>
      </c>
      <c r="B152" s="186">
        <f>'Données projet'!D145</f>
        <v>43</v>
      </c>
      <c r="C152" s="203">
        <v>40</v>
      </c>
      <c r="D152" s="193">
        <f t="shared" si="10"/>
        <v>1720</v>
      </c>
      <c r="E152" s="205"/>
      <c r="F152" s="263"/>
      <c r="G152" s="221"/>
      <c r="H152" s="202"/>
      <c r="I152" s="203"/>
      <c r="J152" s="5"/>
      <c r="K152" s="182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52</v>
      </c>
      <c r="B153" s="186">
        <f>'Données projet'!D146</f>
        <v>48</v>
      </c>
      <c r="C153" s="203">
        <v>50</v>
      </c>
      <c r="D153" s="193">
        <f t="shared" si="10"/>
        <v>2400</v>
      </c>
      <c r="E153" s="205"/>
      <c r="F153" s="263"/>
      <c r="G153" s="217"/>
      <c r="H153" s="202"/>
      <c r="I153" s="203"/>
      <c r="J153" s="5"/>
      <c r="K153" s="182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60</v>
      </c>
      <c r="B154" s="186">
        <f>'Données projet'!D147</f>
        <v>47</v>
      </c>
      <c r="C154" s="203">
        <v>80</v>
      </c>
      <c r="D154" s="193">
        <f t="shared" si="10"/>
        <v>3760</v>
      </c>
      <c r="E154" s="205"/>
      <c r="F154" s="263"/>
      <c r="G154" s="217"/>
      <c r="H154" s="202"/>
      <c r="I154" s="203"/>
      <c r="J154" s="5"/>
      <c r="K154" s="182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69</v>
      </c>
      <c r="B155" s="186">
        <f>'Données projet'!D148</f>
        <v>328</v>
      </c>
      <c r="C155" s="203">
        <v>90</v>
      </c>
      <c r="D155" s="193">
        <f t="shared" si="10"/>
        <v>29520</v>
      </c>
      <c r="E155" s="205"/>
      <c r="F155" s="263"/>
      <c r="G155" s="217"/>
      <c r="H155" s="202"/>
      <c r="I155" s="203"/>
      <c r="J155" s="5"/>
      <c r="K155" s="182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6">
        <f>'Données projet'!D149</f>
        <v>0</v>
      </c>
      <c r="C156" s="203"/>
      <c r="D156" s="193">
        <f t="shared" si="10"/>
        <v>0</v>
      </c>
      <c r="E156" s="205"/>
      <c r="F156" s="263"/>
      <c r="G156" s="217"/>
      <c r="H156" s="202"/>
      <c r="I156" s="203"/>
      <c r="J156" s="5"/>
      <c r="K156" s="182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6">
        <f>'Données projet'!D150</f>
        <v>0</v>
      </c>
      <c r="C157" s="203"/>
      <c r="D157" s="193">
        <f t="shared" si="10"/>
        <v>0</v>
      </c>
      <c r="E157" s="205"/>
      <c r="F157" s="263"/>
      <c r="G157" s="217"/>
      <c r="H157" s="202"/>
      <c r="I157" s="203"/>
      <c r="J157" s="5"/>
      <c r="K157" s="182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6">
        <f>'Données projet'!D151</f>
        <v>0</v>
      </c>
      <c r="C158" s="203"/>
      <c r="D158" s="193">
        <f t="shared" si="10"/>
        <v>0</v>
      </c>
      <c r="E158" s="205"/>
      <c r="F158" s="263"/>
      <c r="G158" s="217"/>
      <c r="H158" s="202"/>
      <c r="I158" s="203"/>
      <c r="J158" s="5"/>
      <c r="K158" s="182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6">
        <f>'Données projet'!D152</f>
        <v>0</v>
      </c>
      <c r="C159" s="203"/>
      <c r="D159" s="193">
        <f t="shared" si="10"/>
        <v>0</v>
      </c>
      <c r="E159" s="205"/>
      <c r="F159" s="263"/>
      <c r="G159" s="217"/>
      <c r="H159" s="202"/>
      <c r="I159" s="203"/>
      <c r="J159" s="5"/>
      <c r="K159" s="182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6">
        <f>'Données projet'!D153</f>
        <v>0</v>
      </c>
      <c r="C160" s="203"/>
      <c r="D160" s="193">
        <f t="shared" si="10"/>
        <v>0</v>
      </c>
      <c r="E160" s="205"/>
      <c r="F160" s="263"/>
      <c r="G160" s="217"/>
      <c r="H160" s="202"/>
      <c r="I160" s="203"/>
      <c r="J160" s="5"/>
      <c r="K160" s="182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6">
        <f>'Données projet'!D154</f>
        <v>0</v>
      </c>
      <c r="C161" s="203"/>
      <c r="D161" s="193">
        <f t="shared" si="10"/>
        <v>0</v>
      </c>
      <c r="E161" s="205"/>
      <c r="F161" s="263"/>
      <c r="G161" s="217"/>
      <c r="H161" s="202"/>
      <c r="I161" s="203"/>
      <c r="J161" s="5"/>
      <c r="K161" s="182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6">
        <f>'Données projet'!D155</f>
        <v>0</v>
      </c>
      <c r="C162" s="203"/>
      <c r="D162" s="193">
        <f t="shared" si="10"/>
        <v>0</v>
      </c>
      <c r="E162" s="205"/>
      <c r="F162" s="263"/>
      <c r="G162" s="217"/>
      <c r="H162" s="202"/>
      <c r="I162" s="203"/>
      <c r="J162" s="5"/>
      <c r="K162" s="182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6">
        <f>'Données projet'!D156</f>
        <v>0</v>
      </c>
      <c r="C163" s="203"/>
      <c r="D163" s="193">
        <f t="shared" si="10"/>
        <v>0</v>
      </c>
      <c r="E163" s="205"/>
      <c r="F163" s="263"/>
      <c r="G163" s="217"/>
      <c r="H163" s="202"/>
      <c r="I163" s="203"/>
      <c r="J163" s="5"/>
      <c r="K163" s="182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6">
        <f>'Données projet'!D157</f>
        <v>0</v>
      </c>
      <c r="C164" s="203"/>
      <c r="D164" s="193">
        <f t="shared" si="10"/>
        <v>0</v>
      </c>
      <c r="E164" s="205"/>
      <c r="F164" s="263"/>
      <c r="G164" s="217"/>
      <c r="H164" s="202"/>
      <c r="I164" s="203"/>
      <c r="J164" s="5"/>
      <c r="K164" s="182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6">
        <f>'Données projet'!D158</f>
        <v>0</v>
      </c>
      <c r="C165" s="203"/>
      <c r="D165" s="193">
        <f t="shared" si="10"/>
        <v>0</v>
      </c>
      <c r="E165" s="205"/>
      <c r="F165" s="263"/>
      <c r="G165" s="217"/>
      <c r="H165" s="202"/>
      <c r="I165" s="203"/>
      <c r="J165" s="5"/>
      <c r="K165" s="182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6">
        <f>'Données projet'!D159</f>
        <v>0</v>
      </c>
      <c r="C166" s="203"/>
      <c r="D166" s="193">
        <f t="shared" si="10"/>
        <v>0</v>
      </c>
      <c r="E166" s="205"/>
      <c r="F166" s="263"/>
      <c r="G166" s="217"/>
      <c r="H166" s="202"/>
      <c r="I166" s="203"/>
      <c r="J166" s="5"/>
      <c r="K166" s="182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0"/>
      <c r="G167" s="217"/>
      <c r="H167" s="202"/>
      <c r="I167" s="203"/>
      <c r="J167" s="5"/>
      <c r="K167" s="182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0"/>
      <c r="G168" s="217"/>
      <c r="H168" s="202"/>
      <c r="I168" s="203"/>
      <c r="J168" s="5"/>
      <c r="K168" s="182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5" t="str">
        <f>IF('Données projet'!B14="","",'Données projet'!B14)</f>
        <v>Tilleul</v>
      </c>
      <c r="C169" s="5"/>
      <c r="D169" s="5"/>
      <c r="E169" s="5"/>
      <c r="F169" s="260"/>
      <c r="G169" s="217"/>
      <c r="H169" s="202"/>
      <c r="I169" s="203"/>
      <c r="J169" s="5"/>
      <c r="K169" s="182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0"/>
      <c r="G170" s="217"/>
      <c r="H170" s="202"/>
      <c r="I170" s="203"/>
      <c r="J170" s="5"/>
      <c r="K170" s="182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2"/>
      <c r="I171" s="203"/>
      <c r="J171" s="5"/>
      <c r="K171" s="182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9">
        <v>0</v>
      </c>
      <c r="B172" s="212" t="s">
        <v>132</v>
      </c>
      <c r="C172" s="211" t="s">
        <v>132</v>
      </c>
      <c r="D172" s="210" t="s">
        <v>132</v>
      </c>
      <c r="E172" s="205"/>
      <c r="F172" s="261"/>
      <c r="G172" s="217"/>
      <c r="H172" s="202"/>
      <c r="I172" s="203"/>
      <c r="J172" s="5"/>
      <c r="K172" s="182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9">
        <v>1</v>
      </c>
      <c r="B173" s="212" t="s">
        <v>132</v>
      </c>
      <c r="C173" s="211" t="s">
        <v>132</v>
      </c>
      <c r="D173" s="210" t="s">
        <v>132</v>
      </c>
      <c r="E173" s="205"/>
      <c r="F173" s="261"/>
      <c r="G173" s="220"/>
      <c r="H173" s="202"/>
      <c r="I173" s="203"/>
      <c r="J173" s="5"/>
      <c r="K173" s="182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9">
        <v>2</v>
      </c>
      <c r="B174" s="212" t="s">
        <v>132</v>
      </c>
      <c r="C174" s="211" t="s">
        <v>132</v>
      </c>
      <c r="D174" s="210" t="s">
        <v>132</v>
      </c>
      <c r="E174" s="205"/>
      <c r="F174" s="261"/>
      <c r="G174" s="220"/>
      <c r="H174" s="202"/>
      <c r="I174" s="203"/>
      <c r="J174" s="5"/>
      <c r="K174" s="182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9">
        <v>3</v>
      </c>
      <c r="B175" s="212" t="s">
        <v>132</v>
      </c>
      <c r="C175" s="211" t="s">
        <v>132</v>
      </c>
      <c r="D175" s="210" t="s">
        <v>132</v>
      </c>
      <c r="E175" s="205"/>
      <c r="F175" s="261"/>
      <c r="G175" s="220"/>
      <c r="H175" s="202"/>
      <c r="I175" s="203"/>
      <c r="J175" s="5"/>
      <c r="K175" s="182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9">
        <v>4</v>
      </c>
      <c r="B176" s="212" t="s">
        <v>132</v>
      </c>
      <c r="C176" s="211" t="s">
        <v>132</v>
      </c>
      <c r="D176" s="210" t="s">
        <v>132</v>
      </c>
      <c r="E176" s="205"/>
      <c r="F176" s="261"/>
      <c r="G176" s="220"/>
      <c r="H176" s="202"/>
      <c r="I176" s="203"/>
      <c r="J176" s="5"/>
      <c r="K176" s="182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9">
        <v>5</v>
      </c>
      <c r="B177" s="212" t="s">
        <v>132</v>
      </c>
      <c r="C177" s="211" t="s">
        <v>132</v>
      </c>
      <c r="D177" s="210" t="s">
        <v>132</v>
      </c>
      <c r="E177" s="205"/>
      <c r="F177" s="261"/>
      <c r="G177" s="221"/>
      <c r="H177" s="202"/>
      <c r="I177" s="203"/>
      <c r="J177" s="5"/>
      <c r="K177" s="182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1">
        <f>'Données projet'!A166</f>
        <v>10</v>
      </c>
      <c r="B178" s="192">
        <f>'Données projet'!D166</f>
        <v>0</v>
      </c>
      <c r="C178" s="205"/>
      <c r="D178" s="190">
        <f>B178*C178</f>
        <v>0</v>
      </c>
      <c r="E178" s="205"/>
      <c r="F178" s="262"/>
      <c r="G178" s="221"/>
      <c r="H178" s="202"/>
      <c r="I178" s="203"/>
      <c r="J178" s="5"/>
      <c r="K178" s="182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1">
        <f>'Données projet'!A167</f>
        <v>15</v>
      </c>
      <c r="B179" s="192">
        <f>'Données projet'!D167</f>
        <v>19.871794871794872</v>
      </c>
      <c r="C179" s="205">
        <v>10</v>
      </c>
      <c r="D179" s="190">
        <f t="shared" ref="D179:D197" si="11">B179*C179</f>
        <v>198.71794871794873</v>
      </c>
      <c r="E179" s="205"/>
      <c r="F179" s="262"/>
      <c r="G179" s="221"/>
      <c r="H179" s="202"/>
      <c r="I179" s="203"/>
      <c r="J179" s="5"/>
      <c r="K179" s="182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1">
        <f>'Données projet'!A168</f>
        <v>20</v>
      </c>
      <c r="B180" s="192">
        <f>'Données projet'!D168</f>
        <v>0</v>
      </c>
      <c r="C180" s="205"/>
      <c r="D180" s="190">
        <f t="shared" si="11"/>
        <v>0</v>
      </c>
      <c r="E180" s="205"/>
      <c r="F180" s="262"/>
      <c r="G180" s="221"/>
      <c r="H180" s="202"/>
      <c r="I180" s="203"/>
      <c r="J180" s="5"/>
      <c r="K180" s="182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1">
        <f>'Données projet'!A169</f>
        <v>25</v>
      </c>
      <c r="B181" s="192">
        <f>'Données projet'!D169</f>
        <v>33.974358974358971</v>
      </c>
      <c r="C181" s="205">
        <v>10</v>
      </c>
      <c r="D181" s="190">
        <f t="shared" si="11"/>
        <v>339.74358974358972</v>
      </c>
      <c r="E181" s="205"/>
      <c r="F181" s="262"/>
      <c r="G181" s="221"/>
      <c r="H181" s="202"/>
      <c r="I181" s="203"/>
      <c r="J181" s="5"/>
      <c r="K181" s="182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1">
        <f>'Données projet'!A170</f>
        <v>30</v>
      </c>
      <c r="B182" s="192">
        <f>'Données projet'!D170</f>
        <v>0</v>
      </c>
      <c r="C182" s="205"/>
      <c r="D182" s="190">
        <f t="shared" si="11"/>
        <v>0</v>
      </c>
      <c r="E182" s="205"/>
      <c r="F182" s="262"/>
      <c r="G182" s="221"/>
      <c r="H182" s="202"/>
      <c r="I182" s="203"/>
      <c r="J182" s="5"/>
      <c r="K182" s="182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1">
        <f>'Données projet'!A171</f>
        <v>35</v>
      </c>
      <c r="B183" s="192">
        <f>'Données projet'!D171</f>
        <v>37.179487179487175</v>
      </c>
      <c r="C183" s="205">
        <v>15</v>
      </c>
      <c r="D183" s="190">
        <f t="shared" si="11"/>
        <v>557.69230769230762</v>
      </c>
      <c r="E183" s="205"/>
      <c r="F183" s="262"/>
      <c r="G183" s="221"/>
      <c r="H183" s="202"/>
      <c r="I183" s="203"/>
      <c r="J183" s="5"/>
      <c r="K183" s="182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1">
        <f>'Données projet'!A172</f>
        <v>40</v>
      </c>
      <c r="B184" s="192">
        <f>'Données projet'!D172</f>
        <v>0</v>
      </c>
      <c r="C184" s="205"/>
      <c r="D184" s="190">
        <f t="shared" si="11"/>
        <v>0</v>
      </c>
      <c r="E184" s="205"/>
      <c r="F184" s="262"/>
      <c r="G184" s="222"/>
      <c r="H184" s="202"/>
      <c r="I184" s="203"/>
      <c r="J184" s="5"/>
      <c r="K184" s="182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1">
        <f>'Données projet'!A173</f>
        <v>45</v>
      </c>
      <c r="B185" s="192">
        <f>'Données projet'!D173</f>
        <v>36.53846153846154</v>
      </c>
      <c r="C185" s="205">
        <v>20</v>
      </c>
      <c r="D185" s="190">
        <f t="shared" si="11"/>
        <v>730.76923076923083</v>
      </c>
      <c r="E185" s="205"/>
      <c r="F185" s="262"/>
      <c r="G185" s="222"/>
      <c r="H185" s="202"/>
      <c r="I185" s="203"/>
      <c r="J185" s="5"/>
      <c r="K185" s="182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1">
        <f>'Données projet'!A174</f>
        <v>50</v>
      </c>
      <c r="B186" s="192">
        <f>'Données projet'!D174</f>
        <v>0</v>
      </c>
      <c r="C186" s="205"/>
      <c r="D186" s="190">
        <f t="shared" si="11"/>
        <v>0</v>
      </c>
      <c r="E186" s="205"/>
      <c r="F186" s="262"/>
      <c r="G186" s="222"/>
      <c r="H186" s="202"/>
      <c r="I186" s="203"/>
      <c r="J186" s="5"/>
      <c r="K186" s="182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1">
        <f>'Données projet'!A175</f>
        <v>55</v>
      </c>
      <c r="B187" s="192">
        <f>'Données projet'!D175</f>
        <v>32.692307692307693</v>
      </c>
      <c r="C187" s="205">
        <v>30</v>
      </c>
      <c r="D187" s="190">
        <f t="shared" si="11"/>
        <v>980.76923076923083</v>
      </c>
      <c r="E187" s="205"/>
      <c r="F187" s="262"/>
      <c r="G187" s="222"/>
      <c r="H187" s="202"/>
      <c r="I187" s="203"/>
      <c r="J187" s="5"/>
      <c r="K187" s="182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1">
        <f>'Données projet'!A176</f>
        <v>60</v>
      </c>
      <c r="B188" s="192">
        <f>'Données projet'!D176</f>
        <v>0</v>
      </c>
      <c r="C188" s="205"/>
      <c r="D188" s="190">
        <f t="shared" si="11"/>
        <v>0</v>
      </c>
      <c r="E188" s="205"/>
      <c r="F188" s="262"/>
      <c r="G188" s="222"/>
      <c r="H188" s="202"/>
      <c r="I188" s="203"/>
      <c r="J188" s="5"/>
      <c r="K188" s="182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1">
        <f>'Données projet'!A177</f>
        <v>65</v>
      </c>
      <c r="B189" s="192">
        <f>'Données projet'!D177</f>
        <v>31.410256410256409</v>
      </c>
      <c r="C189" s="205">
        <v>40</v>
      </c>
      <c r="D189" s="190">
        <f t="shared" si="11"/>
        <v>1256.4102564102564</v>
      </c>
      <c r="E189" s="205"/>
      <c r="F189" s="262"/>
      <c r="G189" s="222"/>
      <c r="H189" s="202"/>
      <c r="I189" s="203"/>
      <c r="J189" s="5"/>
      <c r="K189" s="182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1">
        <f>'Données projet'!A178</f>
        <v>70</v>
      </c>
      <c r="B190" s="192">
        <f>'Données projet'!D178</f>
        <v>0</v>
      </c>
      <c r="C190" s="205"/>
      <c r="D190" s="190">
        <f t="shared" si="11"/>
        <v>0</v>
      </c>
      <c r="E190" s="205"/>
      <c r="F190" s="262"/>
      <c r="G190" s="222"/>
      <c r="H190" s="202"/>
      <c r="I190" s="203"/>
      <c r="J190" s="5"/>
      <c r="K190" s="182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1">
        <f>'Données projet'!A179</f>
        <v>75</v>
      </c>
      <c r="B191" s="192">
        <f>'Données projet'!D179</f>
        <v>28.846153846153847</v>
      </c>
      <c r="C191" s="205">
        <v>50</v>
      </c>
      <c r="D191" s="190">
        <f t="shared" si="11"/>
        <v>1442.3076923076924</v>
      </c>
      <c r="E191" s="205"/>
      <c r="F191" s="262"/>
      <c r="G191" s="222"/>
      <c r="H191" s="202"/>
      <c r="I191" s="203"/>
      <c r="J191" s="5"/>
      <c r="K191" s="182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1">
        <f>'Données projet'!A180</f>
        <v>80</v>
      </c>
      <c r="B192" s="192">
        <f>'Données projet'!D180</f>
        <v>0</v>
      </c>
      <c r="C192" s="205"/>
      <c r="D192" s="190">
        <f t="shared" si="11"/>
        <v>0</v>
      </c>
      <c r="E192" s="205"/>
      <c r="F192" s="262"/>
      <c r="G192" s="222"/>
      <c r="H192" s="202"/>
      <c r="I192" s="203"/>
      <c r="J192" s="5"/>
      <c r="K192" s="182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1">
        <f>'Données projet'!A181</f>
        <v>85</v>
      </c>
      <c r="B193" s="192">
        <f>'Données projet'!D181</f>
        <v>27.564102564102562</v>
      </c>
      <c r="C193" s="205">
        <v>60</v>
      </c>
      <c r="D193" s="190">
        <f t="shared" si="11"/>
        <v>1653.8461538461538</v>
      </c>
      <c r="E193" s="205"/>
      <c r="F193" s="262"/>
      <c r="G193" s="222"/>
      <c r="H193" s="202"/>
      <c r="I193" s="203"/>
      <c r="J193" s="5"/>
      <c r="K193" s="182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1">
        <f>'Données projet'!A182</f>
        <v>90</v>
      </c>
      <c r="B194" s="192">
        <f>'Données projet'!D182</f>
        <v>0</v>
      </c>
      <c r="C194" s="205"/>
      <c r="D194" s="190">
        <f t="shared" si="11"/>
        <v>0</v>
      </c>
      <c r="E194" s="205"/>
      <c r="F194" s="262"/>
      <c r="G194" s="222"/>
      <c r="H194" s="202"/>
      <c r="I194" s="203"/>
      <c r="J194" s="5"/>
      <c r="K194" s="182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1">
        <f>'Données projet'!A183</f>
        <v>95</v>
      </c>
      <c r="B195" s="192">
        <f>'Données projet'!D183</f>
        <v>25</v>
      </c>
      <c r="C195" s="205">
        <v>65</v>
      </c>
      <c r="D195" s="190">
        <f t="shared" si="11"/>
        <v>1625</v>
      </c>
      <c r="E195" s="205"/>
      <c r="F195" s="262"/>
      <c r="G195" s="222"/>
      <c r="H195" s="202"/>
      <c r="I195" s="203"/>
      <c r="J195" s="5"/>
      <c r="K195" s="182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1">
        <f>'Données projet'!A184</f>
        <v>100</v>
      </c>
      <c r="B196" s="192">
        <f>'Données projet'!D184</f>
        <v>0</v>
      </c>
      <c r="C196" s="205"/>
      <c r="D196" s="190">
        <f t="shared" si="11"/>
        <v>0</v>
      </c>
      <c r="E196" s="205"/>
      <c r="F196" s="262"/>
      <c r="G196" s="222"/>
      <c r="H196" s="202"/>
      <c r="I196" s="203"/>
      <c r="J196" s="5"/>
      <c r="K196" s="182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1">
        <f>'Données projet'!A185</f>
        <v>110</v>
      </c>
      <c r="B197" s="192">
        <f>'Données projet'!D185</f>
        <v>358.33333333333331</v>
      </c>
      <c r="C197" s="205">
        <v>70</v>
      </c>
      <c r="D197" s="190">
        <f t="shared" si="11"/>
        <v>25083.333333333332</v>
      </c>
      <c r="E197" s="205"/>
      <c r="F197" s="262"/>
      <c r="G197" s="222"/>
      <c r="H197" s="202"/>
      <c r="I197" s="203"/>
      <c r="J197" s="5"/>
      <c r="K197" s="182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0"/>
      <c r="G198" s="222"/>
      <c r="H198" s="202"/>
      <c r="I198" s="203"/>
      <c r="J198" s="5"/>
      <c r="K198" s="182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0"/>
      <c r="G199" s="222"/>
      <c r="H199" s="202"/>
      <c r="I199" s="203"/>
      <c r="J199" s="5"/>
      <c r="K199" s="182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5" t="str">
        <f>IF('Données projet'!$B$15="","",'Données projet'!$B$15)</f>
        <v/>
      </c>
      <c r="C200" s="5"/>
      <c r="D200" s="5"/>
      <c r="E200" s="5"/>
      <c r="F200" s="260"/>
      <c r="G200" s="222"/>
      <c r="H200" s="202"/>
      <c r="I200" s="203"/>
      <c r="J200" s="5"/>
      <c r="K200" s="182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0"/>
      <c r="G201" s="222"/>
      <c r="H201" s="202"/>
      <c r="I201" s="203"/>
      <c r="J201" s="5"/>
      <c r="K201" s="182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2"/>
      <c r="I202" s="203"/>
      <c r="J202" s="5"/>
      <c r="K202" s="182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9">
        <v>0</v>
      </c>
      <c r="B203" s="212" t="s">
        <v>132</v>
      </c>
      <c r="C203" s="211" t="s">
        <v>132</v>
      </c>
      <c r="D203" s="210" t="s">
        <v>132</v>
      </c>
      <c r="E203" s="205"/>
      <c r="F203" s="261"/>
      <c r="G203" s="222"/>
      <c r="H203" s="202"/>
      <c r="I203" s="203"/>
      <c r="J203" s="5"/>
      <c r="K203" s="182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9">
        <v>1</v>
      </c>
      <c r="B204" s="212" t="s">
        <v>132</v>
      </c>
      <c r="C204" s="211" t="s">
        <v>132</v>
      </c>
      <c r="D204" s="210" t="s">
        <v>132</v>
      </c>
      <c r="E204" s="205"/>
      <c r="F204" s="261"/>
      <c r="G204" s="220"/>
      <c r="H204" s="202"/>
      <c r="I204" s="203"/>
      <c r="J204" s="5"/>
      <c r="K204" s="182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9">
        <v>2</v>
      </c>
      <c r="B205" s="212" t="s">
        <v>132</v>
      </c>
      <c r="C205" s="211" t="s">
        <v>132</v>
      </c>
      <c r="D205" s="210" t="s">
        <v>132</v>
      </c>
      <c r="E205" s="205"/>
      <c r="F205" s="261"/>
      <c r="G205" s="220"/>
      <c r="H205" s="202"/>
      <c r="I205" s="203"/>
      <c r="J205" s="5"/>
      <c r="K205" s="182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9">
        <v>3</v>
      </c>
      <c r="B206" s="212" t="s">
        <v>132</v>
      </c>
      <c r="C206" s="211" t="s">
        <v>132</v>
      </c>
      <c r="D206" s="210" t="s">
        <v>132</v>
      </c>
      <c r="E206" s="205"/>
      <c r="F206" s="261"/>
      <c r="G206" s="220"/>
      <c r="H206" s="202"/>
      <c r="I206" s="203"/>
      <c r="J206" s="5"/>
      <c r="K206" s="182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9">
        <v>4</v>
      </c>
      <c r="B207" s="212" t="s">
        <v>132</v>
      </c>
      <c r="C207" s="211" t="s">
        <v>132</v>
      </c>
      <c r="D207" s="210" t="s">
        <v>132</v>
      </c>
      <c r="E207" s="205"/>
      <c r="F207" s="261"/>
      <c r="G207" s="220"/>
      <c r="H207" s="202"/>
      <c r="I207" s="203"/>
      <c r="J207" s="5"/>
      <c r="K207" s="182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9">
        <v>5</v>
      </c>
      <c r="B208" s="212" t="s">
        <v>132</v>
      </c>
      <c r="C208" s="211" t="s">
        <v>132</v>
      </c>
      <c r="D208" s="210" t="s">
        <v>132</v>
      </c>
      <c r="E208" s="205"/>
      <c r="F208" s="261"/>
      <c r="G208" s="221"/>
      <c r="H208" s="202"/>
      <c r="I208" s="203"/>
      <c r="J208" s="5"/>
      <c r="K208" s="182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1">
        <f>'Données projet'!A192</f>
        <v>0</v>
      </c>
      <c r="B209" s="192">
        <f>'Données projet'!D192</f>
        <v>0</v>
      </c>
      <c r="C209" s="205"/>
      <c r="D209" s="190">
        <f>B209*C209</f>
        <v>0</v>
      </c>
      <c r="E209" s="205"/>
      <c r="F209" s="262"/>
      <c r="G209" s="221"/>
      <c r="H209" s="202"/>
      <c r="I209" s="203"/>
      <c r="J209" s="5"/>
      <c r="K209" s="182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1">
        <f>'Données projet'!A193</f>
        <v>0</v>
      </c>
      <c r="B210" s="192">
        <f>'Données projet'!D193</f>
        <v>0</v>
      </c>
      <c r="C210" s="205"/>
      <c r="D210" s="190">
        <f t="shared" ref="D210:D228" si="12">B210*C210</f>
        <v>0</v>
      </c>
      <c r="E210" s="205"/>
      <c r="F210" s="262"/>
      <c r="G210" s="221"/>
      <c r="H210" s="202"/>
      <c r="I210" s="203"/>
      <c r="J210" s="5"/>
      <c r="K210" s="182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1">
        <f>'Données projet'!A194</f>
        <v>0</v>
      </c>
      <c r="B211" s="192">
        <f>'Données projet'!D194</f>
        <v>0</v>
      </c>
      <c r="C211" s="205"/>
      <c r="D211" s="190">
        <f t="shared" si="12"/>
        <v>0</v>
      </c>
      <c r="E211" s="205"/>
      <c r="F211" s="262"/>
      <c r="G211" s="221"/>
      <c r="H211" s="202"/>
      <c r="I211" s="203"/>
      <c r="J211" s="5"/>
      <c r="K211" s="182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1">
        <f>'Données projet'!A195</f>
        <v>0</v>
      </c>
      <c r="B212" s="192">
        <f>'Données projet'!D195</f>
        <v>0</v>
      </c>
      <c r="C212" s="205"/>
      <c r="D212" s="190">
        <f t="shared" si="12"/>
        <v>0</v>
      </c>
      <c r="E212" s="205"/>
      <c r="F212" s="262"/>
      <c r="G212" s="221"/>
      <c r="H212" s="202"/>
      <c r="I212" s="203"/>
      <c r="J212" s="5"/>
      <c r="K212" s="182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1">
        <f>'Données projet'!A196</f>
        <v>0</v>
      </c>
      <c r="B213" s="192">
        <f>'Données projet'!D196</f>
        <v>0</v>
      </c>
      <c r="C213" s="205"/>
      <c r="D213" s="190">
        <f t="shared" si="12"/>
        <v>0</v>
      </c>
      <c r="E213" s="205"/>
      <c r="F213" s="262"/>
      <c r="G213" s="221"/>
      <c r="H213" s="202"/>
      <c r="I213" s="203"/>
      <c r="J213" s="5"/>
      <c r="K213" s="182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1">
        <f>'Données projet'!A197</f>
        <v>0</v>
      </c>
      <c r="B214" s="192">
        <f>'Données projet'!D197</f>
        <v>0</v>
      </c>
      <c r="C214" s="205"/>
      <c r="D214" s="190">
        <f t="shared" si="12"/>
        <v>0</v>
      </c>
      <c r="E214" s="205"/>
      <c r="F214" s="262"/>
      <c r="G214" s="221"/>
      <c r="H214" s="202"/>
      <c r="I214" s="203"/>
      <c r="J214" s="5"/>
      <c r="K214" s="182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1">
        <f>'Données projet'!A198</f>
        <v>0</v>
      </c>
      <c r="B215" s="192">
        <f>'Données projet'!D198</f>
        <v>0</v>
      </c>
      <c r="C215" s="205"/>
      <c r="D215" s="190">
        <f t="shared" si="12"/>
        <v>0</v>
      </c>
      <c r="E215" s="205"/>
      <c r="F215" s="262"/>
      <c r="G215" s="222"/>
      <c r="H215" s="202"/>
      <c r="I215" s="203"/>
      <c r="J215" s="5"/>
      <c r="K215" s="182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1">
        <f>'Données projet'!A199</f>
        <v>0</v>
      </c>
      <c r="B216" s="192">
        <f>'Données projet'!D199</f>
        <v>0</v>
      </c>
      <c r="C216" s="205"/>
      <c r="D216" s="190">
        <f t="shared" si="12"/>
        <v>0</v>
      </c>
      <c r="E216" s="205"/>
      <c r="F216" s="262"/>
      <c r="G216" s="222"/>
      <c r="H216" s="202"/>
      <c r="I216" s="203"/>
      <c r="J216" s="5"/>
      <c r="K216" s="182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1">
        <f>'Données projet'!A200</f>
        <v>0</v>
      </c>
      <c r="B217" s="192">
        <f>'Données projet'!D200</f>
        <v>0</v>
      </c>
      <c r="C217" s="205"/>
      <c r="D217" s="190">
        <f t="shared" si="12"/>
        <v>0</v>
      </c>
      <c r="E217" s="205"/>
      <c r="F217" s="262"/>
      <c r="G217" s="222"/>
      <c r="H217" s="202"/>
      <c r="I217" s="203"/>
      <c r="J217" s="5"/>
      <c r="K217" s="182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1">
        <f>'Données projet'!A201</f>
        <v>0</v>
      </c>
      <c r="B218" s="192">
        <f>'Données projet'!D201</f>
        <v>0</v>
      </c>
      <c r="C218" s="205"/>
      <c r="D218" s="190">
        <f t="shared" si="12"/>
        <v>0</v>
      </c>
      <c r="E218" s="205"/>
      <c r="F218" s="262"/>
      <c r="G218" s="222"/>
      <c r="H218" s="202"/>
      <c r="I218" s="203"/>
      <c r="J218" s="5"/>
      <c r="K218" s="182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1">
        <f>'Données projet'!A202</f>
        <v>0</v>
      </c>
      <c r="B219" s="192">
        <f>'Données projet'!D202</f>
        <v>0</v>
      </c>
      <c r="C219" s="205"/>
      <c r="D219" s="190">
        <f t="shared" si="12"/>
        <v>0</v>
      </c>
      <c r="E219" s="205"/>
      <c r="F219" s="262"/>
      <c r="G219" s="222"/>
      <c r="H219" s="202"/>
      <c r="I219" s="203"/>
      <c r="J219" s="5"/>
      <c r="K219" s="182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1">
        <f>'Données projet'!A203</f>
        <v>0</v>
      </c>
      <c r="B220" s="192">
        <f>'Données projet'!D203</f>
        <v>0</v>
      </c>
      <c r="C220" s="205"/>
      <c r="D220" s="190">
        <f t="shared" si="12"/>
        <v>0</v>
      </c>
      <c r="E220" s="205"/>
      <c r="F220" s="262"/>
      <c r="G220" s="222"/>
      <c r="H220" s="5"/>
      <c r="I220" s="5"/>
      <c r="J220" s="5"/>
      <c r="K220" s="182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1">
        <f>'Données projet'!A204</f>
        <v>0</v>
      </c>
      <c r="B221" s="192">
        <f>'Données projet'!D204</f>
        <v>0</v>
      </c>
      <c r="C221" s="205"/>
      <c r="D221" s="190">
        <f t="shared" si="12"/>
        <v>0</v>
      </c>
      <c r="E221" s="205"/>
      <c r="F221" s="262"/>
      <c r="G221" s="222"/>
      <c r="H221" s="5"/>
      <c r="I221" s="5"/>
      <c r="J221" s="5"/>
      <c r="K221" s="182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1">
        <f>'Données projet'!A205</f>
        <v>0</v>
      </c>
      <c r="B222" s="192">
        <f>'Données projet'!D205</f>
        <v>0</v>
      </c>
      <c r="C222" s="205"/>
      <c r="D222" s="190">
        <f t="shared" si="12"/>
        <v>0</v>
      </c>
      <c r="E222" s="205"/>
      <c r="F222" s="262"/>
      <c r="G222" s="222"/>
      <c r="H222" s="5"/>
      <c r="I222" s="5"/>
      <c r="J222" s="5"/>
      <c r="K222" s="182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1">
        <f>'Données projet'!A206</f>
        <v>0</v>
      </c>
      <c r="B223" s="192">
        <f>'Données projet'!D206</f>
        <v>0</v>
      </c>
      <c r="C223" s="205"/>
      <c r="D223" s="190">
        <f t="shared" si="12"/>
        <v>0</v>
      </c>
      <c r="E223" s="205"/>
      <c r="F223" s="262"/>
      <c r="G223" s="222"/>
      <c r="H223" s="5"/>
      <c r="I223" s="5"/>
      <c r="J223" s="5"/>
      <c r="K223" s="182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1">
        <f>'Données projet'!A207</f>
        <v>0</v>
      </c>
      <c r="B224" s="192">
        <f>'Données projet'!D207</f>
        <v>0</v>
      </c>
      <c r="C224" s="205"/>
      <c r="D224" s="190">
        <f t="shared" si="12"/>
        <v>0</v>
      </c>
      <c r="E224" s="205"/>
      <c r="F224" s="262"/>
      <c r="G224" s="222"/>
      <c r="H224" s="5"/>
      <c r="I224" s="5"/>
      <c r="J224" s="5"/>
      <c r="K224" s="182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1">
        <f>'Données projet'!A208</f>
        <v>0</v>
      </c>
      <c r="B225" s="192">
        <f>'Données projet'!D208</f>
        <v>0</v>
      </c>
      <c r="C225" s="205"/>
      <c r="D225" s="190">
        <f t="shared" si="12"/>
        <v>0</v>
      </c>
      <c r="E225" s="205"/>
      <c r="F225" s="262"/>
      <c r="G225" s="222"/>
      <c r="H225" s="5"/>
      <c r="I225" s="5"/>
      <c r="J225" s="5"/>
      <c r="K225" s="182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1">
        <f>'Données projet'!A209</f>
        <v>0</v>
      </c>
      <c r="B226" s="192">
        <f>'Données projet'!D209</f>
        <v>0</v>
      </c>
      <c r="C226" s="205"/>
      <c r="D226" s="190">
        <f t="shared" si="12"/>
        <v>0</v>
      </c>
      <c r="E226" s="205"/>
      <c r="F226" s="262"/>
      <c r="G226" s="222"/>
      <c r="H226" s="5"/>
      <c r="I226" s="5"/>
      <c r="J226" s="5"/>
      <c r="K226" s="182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1">
        <f>'Données projet'!A210</f>
        <v>0</v>
      </c>
      <c r="B227" s="192">
        <f>'Données projet'!D210</f>
        <v>0</v>
      </c>
      <c r="C227" s="205"/>
      <c r="D227" s="190">
        <f t="shared" si="12"/>
        <v>0</v>
      </c>
      <c r="E227" s="205"/>
      <c r="F227" s="262"/>
      <c r="G227" s="222"/>
      <c r="H227" s="5"/>
      <c r="I227" s="5"/>
      <c r="J227" s="5"/>
      <c r="K227" s="182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1">
        <f>'Données projet'!A211</f>
        <v>0</v>
      </c>
      <c r="B228" s="192">
        <f>'Données projet'!D211</f>
        <v>0</v>
      </c>
      <c r="C228" s="205"/>
      <c r="D228" s="190">
        <f t="shared" si="12"/>
        <v>0</v>
      </c>
      <c r="E228" s="205"/>
      <c r="F228" s="262"/>
      <c r="G228" s="222"/>
      <c r="H228" s="5"/>
      <c r="I228" s="5"/>
      <c r="J228" s="5"/>
      <c r="K228" s="182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2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2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5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2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2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2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9">
        <v>0</v>
      </c>
      <c r="B234" s="212" t="s">
        <v>132</v>
      </c>
      <c r="C234" s="211" t="s">
        <v>132</v>
      </c>
      <c r="D234" s="210" t="s">
        <v>132</v>
      </c>
      <c r="E234" s="205"/>
      <c r="F234" s="261"/>
      <c r="G234" s="222"/>
      <c r="H234" s="5"/>
      <c r="I234" s="5"/>
      <c r="J234" s="5"/>
      <c r="K234" s="182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9">
        <v>1</v>
      </c>
      <c r="B235" s="212" t="s">
        <v>132</v>
      </c>
      <c r="C235" s="211" t="s">
        <v>132</v>
      </c>
      <c r="D235" s="210" t="s">
        <v>132</v>
      </c>
      <c r="E235" s="205"/>
      <c r="F235" s="261"/>
      <c r="G235" s="220"/>
      <c r="H235" s="5"/>
      <c r="I235" s="5"/>
      <c r="J235" s="5"/>
      <c r="K235" s="182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9">
        <v>2</v>
      </c>
      <c r="B236" s="212" t="s">
        <v>132</v>
      </c>
      <c r="C236" s="211" t="s">
        <v>132</v>
      </c>
      <c r="D236" s="210" t="s">
        <v>132</v>
      </c>
      <c r="E236" s="205"/>
      <c r="F236" s="261"/>
      <c r="G236" s="220"/>
      <c r="H236" s="5"/>
      <c r="I236" s="5"/>
      <c r="J236" s="5"/>
      <c r="K236" s="182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9">
        <v>3</v>
      </c>
      <c r="B237" s="212" t="s">
        <v>132</v>
      </c>
      <c r="C237" s="211" t="s">
        <v>132</v>
      </c>
      <c r="D237" s="210" t="s">
        <v>132</v>
      </c>
      <c r="E237" s="205"/>
      <c r="F237" s="261"/>
      <c r="G237" s="220"/>
      <c r="H237" s="5"/>
      <c r="I237" s="5"/>
      <c r="J237" s="5"/>
      <c r="K237" s="182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9">
        <v>4</v>
      </c>
      <c r="B238" s="212" t="s">
        <v>132</v>
      </c>
      <c r="C238" s="211" t="s">
        <v>132</v>
      </c>
      <c r="D238" s="210" t="s">
        <v>132</v>
      </c>
      <c r="E238" s="205"/>
      <c r="F238" s="261"/>
      <c r="G238" s="220"/>
      <c r="H238" s="5"/>
      <c r="I238" s="5"/>
      <c r="J238" s="5"/>
      <c r="K238" s="182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9">
        <v>5</v>
      </c>
      <c r="B239" s="212" t="s">
        <v>132</v>
      </c>
      <c r="C239" s="211" t="s">
        <v>132</v>
      </c>
      <c r="D239" s="210" t="s">
        <v>132</v>
      </c>
      <c r="E239" s="205"/>
      <c r="F239" s="261"/>
      <c r="G239" s="221"/>
      <c r="H239" s="5"/>
      <c r="I239" s="5"/>
      <c r="J239" s="5"/>
      <c r="K239" s="182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1">
        <f>'Données projet'!A218</f>
        <v>0</v>
      </c>
      <c r="B240" s="192">
        <f>'Données projet'!D218</f>
        <v>0</v>
      </c>
      <c r="C240" s="205"/>
      <c r="D240" s="190">
        <f>B240*C240</f>
        <v>0</v>
      </c>
      <c r="E240" s="205"/>
      <c r="F240" s="262"/>
      <c r="G240" s="221"/>
      <c r="H240" s="5"/>
      <c r="I240" s="5"/>
      <c r="J240" s="5"/>
      <c r="K240" s="182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1">
        <f>'Données projet'!A219</f>
        <v>0</v>
      </c>
      <c r="B241" s="192">
        <f>'Données projet'!D219</f>
        <v>0</v>
      </c>
      <c r="C241" s="205"/>
      <c r="D241" s="190">
        <f t="shared" ref="D241:D259" si="13">B241*C241</f>
        <v>0</v>
      </c>
      <c r="E241" s="205"/>
      <c r="F241" s="262"/>
      <c r="G241" s="221"/>
      <c r="H241" s="5"/>
      <c r="I241" s="5"/>
      <c r="J241" s="5"/>
      <c r="K241" s="182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1">
        <f>'Données projet'!A220</f>
        <v>0</v>
      </c>
      <c r="B242" s="192">
        <f>'Données projet'!D220</f>
        <v>0</v>
      </c>
      <c r="C242" s="205"/>
      <c r="D242" s="190">
        <f t="shared" si="13"/>
        <v>0</v>
      </c>
      <c r="E242" s="205"/>
      <c r="F242" s="262"/>
      <c r="G242" s="221"/>
      <c r="H242" s="5"/>
      <c r="I242" s="5"/>
      <c r="J242" s="5"/>
      <c r="K242" s="182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1">
        <f>'Données projet'!A221</f>
        <v>0</v>
      </c>
      <c r="B243" s="192">
        <f>'Données projet'!D221</f>
        <v>0</v>
      </c>
      <c r="C243" s="205"/>
      <c r="D243" s="190">
        <f t="shared" si="13"/>
        <v>0</v>
      </c>
      <c r="E243" s="205"/>
      <c r="F243" s="262"/>
      <c r="G243" s="221"/>
      <c r="H243" s="5"/>
      <c r="I243" s="5"/>
      <c r="J243" s="5"/>
      <c r="K243" s="182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1">
        <f>'Données projet'!A222</f>
        <v>0</v>
      </c>
      <c r="B244" s="192">
        <f>'Données projet'!D222</f>
        <v>0</v>
      </c>
      <c r="C244" s="205"/>
      <c r="D244" s="190">
        <f t="shared" si="13"/>
        <v>0</v>
      </c>
      <c r="E244" s="205"/>
      <c r="F244" s="262"/>
      <c r="G244" s="221"/>
      <c r="H244" s="5"/>
      <c r="I244" s="5"/>
      <c r="J244" s="5"/>
      <c r="K244" s="182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1">
        <f>'Données projet'!A223</f>
        <v>0</v>
      </c>
      <c r="B245" s="192">
        <f>'Données projet'!D223</f>
        <v>0</v>
      </c>
      <c r="C245" s="205"/>
      <c r="D245" s="190">
        <f t="shared" si="13"/>
        <v>0</v>
      </c>
      <c r="E245" s="205"/>
      <c r="F245" s="262"/>
      <c r="G245" s="221"/>
      <c r="H245" s="5"/>
      <c r="I245" s="5"/>
      <c r="J245" s="5"/>
      <c r="K245" s="182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1">
        <f>'Données projet'!A224</f>
        <v>0</v>
      </c>
      <c r="B246" s="192">
        <f>'Données projet'!D224</f>
        <v>0</v>
      </c>
      <c r="C246" s="205"/>
      <c r="D246" s="190">
        <f t="shared" si="13"/>
        <v>0</v>
      </c>
      <c r="E246" s="205"/>
      <c r="F246" s="262"/>
      <c r="G246" s="222"/>
      <c r="H246" s="5"/>
      <c r="I246" s="5"/>
      <c r="J246" s="5"/>
      <c r="K246" s="182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1">
        <f>'Données projet'!A225</f>
        <v>0</v>
      </c>
      <c r="B247" s="192">
        <f>'Données projet'!D225</f>
        <v>0</v>
      </c>
      <c r="C247" s="205"/>
      <c r="D247" s="190">
        <f t="shared" si="13"/>
        <v>0</v>
      </c>
      <c r="E247" s="205"/>
      <c r="F247" s="262"/>
      <c r="G247" s="222"/>
      <c r="H247" s="5"/>
      <c r="I247" s="5"/>
      <c r="J247" s="5"/>
      <c r="K247" s="182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1">
        <f>'Données projet'!A226</f>
        <v>0</v>
      </c>
      <c r="B248" s="192">
        <f>'Données projet'!D226</f>
        <v>0</v>
      </c>
      <c r="C248" s="205"/>
      <c r="D248" s="190">
        <f t="shared" si="13"/>
        <v>0</v>
      </c>
      <c r="E248" s="205"/>
      <c r="F248" s="262"/>
      <c r="G248" s="222"/>
      <c r="H248" s="5"/>
      <c r="I248" s="5"/>
      <c r="J248" s="5"/>
      <c r="K248" s="182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1">
        <f>'Données projet'!A227</f>
        <v>0</v>
      </c>
      <c r="B249" s="192">
        <f>'Données projet'!D227</f>
        <v>0</v>
      </c>
      <c r="C249" s="205"/>
      <c r="D249" s="190">
        <f t="shared" si="13"/>
        <v>0</v>
      </c>
      <c r="E249" s="205"/>
      <c r="F249" s="262"/>
      <c r="G249" s="222"/>
      <c r="H249" s="5"/>
      <c r="I249" s="5"/>
      <c r="J249" s="5"/>
      <c r="K249" s="182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1">
        <f>'Données projet'!A228</f>
        <v>0</v>
      </c>
      <c r="B250" s="192">
        <f>'Données projet'!D228</f>
        <v>0</v>
      </c>
      <c r="C250" s="205"/>
      <c r="D250" s="190">
        <f t="shared" si="13"/>
        <v>0</v>
      </c>
      <c r="E250" s="205"/>
      <c r="F250" s="262"/>
      <c r="G250" s="222"/>
      <c r="H250" s="5"/>
      <c r="I250" s="5"/>
      <c r="J250" s="5"/>
      <c r="K250" s="182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1">
        <f>'Données projet'!A229</f>
        <v>0</v>
      </c>
      <c r="B251" s="192">
        <f>'Données projet'!D229</f>
        <v>0</v>
      </c>
      <c r="C251" s="205"/>
      <c r="D251" s="190">
        <f t="shared" si="13"/>
        <v>0</v>
      </c>
      <c r="E251" s="205"/>
      <c r="F251" s="262"/>
      <c r="G251" s="222"/>
      <c r="H251" s="5"/>
      <c r="I251" s="5"/>
      <c r="J251" s="5"/>
      <c r="K251" s="182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1">
        <f>'Données projet'!A230</f>
        <v>0</v>
      </c>
      <c r="B252" s="192">
        <f>'Données projet'!D230</f>
        <v>0</v>
      </c>
      <c r="C252" s="205"/>
      <c r="D252" s="190">
        <f t="shared" si="13"/>
        <v>0</v>
      </c>
      <c r="E252" s="205"/>
      <c r="F252" s="262"/>
      <c r="G252" s="222"/>
      <c r="H252" s="5"/>
      <c r="I252" s="5"/>
      <c r="J252" s="5"/>
      <c r="K252" s="182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1">
        <f>'Données projet'!A231</f>
        <v>0</v>
      </c>
      <c r="B253" s="192">
        <f>'Données projet'!D231</f>
        <v>0</v>
      </c>
      <c r="C253" s="205"/>
      <c r="D253" s="190">
        <f t="shared" si="13"/>
        <v>0</v>
      </c>
      <c r="E253" s="205"/>
      <c r="F253" s="262"/>
      <c r="G253" s="222"/>
      <c r="H253" s="5"/>
      <c r="I253" s="5"/>
      <c r="J253" s="5"/>
      <c r="K253" s="182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1">
        <f>'Données projet'!A232</f>
        <v>0</v>
      </c>
      <c r="B254" s="192">
        <f>'Données projet'!D232</f>
        <v>0</v>
      </c>
      <c r="C254" s="205"/>
      <c r="D254" s="190">
        <f t="shared" si="13"/>
        <v>0</v>
      </c>
      <c r="E254" s="205"/>
      <c r="F254" s="262"/>
      <c r="G254" s="222"/>
      <c r="H254" s="5"/>
      <c r="I254" s="5"/>
      <c r="J254" s="5"/>
      <c r="K254" s="182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1">
        <f>'Données projet'!A233</f>
        <v>0</v>
      </c>
      <c r="B255" s="192">
        <f>'Données projet'!D233</f>
        <v>0</v>
      </c>
      <c r="C255" s="205"/>
      <c r="D255" s="190">
        <f t="shared" si="13"/>
        <v>0</v>
      </c>
      <c r="E255" s="205"/>
      <c r="F255" s="262"/>
      <c r="G255" s="222"/>
      <c r="H255" s="5"/>
      <c r="I255" s="5"/>
      <c r="J255" s="5"/>
      <c r="K255" s="182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1">
        <f>'Données projet'!A234</f>
        <v>0</v>
      </c>
      <c r="B256" s="192">
        <f>'Données projet'!D234</f>
        <v>0</v>
      </c>
      <c r="C256" s="205"/>
      <c r="D256" s="190">
        <f t="shared" si="13"/>
        <v>0</v>
      </c>
      <c r="E256" s="205"/>
      <c r="F256" s="262"/>
      <c r="G256" s="222"/>
      <c r="H256" s="5"/>
      <c r="I256" s="5"/>
      <c r="J256" s="5"/>
      <c r="K256" s="182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1">
        <f>'Données projet'!A235</f>
        <v>0</v>
      </c>
      <c r="B257" s="192">
        <f>'Données projet'!D235</f>
        <v>0</v>
      </c>
      <c r="C257" s="205"/>
      <c r="D257" s="190">
        <f t="shared" si="13"/>
        <v>0</v>
      </c>
      <c r="E257" s="205"/>
      <c r="F257" s="262"/>
      <c r="G257" s="222"/>
      <c r="H257" s="5"/>
      <c r="I257" s="5"/>
      <c r="J257" s="5"/>
      <c r="K257" s="182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1">
        <f>'Données projet'!A236</f>
        <v>0</v>
      </c>
      <c r="B258" s="192">
        <f>'Données projet'!D236</f>
        <v>0</v>
      </c>
      <c r="C258" s="205"/>
      <c r="D258" s="190">
        <f t="shared" si="13"/>
        <v>0</v>
      </c>
      <c r="E258" s="205"/>
      <c r="F258" s="262"/>
      <c r="G258" s="222"/>
      <c r="H258" s="5"/>
      <c r="I258" s="5"/>
      <c r="J258" s="5"/>
      <c r="K258" s="182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1">
        <f>'Données projet'!A237</f>
        <v>0</v>
      </c>
      <c r="B259" s="192">
        <f>'Données projet'!D237</f>
        <v>0</v>
      </c>
      <c r="C259" s="205"/>
      <c r="D259" s="190">
        <f t="shared" si="13"/>
        <v>0</v>
      </c>
      <c r="E259" s="205"/>
      <c r="F259" s="262"/>
      <c r="G259" s="222"/>
      <c r="H259" s="5"/>
      <c r="I259" s="5"/>
      <c r="J259" s="5"/>
      <c r="K259" s="182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2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2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5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2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2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2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9">
        <v>0</v>
      </c>
      <c r="B265" s="212" t="s">
        <v>132</v>
      </c>
      <c r="C265" s="211" t="s">
        <v>132</v>
      </c>
      <c r="D265" s="210" t="s">
        <v>132</v>
      </c>
      <c r="E265" s="205"/>
      <c r="F265" s="261"/>
      <c r="G265" s="222"/>
      <c r="H265" s="5"/>
      <c r="I265" s="5"/>
      <c r="J265" s="5"/>
      <c r="K265" s="182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9">
        <v>1</v>
      </c>
      <c r="B266" s="212" t="s">
        <v>132</v>
      </c>
      <c r="C266" s="211" t="s">
        <v>132</v>
      </c>
      <c r="D266" s="210" t="s">
        <v>132</v>
      </c>
      <c r="E266" s="205"/>
      <c r="F266" s="261"/>
      <c r="G266" s="220"/>
      <c r="H266" s="5"/>
      <c r="I266" s="5"/>
      <c r="J266" s="5"/>
      <c r="K266" s="182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9">
        <v>2</v>
      </c>
      <c r="B267" s="212" t="s">
        <v>132</v>
      </c>
      <c r="C267" s="211" t="s">
        <v>132</v>
      </c>
      <c r="D267" s="210" t="s">
        <v>132</v>
      </c>
      <c r="E267" s="205"/>
      <c r="F267" s="261"/>
      <c r="G267" s="220"/>
      <c r="H267" s="5"/>
      <c r="I267" s="5"/>
      <c r="J267" s="5"/>
      <c r="K267" s="182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9">
        <v>3</v>
      </c>
      <c r="B268" s="212" t="s">
        <v>132</v>
      </c>
      <c r="C268" s="211" t="s">
        <v>132</v>
      </c>
      <c r="D268" s="210" t="s">
        <v>132</v>
      </c>
      <c r="E268" s="205"/>
      <c r="F268" s="261"/>
      <c r="G268" s="220"/>
      <c r="H268" s="5"/>
      <c r="I268" s="5"/>
      <c r="J268" s="5"/>
      <c r="K268" s="182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9">
        <v>4</v>
      </c>
      <c r="B269" s="212" t="s">
        <v>132</v>
      </c>
      <c r="C269" s="211" t="s">
        <v>132</v>
      </c>
      <c r="D269" s="210" t="s">
        <v>132</v>
      </c>
      <c r="E269" s="205"/>
      <c r="F269" s="261"/>
      <c r="G269" s="220"/>
      <c r="H269" s="5"/>
      <c r="I269" s="5"/>
      <c r="J269" s="5"/>
      <c r="K269" s="182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9">
        <v>5</v>
      </c>
      <c r="B270" s="212" t="s">
        <v>132</v>
      </c>
      <c r="C270" s="211" t="s">
        <v>132</v>
      </c>
      <c r="D270" s="210" t="s">
        <v>132</v>
      </c>
      <c r="E270" s="205"/>
      <c r="F270" s="261"/>
      <c r="G270" s="221"/>
      <c r="H270" s="5"/>
      <c r="I270" s="5"/>
      <c r="J270" s="5"/>
      <c r="K270" s="182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1">
        <f>'Données projet'!A244</f>
        <v>0</v>
      </c>
      <c r="B271" s="192">
        <f>'Données projet'!D244</f>
        <v>0</v>
      </c>
      <c r="C271" s="205"/>
      <c r="D271" s="190">
        <f>B271*C271</f>
        <v>0</v>
      </c>
      <c r="E271" s="205"/>
      <c r="F271" s="262"/>
      <c r="G271" s="221"/>
      <c r="H271" s="5"/>
      <c r="I271" s="5"/>
      <c r="J271" s="5"/>
      <c r="K271" s="182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1">
        <f>'Données projet'!A245</f>
        <v>0</v>
      </c>
      <c r="B272" s="192">
        <f>'Données projet'!D245</f>
        <v>0</v>
      </c>
      <c r="C272" s="205"/>
      <c r="D272" s="190">
        <f t="shared" ref="D272:D290" si="14">B272*C272</f>
        <v>0</v>
      </c>
      <c r="E272" s="205"/>
      <c r="F272" s="262"/>
      <c r="G272" s="221"/>
      <c r="H272" s="5"/>
      <c r="I272" s="5"/>
      <c r="J272" s="5"/>
      <c r="K272" s="182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1">
        <f>'Données projet'!A246</f>
        <v>0</v>
      </c>
      <c r="B273" s="192">
        <f>'Données projet'!D246</f>
        <v>0</v>
      </c>
      <c r="C273" s="205"/>
      <c r="D273" s="190">
        <f t="shared" si="14"/>
        <v>0</v>
      </c>
      <c r="E273" s="205"/>
      <c r="F273" s="262"/>
      <c r="G273" s="221"/>
      <c r="H273" s="5"/>
      <c r="I273" s="5"/>
      <c r="J273" s="5"/>
      <c r="K273" s="182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1">
        <f>'Données projet'!A247</f>
        <v>0</v>
      </c>
      <c r="B274" s="192">
        <f>'Données projet'!D247</f>
        <v>0</v>
      </c>
      <c r="C274" s="205"/>
      <c r="D274" s="190">
        <f t="shared" si="14"/>
        <v>0</v>
      </c>
      <c r="E274" s="205"/>
      <c r="F274" s="262"/>
      <c r="G274" s="221"/>
      <c r="H274" s="5"/>
      <c r="I274" s="5"/>
      <c r="J274" s="5"/>
      <c r="K274" s="182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1">
        <f>'Données projet'!A248</f>
        <v>0</v>
      </c>
      <c r="B275" s="192">
        <f>'Données projet'!D248</f>
        <v>0</v>
      </c>
      <c r="C275" s="205"/>
      <c r="D275" s="190">
        <f t="shared" si="14"/>
        <v>0</v>
      </c>
      <c r="E275" s="205"/>
      <c r="F275" s="262"/>
      <c r="G275" s="221"/>
      <c r="H275" s="5"/>
      <c r="I275" s="5"/>
      <c r="J275" s="5"/>
      <c r="K275" s="182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1">
        <f>'Données projet'!A249</f>
        <v>0</v>
      </c>
      <c r="B276" s="192">
        <f>'Données projet'!D249</f>
        <v>0</v>
      </c>
      <c r="C276" s="205"/>
      <c r="D276" s="190">
        <f t="shared" si="14"/>
        <v>0</v>
      </c>
      <c r="E276" s="205"/>
      <c r="F276" s="262"/>
      <c r="G276" s="221"/>
      <c r="H276" s="5"/>
      <c r="I276" s="5"/>
      <c r="J276" s="5"/>
      <c r="K276" s="182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1">
        <f>'Données projet'!A250</f>
        <v>0</v>
      </c>
      <c r="B277" s="192">
        <f>'Données projet'!D250</f>
        <v>0</v>
      </c>
      <c r="C277" s="205"/>
      <c r="D277" s="190">
        <f t="shared" si="14"/>
        <v>0</v>
      </c>
      <c r="E277" s="205"/>
      <c r="F277" s="262"/>
      <c r="G277" s="222"/>
      <c r="H277" s="5"/>
      <c r="I277" s="5"/>
      <c r="J277" s="5"/>
      <c r="K277" s="182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1">
        <f>'Données projet'!A251</f>
        <v>0</v>
      </c>
      <c r="B278" s="192">
        <f>'Données projet'!D251</f>
        <v>0</v>
      </c>
      <c r="C278" s="205"/>
      <c r="D278" s="190">
        <f t="shared" si="14"/>
        <v>0</v>
      </c>
      <c r="E278" s="205"/>
      <c r="F278" s="262"/>
      <c r="G278" s="222"/>
      <c r="H278" s="5"/>
      <c r="I278" s="5"/>
      <c r="J278" s="5"/>
      <c r="K278" s="182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1">
        <f>'Données projet'!A252</f>
        <v>0</v>
      </c>
      <c r="B279" s="192">
        <f>'Données projet'!D252</f>
        <v>0</v>
      </c>
      <c r="C279" s="205"/>
      <c r="D279" s="190">
        <f t="shared" si="14"/>
        <v>0</v>
      </c>
      <c r="E279" s="205"/>
      <c r="F279" s="262"/>
      <c r="G279" s="222"/>
      <c r="H279" s="5"/>
      <c r="I279" s="5"/>
      <c r="J279" s="5"/>
      <c r="K279" s="182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1">
        <f>'Données projet'!A253</f>
        <v>0</v>
      </c>
      <c r="B280" s="192">
        <f>'Données projet'!D253</f>
        <v>0</v>
      </c>
      <c r="C280" s="205"/>
      <c r="D280" s="190">
        <f t="shared" si="14"/>
        <v>0</v>
      </c>
      <c r="E280" s="205"/>
      <c r="F280" s="262"/>
      <c r="G280" s="222"/>
      <c r="H280" s="5"/>
      <c r="I280" s="5"/>
      <c r="J280" s="5"/>
      <c r="K280" s="182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1">
        <f>'Données projet'!A254</f>
        <v>0</v>
      </c>
      <c r="B281" s="192">
        <f>'Données projet'!D254</f>
        <v>0</v>
      </c>
      <c r="C281" s="205"/>
      <c r="D281" s="190">
        <f t="shared" si="14"/>
        <v>0</v>
      </c>
      <c r="E281" s="205"/>
      <c r="F281" s="262"/>
      <c r="G281" s="222"/>
      <c r="H281" s="5"/>
      <c r="I281" s="5"/>
      <c r="J281" s="5"/>
      <c r="K281" s="182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1">
        <f>'Données projet'!A255</f>
        <v>0</v>
      </c>
      <c r="B282" s="192">
        <f>'Données projet'!D255</f>
        <v>0</v>
      </c>
      <c r="C282" s="205"/>
      <c r="D282" s="190">
        <f t="shared" si="14"/>
        <v>0</v>
      </c>
      <c r="E282" s="205"/>
      <c r="F282" s="262"/>
      <c r="G282" s="222"/>
      <c r="H282" s="5"/>
      <c r="I282" s="5"/>
      <c r="J282" s="5"/>
      <c r="K282" s="182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1">
        <f>'Données projet'!A256</f>
        <v>0</v>
      </c>
      <c r="B283" s="192">
        <f>'Données projet'!D256</f>
        <v>0</v>
      </c>
      <c r="C283" s="205"/>
      <c r="D283" s="190">
        <f t="shared" si="14"/>
        <v>0</v>
      </c>
      <c r="E283" s="205"/>
      <c r="F283" s="262"/>
      <c r="G283" s="222"/>
      <c r="H283" s="5"/>
      <c r="I283" s="5"/>
      <c r="J283" s="5"/>
      <c r="K283" s="182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1">
        <f>'Données projet'!A257</f>
        <v>0</v>
      </c>
      <c r="B284" s="192">
        <f>'Données projet'!D257</f>
        <v>0</v>
      </c>
      <c r="C284" s="205"/>
      <c r="D284" s="190">
        <f t="shared" si="14"/>
        <v>0</v>
      </c>
      <c r="E284" s="205"/>
      <c r="F284" s="262"/>
      <c r="G284" s="222"/>
      <c r="H284" s="5"/>
      <c r="I284" s="5"/>
      <c r="J284" s="5"/>
      <c r="K284" s="182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1">
        <f>'Données projet'!A258</f>
        <v>0</v>
      </c>
      <c r="B285" s="192">
        <f>'Données projet'!D258</f>
        <v>0</v>
      </c>
      <c r="C285" s="205"/>
      <c r="D285" s="190">
        <f t="shared" si="14"/>
        <v>0</v>
      </c>
      <c r="E285" s="205"/>
      <c r="F285" s="262"/>
      <c r="G285" s="222"/>
      <c r="H285" s="5"/>
      <c r="I285" s="5"/>
      <c r="J285" s="5"/>
      <c r="K285" s="182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1">
        <f>'Données projet'!A259</f>
        <v>0</v>
      </c>
      <c r="B286" s="192">
        <f>'Données projet'!D259</f>
        <v>0</v>
      </c>
      <c r="C286" s="205"/>
      <c r="D286" s="190">
        <f t="shared" si="14"/>
        <v>0</v>
      </c>
      <c r="E286" s="205"/>
      <c r="F286" s="262"/>
      <c r="G286" s="222"/>
      <c r="H286" s="5"/>
      <c r="I286" s="5"/>
      <c r="J286" s="5"/>
      <c r="K286" s="182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1">
        <f>'Données projet'!A260</f>
        <v>0</v>
      </c>
      <c r="B287" s="192">
        <f>'Données projet'!D260</f>
        <v>0</v>
      </c>
      <c r="C287" s="205"/>
      <c r="D287" s="190">
        <f t="shared" si="14"/>
        <v>0</v>
      </c>
      <c r="E287" s="205"/>
      <c r="F287" s="262"/>
      <c r="G287" s="222"/>
      <c r="H287" s="5"/>
      <c r="I287" s="5"/>
      <c r="J287" s="5"/>
      <c r="K287" s="182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1">
        <f>'Données projet'!A261</f>
        <v>0</v>
      </c>
      <c r="B288" s="192">
        <f>'Données projet'!D261</f>
        <v>0</v>
      </c>
      <c r="C288" s="205"/>
      <c r="D288" s="190">
        <f t="shared" si="14"/>
        <v>0</v>
      </c>
      <c r="E288" s="205"/>
      <c r="F288" s="262"/>
      <c r="G288" s="222"/>
      <c r="H288" s="5"/>
      <c r="I288" s="5"/>
      <c r="J288" s="5"/>
      <c r="K288" s="182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1">
        <f>'Données projet'!A262</f>
        <v>0</v>
      </c>
      <c r="B289" s="192">
        <f>'Données projet'!D262</f>
        <v>0</v>
      </c>
      <c r="C289" s="205"/>
      <c r="D289" s="190">
        <f t="shared" si="14"/>
        <v>0</v>
      </c>
      <c r="E289" s="205"/>
      <c r="F289" s="262"/>
      <c r="G289" s="222"/>
      <c r="H289" s="5"/>
      <c r="I289" s="5"/>
      <c r="J289" s="5"/>
      <c r="K289" s="182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1">
        <f>'Données projet'!A263</f>
        <v>0</v>
      </c>
      <c r="B290" s="192">
        <f>'Données projet'!D263</f>
        <v>0</v>
      </c>
      <c r="C290" s="205"/>
      <c r="D290" s="190">
        <f t="shared" si="14"/>
        <v>0</v>
      </c>
      <c r="E290" s="205"/>
      <c r="F290" s="262"/>
      <c r="G290" s="222"/>
      <c r="H290" s="5"/>
      <c r="I290" s="5"/>
      <c r="J290" s="5"/>
      <c r="K290" s="182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2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2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5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2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2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2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9">
        <v>0</v>
      </c>
      <c r="B296" s="212" t="s">
        <v>132</v>
      </c>
      <c r="C296" s="211" t="s">
        <v>132</v>
      </c>
      <c r="D296" s="210" t="s">
        <v>132</v>
      </c>
      <c r="E296" s="205"/>
      <c r="F296" s="261"/>
      <c r="G296" s="222"/>
      <c r="H296" s="5"/>
      <c r="I296" s="5"/>
      <c r="J296" s="5"/>
      <c r="K296" s="182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9">
        <v>1</v>
      </c>
      <c r="B297" s="212" t="s">
        <v>132</v>
      </c>
      <c r="C297" s="211" t="s">
        <v>132</v>
      </c>
      <c r="D297" s="210" t="s">
        <v>132</v>
      </c>
      <c r="E297" s="205"/>
      <c r="F297" s="261"/>
      <c r="G297" s="220"/>
      <c r="H297" s="5"/>
      <c r="I297" s="5"/>
      <c r="J297" s="5"/>
      <c r="K297" s="182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9">
        <v>2</v>
      </c>
      <c r="B298" s="212" t="s">
        <v>132</v>
      </c>
      <c r="C298" s="211" t="s">
        <v>132</v>
      </c>
      <c r="D298" s="210" t="s">
        <v>132</v>
      </c>
      <c r="E298" s="205"/>
      <c r="F298" s="261"/>
      <c r="G298" s="220"/>
      <c r="H298" s="5"/>
      <c r="I298" s="5"/>
      <c r="J298" s="5"/>
      <c r="K298" s="182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9">
        <v>3</v>
      </c>
      <c r="B299" s="212" t="s">
        <v>132</v>
      </c>
      <c r="C299" s="211" t="s">
        <v>132</v>
      </c>
      <c r="D299" s="210" t="s">
        <v>132</v>
      </c>
      <c r="E299" s="205"/>
      <c r="F299" s="261"/>
      <c r="G299" s="220"/>
      <c r="H299" s="5"/>
      <c r="I299" s="5"/>
      <c r="J299" s="5"/>
      <c r="K299" s="182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9">
        <v>4</v>
      </c>
      <c r="B300" s="212" t="s">
        <v>132</v>
      </c>
      <c r="C300" s="211" t="s">
        <v>132</v>
      </c>
      <c r="D300" s="210" t="s">
        <v>132</v>
      </c>
      <c r="E300" s="205"/>
      <c r="F300" s="261"/>
      <c r="G300" s="220"/>
      <c r="H300" s="5"/>
      <c r="I300" s="5"/>
      <c r="J300" s="5"/>
      <c r="K300" s="182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9">
        <v>5</v>
      </c>
      <c r="B301" s="212" t="s">
        <v>132</v>
      </c>
      <c r="C301" s="211" t="s">
        <v>132</v>
      </c>
      <c r="D301" s="210" t="s">
        <v>132</v>
      </c>
      <c r="E301" s="205"/>
      <c r="F301" s="261"/>
      <c r="G301" s="221"/>
      <c r="H301" s="5"/>
      <c r="I301" s="5"/>
      <c r="J301" s="5"/>
      <c r="K301" s="182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1">
        <f>'Données projet'!A270</f>
        <v>0</v>
      </c>
      <c r="B302" s="192">
        <f>'Données projet'!D270</f>
        <v>0</v>
      </c>
      <c r="C302" s="203"/>
      <c r="D302" s="193">
        <f>B302*C302</f>
        <v>0</v>
      </c>
      <c r="E302" s="205"/>
      <c r="F302" s="263"/>
      <c r="G302" s="221"/>
      <c r="H302" s="5"/>
      <c r="I302" s="5"/>
      <c r="J302" s="5"/>
      <c r="K302" s="182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1">
        <f>'Données projet'!A271</f>
        <v>0</v>
      </c>
      <c r="B303" s="192">
        <f>'Données projet'!D271</f>
        <v>0</v>
      </c>
      <c r="C303" s="203"/>
      <c r="D303" s="193">
        <f t="shared" ref="D303:D321" si="15">B303*C303</f>
        <v>0</v>
      </c>
      <c r="E303" s="205"/>
      <c r="F303" s="263"/>
      <c r="G303" s="221"/>
      <c r="H303" s="5"/>
      <c r="I303" s="5"/>
      <c r="J303" s="5"/>
      <c r="K303" s="182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1">
        <f>'Données projet'!A272</f>
        <v>0</v>
      </c>
      <c r="B304" s="192">
        <f>'Données projet'!D272</f>
        <v>0</v>
      </c>
      <c r="C304" s="203"/>
      <c r="D304" s="193">
        <f t="shared" si="15"/>
        <v>0</v>
      </c>
      <c r="E304" s="205"/>
      <c r="F304" s="263"/>
      <c r="G304" s="221"/>
      <c r="H304" s="5"/>
      <c r="I304" s="5"/>
      <c r="J304" s="5"/>
      <c r="K304" s="182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1">
        <f>'Données projet'!A273</f>
        <v>0</v>
      </c>
      <c r="B305" s="192">
        <f>'Données projet'!D273</f>
        <v>0</v>
      </c>
      <c r="C305" s="203"/>
      <c r="D305" s="193">
        <f t="shared" si="15"/>
        <v>0</v>
      </c>
      <c r="E305" s="205"/>
      <c r="F305" s="263"/>
      <c r="G305" s="221"/>
      <c r="H305" s="5"/>
      <c r="I305" s="5"/>
      <c r="J305" s="5"/>
      <c r="K305" s="182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1">
        <f>'Données projet'!A274</f>
        <v>0</v>
      </c>
      <c r="B306" s="192">
        <f>'Données projet'!D274</f>
        <v>0</v>
      </c>
      <c r="C306" s="203"/>
      <c r="D306" s="193">
        <f t="shared" si="15"/>
        <v>0</v>
      </c>
      <c r="E306" s="205"/>
      <c r="F306" s="263"/>
      <c r="G306" s="221"/>
      <c r="H306" s="5"/>
      <c r="I306" s="5"/>
      <c r="J306" s="5"/>
      <c r="K306" s="182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1">
        <f>'Données projet'!A275</f>
        <v>0</v>
      </c>
      <c r="B307" s="192">
        <f>'Données projet'!D275</f>
        <v>0</v>
      </c>
      <c r="C307" s="203"/>
      <c r="D307" s="193">
        <f t="shared" si="15"/>
        <v>0</v>
      </c>
      <c r="E307" s="205"/>
      <c r="F307" s="263"/>
      <c r="G307" s="221"/>
      <c r="H307" s="5"/>
      <c r="I307" s="5"/>
      <c r="J307" s="5"/>
      <c r="K307" s="182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1">
        <f>'Données projet'!A276</f>
        <v>0</v>
      </c>
      <c r="B308" s="192">
        <f>'Données projet'!D276</f>
        <v>0</v>
      </c>
      <c r="C308" s="203"/>
      <c r="D308" s="193">
        <f t="shared" si="15"/>
        <v>0</v>
      </c>
      <c r="E308" s="205"/>
      <c r="F308" s="263"/>
      <c r="G308" s="217"/>
      <c r="H308" s="5"/>
      <c r="I308" s="5"/>
      <c r="J308" s="5"/>
      <c r="K308" s="182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1">
        <f>'Données projet'!A277</f>
        <v>0</v>
      </c>
      <c r="B309" s="192">
        <f>'Données projet'!D277</f>
        <v>0</v>
      </c>
      <c r="C309" s="203"/>
      <c r="D309" s="193">
        <f t="shared" si="15"/>
        <v>0</v>
      </c>
      <c r="E309" s="205"/>
      <c r="F309" s="263"/>
      <c r="G309" s="217"/>
      <c r="H309" s="5"/>
      <c r="I309" s="5"/>
      <c r="J309" s="5"/>
      <c r="K309" s="182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1">
        <f>'Données projet'!A278</f>
        <v>0</v>
      </c>
      <c r="B310" s="192">
        <f>'Données projet'!D278</f>
        <v>0</v>
      </c>
      <c r="C310" s="203"/>
      <c r="D310" s="193">
        <f t="shared" si="15"/>
        <v>0</v>
      </c>
      <c r="E310" s="205"/>
      <c r="F310" s="263"/>
      <c r="G310" s="217"/>
      <c r="H310" s="5"/>
      <c r="I310" s="5"/>
      <c r="J310" s="5"/>
      <c r="K310" s="182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1">
        <f>'Données projet'!A279</f>
        <v>0</v>
      </c>
      <c r="B311" s="192">
        <f>'Données projet'!D279</f>
        <v>0</v>
      </c>
      <c r="C311" s="203"/>
      <c r="D311" s="193">
        <f t="shared" si="15"/>
        <v>0</v>
      </c>
      <c r="E311" s="205"/>
      <c r="F311" s="263"/>
      <c r="G311" s="217"/>
      <c r="H311" s="5"/>
      <c r="I311" s="5"/>
      <c r="J311" s="5"/>
      <c r="K311" s="182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1">
        <f>'Données projet'!A280</f>
        <v>0</v>
      </c>
      <c r="B312" s="192">
        <f>'Données projet'!D280</f>
        <v>0</v>
      </c>
      <c r="C312" s="203"/>
      <c r="D312" s="193">
        <f t="shared" si="15"/>
        <v>0</v>
      </c>
      <c r="E312" s="205"/>
      <c r="F312" s="263"/>
      <c r="G312" s="217"/>
      <c r="H312" s="5"/>
      <c r="I312" s="5"/>
      <c r="J312" s="5"/>
      <c r="K312" s="182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1">
        <f>'Données projet'!A281</f>
        <v>0</v>
      </c>
      <c r="B313" s="192">
        <f>'Données projet'!D281</f>
        <v>0</v>
      </c>
      <c r="C313" s="203"/>
      <c r="D313" s="193">
        <f t="shared" si="15"/>
        <v>0</v>
      </c>
      <c r="E313" s="205"/>
      <c r="F313" s="263"/>
      <c r="G313" s="217"/>
      <c r="H313" s="5"/>
      <c r="I313" s="5"/>
      <c r="J313" s="5"/>
      <c r="K313" s="182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1">
        <f>'Données projet'!A282</f>
        <v>0</v>
      </c>
      <c r="B314" s="192">
        <f>'Données projet'!D282</f>
        <v>0</v>
      </c>
      <c r="C314" s="203"/>
      <c r="D314" s="193">
        <f t="shared" si="15"/>
        <v>0</v>
      </c>
      <c r="E314" s="205"/>
      <c r="F314" s="263"/>
      <c r="G314" s="217"/>
      <c r="H314" s="5"/>
      <c r="I314" s="5"/>
      <c r="J314" s="5"/>
      <c r="K314" s="182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1">
        <f>'Données projet'!A283</f>
        <v>0</v>
      </c>
      <c r="B315" s="192">
        <f>'Données projet'!D283</f>
        <v>0</v>
      </c>
      <c r="C315" s="203"/>
      <c r="D315" s="193">
        <f t="shared" si="15"/>
        <v>0</v>
      </c>
      <c r="E315" s="205"/>
      <c r="F315" s="263"/>
      <c r="G315" s="217"/>
      <c r="H315" s="5"/>
      <c r="I315" s="5"/>
      <c r="J315" s="5"/>
      <c r="K315" s="182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1">
        <f>'Données projet'!A284</f>
        <v>0</v>
      </c>
      <c r="B316" s="192">
        <f>'Données projet'!D284</f>
        <v>0</v>
      </c>
      <c r="C316" s="203"/>
      <c r="D316" s="193">
        <f t="shared" si="15"/>
        <v>0</v>
      </c>
      <c r="E316" s="205"/>
      <c r="F316" s="263"/>
      <c r="G316" s="217"/>
      <c r="H316" s="5"/>
      <c r="I316" s="5"/>
      <c r="J316" s="5"/>
      <c r="K316" s="182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1">
        <f>'Données projet'!A285</f>
        <v>0</v>
      </c>
      <c r="B317" s="192">
        <f>'Données projet'!D285</f>
        <v>0</v>
      </c>
      <c r="C317" s="203"/>
      <c r="D317" s="193">
        <f t="shared" si="15"/>
        <v>0</v>
      </c>
      <c r="E317" s="205"/>
      <c r="F317" s="263"/>
      <c r="G317" s="217"/>
      <c r="H317" s="5"/>
      <c r="I317" s="5"/>
      <c r="J317" s="5"/>
      <c r="K317" s="182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1">
        <f>'Données projet'!A286</f>
        <v>0</v>
      </c>
      <c r="B318" s="192">
        <f>'Données projet'!D286</f>
        <v>0</v>
      </c>
      <c r="C318" s="203"/>
      <c r="D318" s="193">
        <f t="shared" si="15"/>
        <v>0</v>
      </c>
      <c r="E318" s="205"/>
      <c r="F318" s="263"/>
      <c r="G318" s="217"/>
      <c r="H318" s="5"/>
      <c r="I318" s="5"/>
      <c r="J318" s="5"/>
      <c r="K318" s="182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1">
        <f>'Données projet'!A287</f>
        <v>0</v>
      </c>
      <c r="B319" s="192">
        <f>'Données projet'!D287</f>
        <v>0</v>
      </c>
      <c r="C319" s="203"/>
      <c r="D319" s="193">
        <f t="shared" si="15"/>
        <v>0</v>
      </c>
      <c r="E319" s="205"/>
      <c r="F319" s="263"/>
      <c r="G319" s="217"/>
      <c r="H319" s="5"/>
      <c r="I319" s="5"/>
      <c r="J319" s="5"/>
      <c r="K319" s="182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1">
        <f>'Données projet'!A288</f>
        <v>0</v>
      </c>
      <c r="B320" s="192">
        <f>'Données projet'!D288</f>
        <v>0</v>
      </c>
      <c r="C320" s="203"/>
      <c r="D320" s="193">
        <f t="shared" si="15"/>
        <v>0</v>
      </c>
      <c r="E320" s="205"/>
      <c r="F320" s="263"/>
      <c r="G320" s="217"/>
      <c r="H320" s="5"/>
      <c r="I320" s="5"/>
      <c r="J320" s="5"/>
      <c r="K320" s="182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1">
        <f>'Données projet'!A289</f>
        <v>0</v>
      </c>
      <c r="B321" s="192">
        <f>'Données projet'!D289</f>
        <v>0</v>
      </c>
      <c r="C321" s="208"/>
      <c r="D321" s="193">
        <f t="shared" si="15"/>
        <v>0</v>
      </c>
      <c r="E321" s="205"/>
      <c r="F321" s="263"/>
      <c r="G321" s="217"/>
      <c r="H321" s="5"/>
      <c r="I321" s="5"/>
      <c r="J321" s="5"/>
      <c r="K321" s="182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7"/>
      <c r="H322" s="5"/>
      <c r="I322" s="5"/>
      <c r="J322" s="5"/>
      <c r="K322" s="182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7"/>
      <c r="H323" s="5"/>
      <c r="I323" s="5"/>
      <c r="J323" s="5"/>
      <c r="K323" s="182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7"/>
      <c r="H324" s="5"/>
      <c r="I324" s="5"/>
      <c r="J324" s="5"/>
      <c r="K324" s="182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7"/>
      <c r="H325" s="5"/>
      <c r="I325" s="5"/>
      <c r="J325" s="5"/>
      <c r="K325" s="182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7"/>
      <c r="H326" s="5"/>
      <c r="I326" s="5"/>
      <c r="J326" s="5"/>
      <c r="K326" s="182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7"/>
      <c r="H327" s="5"/>
      <c r="I327" s="5"/>
      <c r="J327" s="5"/>
      <c r="K327" s="182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2024-06-19T09:27:06Z</dcterms:modified>
</cp:coreProperties>
</file>