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LA FERRIERE AU DOYEN (61) - JOURDAIN\Dossier déposé 12 02 2024\"/>
    </mc:Choice>
  </mc:AlternateContent>
  <xr:revisionPtr revIDLastSave="0" documentId="13_ncr:1_{D514B093-40C1-4D22-8A48-8AF84A271592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<sst xmlns="http://schemas.openxmlformats.org/spreadsheetml/2006/main" count="1171" uniqueCount="325">
  <si>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</si>
  <si>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</si>
  <si>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</si>
  <si>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</si>
  <si>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</si>
  <si>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</si>
  <si>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</si>
  <si>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</si>
  <si>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</si>
  <si>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</si>
  <si>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</si>
  <si>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</si>
  <si>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</si>
  <si>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</si>
  <si>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</si>
  <si>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</si>
  <si>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</si>
  <si>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</si>
  <si>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</si>
  <si>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</si>
  <si>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</si>
  <si>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</si>
  <si>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</si>
  <si>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</si>
  <si>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</si>
  <si>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</si>
  <si>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</si>
  <si>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</si>
  <si>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</si>
  <si>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</si>
  <si>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</si>
  <si>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</si>
  <si>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</si>
  <si>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</si>
  <si>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</si>
  <si>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</si>
  <si>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</si>
  <si>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</si>
  <si>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</si>
  <si>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</si>
  <si>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</si>
  <si>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</si>
  <si>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</si>
  <si>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</si>
  <si>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</si>
  <si>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</si>
  <si>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</si>
  <si>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</si>
  <si>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</si>
  <si>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</si>
  <si>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</si>
  <si>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</si>
  <si>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</si>
  <si>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</si>
  <si>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</si>
  <si>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</si>
  <si>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</si>
  <si>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</si>
  <si>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</si>
  <si>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</si>
  <si>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</si>
  <si>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</si>
  <si>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</si>
  <si>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</si>
  <si>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</si>
  <si>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</si>
  <si>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</si>
  <si>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</si>
  <si>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</si>
  <si>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</si>
  <si>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</si>
  <si>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</si>
  <si>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</si>
  <si>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</si>
  <si>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</si>
  <si>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</si>
  <si>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</si>
  <si>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</si>
  <si>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</si>
  <si>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</si>
  <si>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</si>
  <si>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</si>
  <si>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</si>
  <si>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</si>
  <si>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</si>
  <si>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</si>
  <si>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</si>
  <si>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</si>
  <si>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</si>
  <si>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</si>
  <si>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</si>
  <si>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</si>
  <si>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</si>
  <si>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</si>
  <si>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</si>
  <si>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</si>
  <si>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</si>
  <si>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</si>
  <si>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</si>
  <si>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</si>
  <si>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</si>
  <si>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</si>
  <si>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</si>
  <si>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</si>
  <si>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</si>
  <si>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</si>
  <si>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</si>
  <si>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</si>
  <si>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</si>
  <si>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</si>
  <si>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</si>
  <si>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</si>
  <si>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</si>
  <si>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</si>
  <si>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</si>
  <si>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</si>
  <si>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</si>
  <si>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</si>
  <si>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</si>
  <si>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</si>
  <si>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</si>
  <si>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</si>
  <si>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</si>
  <si>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</si>
  <si>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</si>
  <si>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</si>
  <si>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</si>
  <si>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</si>
  <si>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</si>
  <si>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</si>
  <si>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</si>
  <si>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</si>
  <si>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</si>
  <si>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</si>
  <si>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</si>
  <si>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</si>
  <si>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</si>
  <si>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</si>
  <si>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</si>
  <si>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</si>
  <si>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</si>
  <si>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</si>
  <si>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</si>
  <si>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</si>
  <si>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</si>
  <si>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</si>
  <si>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</si>
  <si>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</si>
  <si>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</si>
  <si>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</si>
  <si>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</si>
  <si>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</si>
  <si>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</si>
  <si>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</si>
  <si>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</si>
  <si>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</si>
  <si>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</si>
  <si>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</si>
  <si>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</si>
  <si>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</si>
  <si>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</si>
  <si>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</si>
  <si>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</si>
  <si>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</si>
  <si>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</si>
  <si>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</si>
  <si>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</si>
  <si>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</si>
  <si>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</si>
  <si>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</si>
  <si>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</si>
  <si>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</si>
  <si>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</si>
  <si>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</si>
  <si>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</si>
  <si>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</si>
  <si>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</si>
  <si>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</si>
  <si>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</si>
  <si>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</si>
  <si>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</si>
  <si>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</si>
  <si>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</si>
  <si>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</si>
  <si>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</si>
  <si>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</si>
  <si>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</si>
  <si>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</si>
  <si>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</si>
  <si>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</si>
  <si>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</si>
  <si>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</si>
  <si>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</si>
  <si>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</si>
  <si>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</si>
  <si>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</si>
  <si>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</si>
  <si>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</si>
  <si>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</si>
  <si>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</si>
  <si>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</si>
  <si>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</si>
  <si>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</si>
  <si>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</si>
  <si>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</si>
  <si>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</si>
  <si>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</si>
  <si>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</si>
  <si>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</si>
  <si>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</si>
  <si>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</si>
  <si>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</si>
  <si>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</si>
  <si>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</si>
  <si>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</si>
  <si>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</si>
  <si>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</si>
  <si>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</si>
  <si>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</si>
  <si>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</si>
  <si>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</si>
  <si>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</si>
  <si>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</si>
  <si>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</si>
  <si>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</si>
  <si>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</si>
  <si>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</si>
  <si>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</si>
  <si>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</si>
  <si>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</si>
  <si>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</si>
  <si>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</si>
  <si>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</si>
  <si>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</si>
  <si>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</si>
  <si>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</si>
  <si>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</si>
  <si>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</si>
  <si>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</si>
  <si>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</si>
  <si>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</si>
  <si>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</si>
  <si>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</si>
  <si>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</si>
  <si>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</si>
  <si>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</si>
  <si>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</si>
  <si>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</si>
  <si>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</si>
  <si>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</si>
  <si>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</si>
  <si>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</si>
  <si>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</si>
  <si>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</si>
  <si>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</si>
  <si>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</si>
  <si>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</si>
  <si>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</si>
  <si>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</si>
  <si>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</si>
  <si>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</si>
  <si>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</si>
  <si>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</si>
  <si>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</si>
  <si>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</si>
  <si>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</si>
  <si>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</si>
  <si>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</si>
  <si>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</si>
  <si>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</si>
  <si>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</si>
  <si>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</si>
  <si>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</si>
  <si>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</si>
  <si>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</si>
  <si>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</si>
  <si>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</si>
  <si>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</si>
  <si>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</si>
  <si>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</si>
  <si>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</si>
  <si>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</si>
  <si>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</si>
  <si>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</si>
  <si>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</si>
  <si>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</si>
  <si>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</si>
  <si>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</si>
  <si>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</si>
  <si>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</si>
  <si>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</si>
  <si>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</si>
  <si>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</si>
  <si>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</si>
  <si>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</si>
  <si>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</si>
  <si>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</si>
  <si>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</si>
  <si>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</si>
  <si>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</si>
  <si>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</si>
  <si>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</si>
  <si>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</si>
  <si>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</si>
  <si>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</si>
  <si>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</si>
  <si>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</si>
  <si>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</si>
  <si>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</si>
  <si>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</si>
  <si>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</si>
  <si>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</si>
  <si>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</si>
  <si>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</si>
  <si>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</si>
  <si>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</si>
  <si>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</si>
  <si>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</si>
  <si>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</si>
  <si>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</si>
  <si>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</si>
  <si>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</si>
  <si>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</si>
  <si>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</si>
  <si>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merisier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</si>
</sst>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2.713993017085917</c:v>
                </c:pt>
                <c:pt idx="2">
                  <c:v>3.297780094167829</c:v>
                </c:pt>
                <c:pt idx="3">
                  <c:v>4.0076148495630122</c:v>
                </c:pt>
                <c:pt idx="4">
                  <c:v>4.8708091687241364</c:v>
                </c:pt>
                <c:pt idx="5">
                  <c:v>5.9206124221209437</c:v>
                </c:pt>
                <c:pt idx="6">
                  <c:v>7.1975062064258246</c:v>
                </c:pt>
                <c:pt idx="7">
                  <c:v>8.7507822174987044</c:v>
                </c:pt>
                <c:pt idx="8">
                  <c:v>10.640465330220749</c:v>
                </c:pt>
                <c:pt idx="9">
                  <c:v>12.939657601942194</c:v>
                </c:pt>
                <c:pt idx="10">
                  <c:v>15.737395562368858</c:v>
                </c:pt>
                <c:pt idx="11">
                  <c:v>19.142133466046261</c:v>
                </c:pt>
                <c:pt idx="12">
                  <c:v>23.285989973678308</c:v>
                </c:pt>
                <c:pt idx="13">
                  <c:v>28.329925983783568</c:v>
                </c:pt>
                <c:pt idx="14">
                  <c:v>34.470058263700928</c:v>
                </c:pt>
                <c:pt idx="15">
                  <c:v>41.945358602794364</c:v>
                </c:pt>
                <c:pt idx="16">
                  <c:v>51.047043231153054</c:v>
                </c:pt>
                <c:pt idx="17">
                  <c:v>62.130024412894237</c:v>
                </c:pt>
                <c:pt idx="18">
                  <c:v>75.626878119916697</c:v>
                </c:pt>
                <c:pt idx="19">
                  <c:v>92.064881799910609</c:v>
                </c:pt>
                <c:pt idx="20">
                  <c:v>112.08679847851977</c:v>
                </c:pt>
                <c:pt idx="21">
                  <c:v>118.59205774561866</c:v>
                </c:pt>
                <c:pt idx="22">
                  <c:v>132.72117073355489</c:v>
                </c:pt>
                <c:pt idx="23">
                  <c:v>146.81397834828738</c:v>
                </c:pt>
                <c:pt idx="24">
                  <c:v>160.87445980010816</c:v>
                </c:pt>
                <c:pt idx="25">
                  <c:v>174.90584046860883</c:v>
                </c:pt>
                <c:pt idx="26">
                  <c:v>150.61714980411793</c:v>
                </c:pt>
                <c:pt idx="27">
                  <c:v>164.29006685083496</c:v>
                </c:pt>
                <c:pt idx="28">
                  <c:v>177.93609396509945</c:v>
                </c:pt>
                <c:pt idx="29">
                  <c:v>191.55758507110079</c:v>
                </c:pt>
                <c:pt idx="30">
                  <c:v>205.15653155887534</c:v>
                </c:pt>
                <c:pt idx="31">
                  <c:v>179.82938633009815</c:v>
                </c:pt>
                <c:pt idx="32">
                  <c:v>192.31365664017588</c:v>
                </c:pt>
                <c:pt idx="33">
                  <c:v>204.77907175916729</c:v>
                </c:pt>
                <c:pt idx="34">
                  <c:v>217.22694181678969</c:v>
                </c:pt>
                <c:pt idx="35">
                  <c:v>229.65841439261337</c:v>
                </c:pt>
                <c:pt idx="36">
                  <c:v>203.64659563079613</c:v>
                </c:pt>
                <c:pt idx="37">
                  <c:v>215.34198157425371</c:v>
                </c:pt>
                <c:pt idx="38">
                  <c:v>227.02275330173859</c:v>
                </c:pt>
                <c:pt idx="39">
                  <c:v>238.68976915585526</c:v>
                </c:pt>
                <c:pt idx="40">
                  <c:v>250.34379664975143</c:v>
                </c:pt>
                <c:pt idx="41">
                  <c:v>224.76305761819131</c:v>
                </c:pt>
                <c:pt idx="42">
                  <c:v>234.92767007142697</c:v>
                </c:pt>
                <c:pt idx="43">
                  <c:v>245.08225003541108</c:v>
                </c:pt>
                <c:pt idx="44">
                  <c:v>255.22727211134486</c:v>
                </c:pt>
                <c:pt idx="45">
                  <c:v>265.36317005758804</c:v>
                </c:pt>
                <c:pt idx="46">
                  <c:v>242.45051729235141</c:v>
                </c:pt>
                <c:pt idx="47">
                  <c:v>251.47094266035708</c:v>
                </c:pt>
                <c:pt idx="48">
                  <c:v>260.48403592293721</c:v>
                </c:pt>
                <c:pt idx="49">
                  <c:v>269.49008678800806</c:v>
                </c:pt>
                <c:pt idx="50">
                  <c:v>278.48936400091287</c:v>
                </c:pt>
                <c:pt idx="51">
                  <c:v>256.72945236768516</c:v>
                </c:pt>
                <c:pt idx="52">
                  <c:v>264.98792439409311</c:v>
                </c:pt>
                <c:pt idx="53">
                  <c:v>273.24059406456837</c:v>
                </c:pt>
                <c:pt idx="54">
                  <c:v>281.48766152009608</c:v>
                </c:pt>
                <c:pt idx="55">
                  <c:v>289.72931420493563</c:v>
                </c:pt>
                <c:pt idx="56">
                  <c:v>270.61536157537017</c:v>
                </c:pt>
                <c:pt idx="57">
                  <c:v>277.73967673325734</c:v>
                </c:pt>
                <c:pt idx="58">
                  <c:v>284.85989094555805</c:v>
                </c:pt>
                <c:pt idx="59">
                  <c:v>291.97612129761052</c:v>
                </c:pt>
                <c:pt idx="60">
                  <c:v>299.0884786949544</c:v>
                </c:pt>
                <c:pt idx="61">
                  <c:v>281.11291365958624</c:v>
                </c:pt>
                <c:pt idx="62">
                  <c:v>287.48211750444835</c:v>
                </c:pt>
                <c:pt idx="63">
                  <c:v>293.84816539917824</c:v>
                </c:pt>
                <c:pt idx="64">
                  <c:v>300.21113544922065</c:v>
                </c:pt>
                <c:pt idx="65">
                  <c:v>306.5711021747656</c:v>
                </c:pt>
                <c:pt idx="66">
                  <c:v>291.22722867703203</c:v>
                </c:pt>
                <c:pt idx="67">
                  <c:v>296.46858031425933</c:v>
                </c:pt>
                <c:pt idx="68">
                  <c:v>301.70786571384616</c:v>
                </c:pt>
                <c:pt idx="69">
                  <c:v>306.94512587259879</c:v>
                </c:pt>
                <c:pt idx="70">
                  <c:v>312.18040027213129</c:v>
                </c:pt>
                <c:pt idx="71">
                  <c:v>298.33998870460488</c:v>
                </c:pt>
                <c:pt idx="72">
                  <c:v>303.20443066215006</c:v>
                </c:pt>
                <c:pt idx="73">
                  <c:v>308.06713623755655</c:v>
                </c:pt>
                <c:pt idx="74">
                  <c:v>312.92813674795354</c:v>
                </c:pt>
                <c:pt idx="75">
                  <c:v>317.78746245668077</c:v>
                </c:pt>
                <c:pt idx="76">
                  <c:v>305.0749057919158</c:v>
                </c:pt>
                <c:pt idx="77">
                  <c:v>309.18905580466139</c:v>
                </c:pt>
                <c:pt idx="78">
                  <c:v>313.30199011471836</c:v>
                </c:pt>
                <c:pt idx="79">
                  <c:v>317.41372695991305</c:v>
                </c:pt>
                <c:pt idx="80">
                  <c:v>321.52428406625825</c:v>
                </c:pt>
                <c:pt idx="81">
                  <c:v>310.31088495066126</c:v>
                </c:pt>
                <c:pt idx="82">
                  <c:v>314.04966717357382</c:v>
                </c:pt>
                <c:pt idx="83">
                  <c:v>317.78746245668066</c:v>
                </c:pt>
                <c:pt idx="84">
                  <c:v>321.52428406625825</c:v>
                </c:pt>
                <c:pt idx="85">
                  <c:v>325.26014493454369</c:v>
                </c:pt>
                <c:pt idx="86">
                  <c:v>315.17110877697866</c:v>
                </c:pt>
                <c:pt idx="87">
                  <c:v>318.16118821698859</c:v>
                </c:pt>
                <c:pt idx="88">
                  <c:v>321.15064534947913</c:v>
                </c:pt>
                <c:pt idx="89">
                  <c:v>324.13948679547377</c:v>
                </c:pt>
                <c:pt idx="90">
                  <c:v>327.12771904371129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C26" sqref="C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1.62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0.8</v>
      </c>
      <c r="D9" s="36">
        <f t="shared" ref="D9:D18" si="0">C9*$C$5</f>
        <v>1.2960000000000003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0.1</v>
      </c>
      <c r="D10" s="36">
        <f t="shared" si="0"/>
        <v>0.16200000000000003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324</v>
      </c>
      <c r="C11" s="35">
        <v>0.1</v>
      </c>
      <c r="D11" s="36">
        <f t="shared" si="0"/>
        <v>0.16200000000000003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1.62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103</v>
      </c>
      <c r="C37" s="63">
        <v>2</v>
      </c>
      <c r="D37" s="63">
        <v>28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0.5</v>
      </c>
      <c r="G38" s="54">
        <v>0.5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57</v>
      </c>
      <c r="C62" s="63">
        <v>1</v>
      </c>
      <c r="D62" s="63">
        <v>4</v>
      </c>
      <c r="E62" s="54"/>
      <c r="F62" s="54"/>
      <c r="G62" s="54">
        <v>1</v>
      </c>
      <c r="H62" s="54"/>
      <c r="I62" s="56">
        <f>IFERROR(B62/A62,"")</f>
        <v>2.85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90</v>
      </c>
      <c r="C63" s="63">
        <v>2</v>
      </c>
      <c r="D63" s="63">
        <v>20</v>
      </c>
      <c r="E63" s="54"/>
      <c r="F63" s="54"/>
      <c r="G63" s="54">
        <v>1</v>
      </c>
      <c r="H63" s="54"/>
      <c r="I63" s="52">
        <f>IF(A63&lt;&gt;0,(B63-(B62-D62))/(A63-A62),"")</f>
        <v>7.4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106</v>
      </c>
      <c r="C64" s="63">
        <v>3</v>
      </c>
      <c r="D64" s="63">
        <v>20</v>
      </c>
      <c r="E64" s="54"/>
      <c r="F64" s="54"/>
      <c r="G64" s="54">
        <v>1</v>
      </c>
      <c r="H64" s="54"/>
      <c r="I64" s="52">
        <f>IF(A64&lt;&gt;0,(B64-(B63-D63))/(A64-A63),"")</f>
        <v>7.2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119</v>
      </c>
      <c r="C65" s="63">
        <v>4</v>
      </c>
      <c r="D65" s="63">
        <v>20</v>
      </c>
      <c r="E65" s="54"/>
      <c r="F65" s="54"/>
      <c r="G65" s="54"/>
      <c r="H65" s="54"/>
      <c r="I65" s="52">
        <f>IF(A65&lt;&gt;0,(B65-(B64-D64))/(A65-A64),"")</f>
        <v>6.6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130</v>
      </c>
      <c r="C66" s="63">
        <v>5</v>
      </c>
      <c r="D66" s="63">
        <v>19</v>
      </c>
      <c r="E66" s="54"/>
      <c r="F66" s="54"/>
      <c r="G66" s="54"/>
      <c r="H66" s="54"/>
      <c r="I66" s="52">
        <f t="shared" ref="I66:I81" si="2">IF(A66&lt;&gt;0,(B66-(B65-D65))/(A66-A65),"")</f>
        <v>6.2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138</v>
      </c>
      <c r="C67" s="63">
        <v>6</v>
      </c>
      <c r="D67" s="63">
        <v>17</v>
      </c>
      <c r="E67" s="54"/>
      <c r="F67" s="54"/>
      <c r="G67" s="54"/>
      <c r="H67" s="54"/>
      <c r="I67" s="52">
        <f t="shared" si="2"/>
        <v>5.4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145</v>
      </c>
      <c r="C68" s="63">
        <v>7</v>
      </c>
      <c r="D68" s="63">
        <v>16</v>
      </c>
      <c r="E68" s="54"/>
      <c r="F68" s="54"/>
      <c r="G68" s="54"/>
      <c r="H68" s="54"/>
      <c r="I68" s="52">
        <f t="shared" si="2"/>
        <v>4.8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151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4.4000000000000004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156</v>
      </c>
      <c r="C70" s="53">
        <v>9</v>
      </c>
      <c r="D70" s="53">
        <v>13</v>
      </c>
      <c r="E70" s="54"/>
      <c r="F70" s="54"/>
      <c r="G70" s="54"/>
      <c r="H70" s="54"/>
      <c r="I70" s="52">
        <f t="shared" si="2"/>
        <v>3.8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160</v>
      </c>
      <c r="C71" s="53">
        <v>10</v>
      </c>
      <c r="D71" s="53">
        <v>11</v>
      </c>
      <c r="E71" s="54"/>
      <c r="F71" s="54"/>
      <c r="G71" s="54"/>
      <c r="H71" s="54"/>
      <c r="I71" s="52">
        <f t="shared" si="2"/>
        <v>3.4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163</v>
      </c>
      <c r="C72" s="53">
        <v>11</v>
      </c>
      <c r="D72" s="53">
        <v>10</v>
      </c>
      <c r="E72" s="54"/>
      <c r="F72" s="54"/>
      <c r="G72" s="54"/>
      <c r="H72" s="54"/>
      <c r="I72" s="52">
        <f t="shared" si="2"/>
        <v>2.8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166</v>
      </c>
      <c r="C73" s="53">
        <v>12</v>
      </c>
      <c r="D73" s="53">
        <v>9</v>
      </c>
      <c r="E73" s="54"/>
      <c r="F73" s="54"/>
      <c r="G73" s="54"/>
      <c r="H73" s="54"/>
      <c r="I73" s="52">
        <f t="shared" si="2"/>
        <v>2.6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168</v>
      </c>
      <c r="C74" s="53">
        <v>13</v>
      </c>
      <c r="D74" s="53">
        <v>8</v>
      </c>
      <c r="E74" s="54"/>
      <c r="F74" s="54"/>
      <c r="G74" s="54"/>
      <c r="H74" s="54"/>
      <c r="I74" s="52">
        <f t="shared" si="2"/>
        <v>2.2000000000000002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170</v>
      </c>
      <c r="C75" s="53">
        <v>14</v>
      </c>
      <c r="D75" s="53">
        <v>7</v>
      </c>
      <c r="E75" s="54"/>
      <c r="F75" s="54"/>
      <c r="G75" s="54"/>
      <c r="H75" s="54"/>
      <c r="I75" s="52">
        <f t="shared" si="2"/>
        <v>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171</v>
      </c>
      <c r="C76" s="53">
        <v>15</v>
      </c>
      <c r="D76" s="53">
        <v>171</v>
      </c>
      <c r="E76" s="54"/>
      <c r="F76" s="54"/>
      <c r="G76" s="54"/>
      <c r="H76" s="54"/>
      <c r="I76" s="52">
        <f t="shared" si="2"/>
        <v>1.6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40</v>
      </c>
      <c r="C88" s="63">
        <v>1</v>
      </c>
      <c r="D88" s="63">
        <v>3</v>
      </c>
      <c r="E88" s="54"/>
      <c r="F88" s="54"/>
      <c r="G88" s="54">
        <v>1</v>
      </c>
      <c r="H88" s="93"/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85</v>
      </c>
      <c r="C89" s="63">
        <v>2</v>
      </c>
      <c r="D89" s="63">
        <v>25</v>
      </c>
      <c r="E89" s="54"/>
      <c r="F89" s="54"/>
      <c r="G89" s="54">
        <v>1</v>
      </c>
      <c r="H89" s="93"/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113</v>
      </c>
      <c r="C90" s="63">
        <v>3</v>
      </c>
      <c r="D90" s="63">
        <v>27</v>
      </c>
      <c r="E90" s="93"/>
      <c r="F90" s="93">
        <v>0.2</v>
      </c>
      <c r="G90" s="93">
        <v>0.8</v>
      </c>
      <c r="H90" s="93"/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31</v>
      </c>
      <c r="B91" s="63">
        <v>155</v>
      </c>
      <c r="C91" s="63">
        <v>4</v>
      </c>
      <c r="D91" s="63">
        <v>36</v>
      </c>
      <c r="E91" s="93"/>
      <c r="F91" s="93"/>
      <c r="G91" s="93"/>
      <c r="H91" s="93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37</v>
      </c>
      <c r="B92" s="63">
        <v>188</v>
      </c>
      <c r="C92" s="63">
        <v>5</v>
      </c>
      <c r="D92" s="63">
        <v>36</v>
      </c>
      <c r="E92" s="93"/>
      <c r="F92" s="93"/>
      <c r="G92" s="93"/>
      <c r="H92" s="93"/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44</v>
      </c>
      <c r="B93" s="63">
        <v>230</v>
      </c>
      <c r="C93" s="63">
        <v>6</v>
      </c>
      <c r="D93" s="63">
        <v>43</v>
      </c>
      <c r="E93" s="93"/>
      <c r="F93" s="93"/>
      <c r="G93" s="93"/>
      <c r="H93" s="93"/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52</v>
      </c>
      <c r="B94" s="63">
        <v>270</v>
      </c>
      <c r="C94" s="63">
        <v>7</v>
      </c>
      <c r="D94" s="63">
        <v>48</v>
      </c>
      <c r="E94" s="93"/>
      <c r="F94" s="93"/>
      <c r="G94" s="93"/>
      <c r="H94" s="93"/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60</v>
      </c>
      <c r="B95" s="63">
        <v>297</v>
      </c>
      <c r="C95" s="63">
        <v>8</v>
      </c>
      <c r="D95" s="63">
        <v>47</v>
      </c>
      <c r="E95" s="93"/>
      <c r="F95" s="93"/>
      <c r="G95" s="93"/>
      <c r="H95" s="93"/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69</v>
      </c>
      <c r="B96" s="63">
        <v>328</v>
      </c>
      <c r="C96" s="63">
        <v>9</v>
      </c>
      <c r="D96" s="63">
        <v>328</v>
      </c>
      <c r="E96" s="93"/>
      <c r="F96" s="93"/>
      <c r="G96" s="93"/>
      <c r="H96" s="93"/>
      <c r="I96" s="56">
        <f t="shared" si="3"/>
        <v>8.6666666666666661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rouge d'Amérique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merisier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439.06700232017681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239.16843440041487</v>
      </c>
      <c r="AO3" s="62">
        <f>IF('Données projet'!E10&gt;30,$AM$33-$H$33,LOOKUP('Données projet'!$E$10,$A$3:$A$203,AM3:AM203)-LOOKUP('Données projet'!$E$10,$A$3:$A$203,$H$3:$H$203))</f>
        <v>241.82319822554194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0</v>
      </c>
      <c r="BJ3" s="62">
        <f>IF('Données projet'!E11&gt;30,$BH$33-$H$33,LOOKUP('Données projet'!$E$11,$A$3:$A$203,BH3:BH203)-LOOKUP('Données projet'!$E$11,$A$3:$A$203,$H$3:$H$203))</f>
        <v>0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439.06700232017681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2.85</v>
      </c>
      <c r="AI4" s="14">
        <f>IF('Données projet'!$A$62&gt;35,AI3+AH4-AQ3,IF(A4&lt;'Données projet'!$A$62,$AF$205^A4,IF(A4='Données projet'!$A$62,'Données projet'!$B$62,AI3+AH4-AQ3)))</f>
        <v>1.2240347367580502</v>
      </c>
      <c r="AJ4" s="14">
        <f>AI4*VLOOKUP('Données projet'!$B$10,Paramètres!$A$1:$I$89,3,0)*VLOOKUP('Données projet'!$B$10,Paramètres!$A$1:$I$89,5,0)</f>
        <v>1.0693167460318327</v>
      </c>
      <c r="AK4" s="14">
        <f>EXP(-1.0587+0.8836*LN(AJ4)+0.284)</f>
        <v>0.48895675660122978</v>
      </c>
      <c r="AL4" s="22">
        <f t="shared" ref="AL4:AL67" si="4">(AJ4+AK4)*0.475*44/12</f>
        <v>2.713993017085917</v>
      </c>
      <c r="AM4" s="62">
        <f t="shared" ref="AM4:AM67" si="5">AL4+(AD4+AE4)*44/12</f>
        <v>260.60288190597475</v>
      </c>
      <c r="AN4" s="62">
        <f ca="1">AVERAGE(OFFSET($AM$3,0,0,'Données projet'!$E$10+1,1))-AVERAGE(OFFSET($H$3,0,0,'Données projet'!$E$10+1,1))</f>
        <v>239.16843440041487</v>
      </c>
      <c r="AO4" s="62">
        <f>$AO$3</f>
        <v>241.82319822554194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0.99746715073179792</v>
      </c>
      <c r="BF4" s="14">
        <f>EXP(-1.0587+0.8836*LN(BE4)+0.284)</f>
        <v>0.45981048445793882</v>
      </c>
      <c r="BG4" s="22">
        <f t="shared" ref="BG4:BG67" si="7">(BE4+BF4)*0.475*44/12</f>
        <v>2.5380918812887914</v>
      </c>
      <c r="BH4" s="62">
        <f t="shared" ref="BH4:BH67" si="8">BG4+(AY4+AZ4)*44/12</f>
        <v>260.42698077017764</v>
      </c>
      <c r="BI4" s="62">
        <f ca="1">AVERAGE(OFFSET($BH$3,0,0,'Données projet'!$E$11+1,1))-AVERAGE(OFFSET($H$3,0,0,'Données projet'!$E$11+1,1))</f>
        <v>0</v>
      </c>
      <c r="BJ4" s="62">
        <f>$BJ$3</f>
        <v>0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439.06700232017681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2.85</v>
      </c>
      <c r="AI5" s="14">
        <f>IF('Données projet'!$A$62&gt;35,AI4+AH5-AQ4,IF(A5&lt;'Données projet'!$A$62,$AF$205^A5,IF(A5='Données projet'!$A$62,'Données projet'!$B$62,AI4+AH5-AQ4)))</f>
        <v>1.4982610367903493</v>
      </c>
      <c r="AJ5" s="14">
        <f>AI5*VLOOKUP('Données projet'!$B$10,Paramètres!$A$1:$I$89,3,0)*VLOOKUP('Données projet'!$B$10,Paramètres!$A$1:$I$89,5,0)</f>
        <v>1.3088808417400493</v>
      </c>
      <c r="AK5" s="14">
        <f t="shared" ref="AK5:AK68" si="35">EXP(-1.0587+0.8836*LN(AJ5)+0.284)</f>
        <v>0.58458141328454194</v>
      </c>
      <c r="AL5" s="22">
        <f t="shared" si="4"/>
        <v>3.297780094167829</v>
      </c>
      <c r="AM5" s="62">
        <f t="shared" si="5"/>
        <v>262.40889120527896</v>
      </c>
      <c r="AN5" s="62">
        <f ca="1">AVERAGE(OFFSET($AM$3,0,0,'Données projet'!$E$10+1,1))-AVERAGE(OFFSET($H$3,0,0,'Données projet'!$E$10+1,1))</f>
        <v>239.16843440041487</v>
      </c>
      <c r="AO5" s="62">
        <f t="shared" ref="AO5:AO68" si="36">$AO$3</f>
        <v>241.82319822554194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1.2755650215243732</v>
      </c>
      <c r="BF5" s="14">
        <f t="shared" ref="BF5:BF68" si="37">EXP(-1.0587+0.8836*LN(BE5)+0.284)</f>
        <v>0.57141400910743001</v>
      </c>
      <c r="BG5" s="22">
        <f t="shared" si="7"/>
        <v>3.2168218116837237</v>
      </c>
      <c r="BH5" s="62">
        <f t="shared" si="8"/>
        <v>262.32793292279484</v>
      </c>
      <c r="BI5" s="62">
        <f ca="1">AVERAGE(OFFSET($BH$3,0,0,'Données projet'!$E$11+1,1))-AVERAGE(OFFSET($H$3,0,0,'Données projet'!$E$11+1,1))</f>
        <v>0</v>
      </c>
      <c r="BJ5" s="62">
        <f t="shared" ref="BJ5:BJ68" si="38">$BJ$3</f>
        <v>0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439.06700232017681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2.85</v>
      </c>
      <c r="AI6" s="14">
        <f>IF('Données projet'!$A$62&gt;35,AI5+AH6-AQ5,IF(A6&lt;'Données projet'!$A$62,$AF$205^A6,IF(A6='Données projet'!$A$62,'Données projet'!$B$62,AI5+AH6-AQ5)))</f>
        <v>1.8339235537625185</v>
      </c>
      <c r="AJ6" s="14">
        <f>AI6*VLOOKUP('Données projet'!$B$10,Paramètres!$A$1:$I$89,3,0)*VLOOKUP('Données projet'!$B$10,Paramètres!$A$1:$I$89,5,0)</f>
        <v>1.6021156165669364</v>
      </c>
      <c r="AK6" s="14">
        <f t="shared" si="35"/>
        <v>0.69890726356493671</v>
      </c>
      <c r="AL6" s="22">
        <f t="shared" si="4"/>
        <v>4.0076148495630122</v>
      </c>
      <c r="AM6" s="62">
        <f t="shared" si="5"/>
        <v>264.34094818289634</v>
      </c>
      <c r="AN6" s="62">
        <f ca="1">AVERAGE(OFFSET($AM$3,0,0,'Données projet'!$E$10+1,1))-AVERAGE(OFFSET($H$3,0,0,'Données projet'!$E$10+1,1))</f>
        <v>239.16843440041487</v>
      </c>
      <c r="AO6" s="62">
        <f t="shared" si="36"/>
        <v>241.82319822554194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1.6311977020423858</v>
      </c>
      <c r="BF6" s="14">
        <f t="shared" si="37"/>
        <v>0.71010553443370616</v>
      </c>
      <c r="BG6" s="22">
        <f t="shared" si="7"/>
        <v>4.0777698035291934</v>
      </c>
      <c r="BH6" s="62">
        <f t="shared" si="8"/>
        <v>264.41110313686249</v>
      </c>
      <c r="BI6" s="62">
        <f ca="1">AVERAGE(OFFSET($BH$3,0,0,'Données projet'!$E$11+1,1))-AVERAGE(OFFSET($H$3,0,0,'Données projet'!$E$11+1,1))</f>
        <v>0</v>
      </c>
      <c r="BJ6" s="62">
        <f t="shared" si="38"/>
        <v>0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439.06700232017681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2.85</v>
      </c>
      <c r="AI7" s="14">
        <f>IF('Données projet'!$A$62&gt;35,AI6+AH7-AQ6,IF(A7&lt;'Données projet'!$A$62,$AF$205^A7,IF(A7='Données projet'!$A$62,'Données projet'!$B$62,AI6+AH7-AQ6)))</f>
        <v>2.2447861343640922</v>
      </c>
      <c r="AJ7" s="14">
        <f>AI7*VLOOKUP('Données projet'!$B$10,Paramètres!$A$1:$I$89,3,0)*VLOOKUP('Données projet'!$B$10,Paramètres!$A$1:$I$89,5,0)</f>
        <v>1.9610451669804712</v>
      </c>
      <c r="AK7" s="14">
        <f t="shared" si="35"/>
        <v>0.83559167630611453</v>
      </c>
      <c r="AL7" s="22">
        <f t="shared" si="4"/>
        <v>4.8708091687241364</v>
      </c>
      <c r="AM7" s="62">
        <f t="shared" si="5"/>
        <v>266.42636472427967</v>
      </c>
      <c r="AN7" s="62">
        <f ca="1">AVERAGE(OFFSET($AM$3,0,0,'Données projet'!$E$10+1,1))-AVERAGE(OFFSET($H$3,0,0,'Données projet'!$E$10+1,1))</f>
        <v>239.16843440041487</v>
      </c>
      <c r="AO7" s="62">
        <f t="shared" si="36"/>
        <v>241.82319822554194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2.0859822104313781</v>
      </c>
      <c r="BF7" s="14">
        <f t="shared" si="37"/>
        <v>0.88245976121767966</v>
      </c>
      <c r="BG7" s="22">
        <f t="shared" si="7"/>
        <v>5.1700364339554419</v>
      </c>
      <c r="BH7" s="62">
        <f t="shared" si="8"/>
        <v>266.72559198951097</v>
      </c>
      <c r="BI7" s="62">
        <f ca="1">AVERAGE(OFFSET($BH$3,0,0,'Données projet'!$E$11+1,1))-AVERAGE(OFFSET($H$3,0,0,'Données projet'!$E$11+1,1))</f>
        <v>0</v>
      </c>
      <c r="BJ7" s="62">
        <f t="shared" si="38"/>
        <v>0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439.06700232017681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2.85</v>
      </c>
      <c r="AI8" s="14">
        <f>IF('Données projet'!$A$62&gt;35,AI7+AH8-AQ7,IF(A8&lt;'Données projet'!$A$62,$AF$205^A8,IF(A8='Données projet'!$A$62,'Données projet'!$B$62,AI7+AH8-AQ7)))</f>
        <v>2.7476962050544729</v>
      </c>
      <c r="AJ8" s="14">
        <f>AI8*VLOOKUP('Données projet'!$B$10,Paramètres!$A$1:$I$89,3,0)*VLOOKUP('Données projet'!$B$10,Paramètres!$A$1:$I$89,5,0)</f>
        <v>2.400387404735588</v>
      </c>
      <c r="AK8" s="14">
        <f t="shared" si="35"/>
        <v>0.99900728739126998</v>
      </c>
      <c r="AL8" s="22">
        <f t="shared" si="4"/>
        <v>5.9206124221209437</v>
      </c>
      <c r="AM8" s="62">
        <f t="shared" si="5"/>
        <v>268.69839019989871</v>
      </c>
      <c r="AN8" s="62">
        <f ca="1">AVERAGE(OFFSET($AM$3,0,0,'Données projet'!$E$10+1,1))-AVERAGE(OFFSET($H$3,0,0,'Données projet'!$E$10+1,1))</f>
        <v>239.16843440041487</v>
      </c>
      <c r="AO8" s="62">
        <f t="shared" si="36"/>
        <v>241.82319822554194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2.6675624768156463</v>
      </c>
      <c r="BF8" s="14">
        <f t="shared" si="37"/>
        <v>1.0966471776471767</v>
      </c>
      <c r="BG8" s="22">
        <f t="shared" si="7"/>
        <v>6.5559984815227494</v>
      </c>
      <c r="BH8" s="62">
        <f t="shared" si="8"/>
        <v>269.33377625930052</v>
      </c>
      <c r="BI8" s="62">
        <f ca="1">AVERAGE(OFFSET($BH$3,0,0,'Données projet'!$E$11+1,1))-AVERAGE(OFFSET($H$3,0,0,'Données projet'!$E$11+1,1))</f>
        <v>0</v>
      </c>
      <c r="BJ8" s="62">
        <f t="shared" si="38"/>
        <v>0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439.06700232017681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2.85</v>
      </c>
      <c r="AI9" s="14">
        <f>IF('Données projet'!$A$62&gt;35,AI8+AH9-AQ8,IF(A9&lt;'Données projet'!$A$62,$AF$205^A9,IF(A9='Données projet'!$A$62,'Données projet'!$B$62,AI8+AH9-AQ8)))</f>
        <v>3.3632756010449452</v>
      </c>
      <c r="AJ9" s="14">
        <f>AI9*VLOOKUP('Données projet'!$B$10,Paramètres!$A$1:$I$89,3,0)*VLOOKUP('Données projet'!$B$10,Paramètres!$A$1:$I$89,5,0)</f>
        <v>2.9381575650728644</v>
      </c>
      <c r="AK9" s="14">
        <f t="shared" si="35"/>
        <v>1.1943818835926812</v>
      </c>
      <c r="AL9" s="22">
        <f t="shared" si="4"/>
        <v>7.1975062064258246</v>
      </c>
      <c r="AM9" s="62">
        <f t="shared" si="5"/>
        <v>271.19750620642583</v>
      </c>
      <c r="AN9" s="62">
        <f ca="1">AVERAGE(OFFSET($AM$3,0,0,'Données projet'!$E$10+1,1))-AVERAGE(OFFSET($H$3,0,0,'Données projet'!$E$10+1,1))</f>
        <v>239.16843440041487</v>
      </c>
      <c r="AO9" s="62">
        <f t="shared" si="36"/>
        <v>241.82319822554194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3.4112896707030256</v>
      </c>
      <c r="BF9" s="14">
        <f t="shared" si="37"/>
        <v>1.3628213830192535</v>
      </c>
      <c r="BG9" s="22">
        <f t="shared" si="7"/>
        <v>8.3149100852329703</v>
      </c>
      <c r="BH9" s="62">
        <f t="shared" si="8"/>
        <v>272.31491008523295</v>
      </c>
      <c r="BI9" s="62">
        <f ca="1">AVERAGE(OFFSET($BH$3,0,0,'Données projet'!$E$11+1,1))-AVERAGE(OFFSET($H$3,0,0,'Données projet'!$E$11+1,1))</f>
        <v>0</v>
      </c>
      <c r="BJ9" s="62">
        <f t="shared" si="38"/>
        <v>0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439.06700232017681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2.85</v>
      </c>
      <c r="AI10" s="14">
        <f>IF('Données projet'!$A$62&gt;35,AI9+AH10-AQ9,IF(A10&lt;'Données projet'!$A$62,$AF$205^A10,IF(A10='Données projet'!$A$62,'Données projet'!$B$62,AI9+AH10-AQ9)))</f>
        <v>4.116766164969822</v>
      </c>
      <c r="AJ10" s="14">
        <f>AI10*VLOOKUP('Données projet'!$B$10,Paramètres!$A$1:$I$89,3,0)*VLOOKUP('Données projet'!$B$10,Paramètres!$A$1:$I$89,5,0)</f>
        <v>3.5964069217176369</v>
      </c>
      <c r="AK10" s="14">
        <f t="shared" si="35"/>
        <v>1.4279656433533914</v>
      </c>
      <c r="AL10" s="22">
        <f t="shared" si="4"/>
        <v>8.7507822174987044</v>
      </c>
      <c r="AM10" s="62">
        <f t="shared" si="5"/>
        <v>273.97300443972091</v>
      </c>
      <c r="AN10" s="62">
        <f ca="1">AVERAGE(OFFSET($AM$3,0,0,'Données projet'!$E$10+1,1))-AVERAGE(OFFSET($H$3,0,0,'Données projet'!$E$10+1,1))</f>
        <v>239.16843440041487</v>
      </c>
      <c r="AO10" s="62">
        <f t="shared" si="36"/>
        <v>241.82319822554194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4.3623710104576414</v>
      </c>
      <c r="BF10" s="14">
        <f t="shared" si="37"/>
        <v>1.6936004212396314</v>
      </c>
      <c r="BG10" s="22">
        <f t="shared" si="7"/>
        <v>10.54748357687275</v>
      </c>
      <c r="BH10" s="62">
        <f t="shared" si="8"/>
        <v>275.76970579909499</v>
      </c>
      <c r="BI10" s="62">
        <f ca="1">AVERAGE(OFFSET($BH$3,0,0,'Données projet'!$E$11+1,1))-AVERAGE(OFFSET($H$3,0,0,'Données projet'!$E$11+1,1))</f>
        <v>0</v>
      </c>
      <c r="BJ10" s="62">
        <f t="shared" si="38"/>
        <v>0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439.06700232017681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2.85</v>
      </c>
      <c r="AI11" s="14">
        <f>IF('Données projet'!$A$62&gt;35,AI10+AH11-AQ10,IF(A11&lt;'Données projet'!$A$62,$AF$205^A11,IF(A11='Données projet'!$A$62,'Données projet'!$B$62,AI10+AH11-AQ10)))</f>
        <v>5.0390647890332847</v>
      </c>
      <c r="AJ11" s="14">
        <f>AI11*VLOOKUP('Données projet'!$B$10,Paramètres!$A$1:$I$89,3,0)*VLOOKUP('Données projet'!$B$10,Paramètres!$A$1:$I$89,5,0)</f>
        <v>4.4021269996994778</v>
      </c>
      <c r="AK11" s="14">
        <f t="shared" si="35"/>
        <v>1.7072310846377947</v>
      </c>
      <c r="AL11" s="22">
        <f t="shared" si="4"/>
        <v>10.640465330220749</v>
      </c>
      <c r="AM11" s="62">
        <f t="shared" si="5"/>
        <v>277.08490977466522</v>
      </c>
      <c r="AN11" s="62">
        <f ca="1">AVERAGE(OFFSET($AM$3,0,0,'Données projet'!$E$10+1,1))-AVERAGE(OFFSET($H$3,0,0,'Données projet'!$E$10+1,1))</f>
        <v>239.16843440041487</v>
      </c>
      <c r="AO11" s="62">
        <f t="shared" si="36"/>
        <v>241.82319822554194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5.5786176695335605</v>
      </c>
      <c r="BF11" s="14">
        <f t="shared" si="37"/>
        <v>2.1046649418345189</v>
      </c>
      <c r="BG11" s="22">
        <f t="shared" si="7"/>
        <v>13.381717214799407</v>
      </c>
      <c r="BH11" s="62">
        <f t="shared" si="8"/>
        <v>279.82616165924384</v>
      </c>
      <c r="BI11" s="62">
        <f ca="1">AVERAGE(OFFSET($BH$3,0,0,'Données projet'!$E$11+1,1))-AVERAGE(OFFSET($H$3,0,0,'Données projet'!$E$11+1,1))</f>
        <v>0</v>
      </c>
      <c r="BJ11" s="62">
        <f t="shared" si="38"/>
        <v>0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439.06700232017681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2.85</v>
      </c>
      <c r="AI12" s="14">
        <f>IF('Données projet'!$A$62&gt;35,AI11+AH12-AQ11,IF(A12&lt;'Données projet'!$A$62,$AF$205^A12,IF(A12='Données projet'!$A$62,'Données projet'!$B$62,AI11+AH12-AQ11)))</f>
        <v>6.167990342551116</v>
      </c>
      <c r="AJ12" s="14">
        <f>AI12*VLOOKUP('Données projet'!$B$10,Paramètres!$A$1:$I$89,3,0)*VLOOKUP('Données projet'!$B$10,Paramètres!$A$1:$I$89,5,0)</f>
        <v>5.3883563632526554</v>
      </c>
      <c r="AK12" s="14">
        <f t="shared" si="35"/>
        <v>2.0411121163313792</v>
      </c>
      <c r="AL12" s="22">
        <f t="shared" si="4"/>
        <v>12.939657601942194</v>
      </c>
      <c r="AM12" s="62">
        <f t="shared" si="5"/>
        <v>280.60632426860889</v>
      </c>
      <c r="AN12" s="62">
        <f ca="1">AVERAGE(OFFSET($AM$3,0,0,'Données projet'!$E$10+1,1))-AVERAGE(OFFSET($H$3,0,0,'Données projet'!$E$10+1,1))</f>
        <v>239.16843440041487</v>
      </c>
      <c r="AO12" s="62">
        <f t="shared" si="36"/>
        <v>241.82319822554194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7.1339588100662858</v>
      </c>
      <c r="BF12" s="14">
        <f t="shared" si="37"/>
        <v>2.6155015444227643</v>
      </c>
      <c r="BG12" s="22">
        <f t="shared" si="7"/>
        <v>16.980310117401761</v>
      </c>
      <c r="BH12" s="62">
        <f t="shared" si="8"/>
        <v>284.64697678406844</v>
      </c>
      <c r="BI12" s="62">
        <f ca="1">AVERAGE(OFFSET($BH$3,0,0,'Données projet'!$E$11+1,1))-AVERAGE(OFFSET($H$3,0,0,'Données projet'!$E$11+1,1))</f>
        <v>0</v>
      </c>
      <c r="BJ12" s="62">
        <f t="shared" si="38"/>
        <v>0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439.06700232017681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2.85</v>
      </c>
      <c r="AI13" s="14">
        <f>IF('Données projet'!$A$62&gt;35,AI12+AH13-AQ12,IF(A13&lt;'Données projet'!$A$62,$AF$205^A13,IF(A13='Données projet'!$A$62,'Données projet'!$B$62,AI12+AH13-AQ12)))</f>
        <v>7.5498344352707516</v>
      </c>
      <c r="AJ13" s="14">
        <f>AI13*VLOOKUP('Données projet'!$B$10,Paramètres!$A$1:$I$89,3,0)*VLOOKUP('Données projet'!$B$10,Paramètres!$A$1:$I$89,5,0)</f>
        <v>6.5955353626525293</v>
      </c>
      <c r="AK13" s="14">
        <f t="shared" si="35"/>
        <v>2.4402898406214573</v>
      </c>
      <c r="AL13" s="22">
        <f t="shared" si="4"/>
        <v>15.737395562368858</v>
      </c>
      <c r="AM13" s="62">
        <f t="shared" si="5"/>
        <v>284.62628445125773</v>
      </c>
      <c r="AN13" s="62">
        <f ca="1">AVERAGE(OFFSET($AM$3,0,0,'Données projet'!$E$10+1,1))-AVERAGE(OFFSET($H$3,0,0,'Données projet'!$E$10+1,1))</f>
        <v>239.16843440041487</v>
      </c>
      <c r="AO13" s="62">
        <f t="shared" si="36"/>
        <v>241.82319822554194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9.1229353432241354</v>
      </c>
      <c r="BF13" s="14">
        <f t="shared" si="37"/>
        <v>3.2503265450485803</v>
      </c>
      <c r="BG13" s="22">
        <f t="shared" si="7"/>
        <v>21.550097788741649</v>
      </c>
      <c r="BH13" s="62">
        <f t="shared" si="8"/>
        <v>290.43898667763051</v>
      </c>
      <c r="BI13" s="62">
        <f ca="1">AVERAGE(OFFSET($BH$3,0,0,'Données projet'!$E$11+1,1))-AVERAGE(OFFSET($H$3,0,0,'Données projet'!$E$11+1,1))</f>
        <v>0</v>
      </c>
      <c r="BJ13" s="62">
        <f t="shared" si="38"/>
        <v>0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439.06700232017681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2.85</v>
      </c>
      <c r="AI14" s="14">
        <f>IF('Données projet'!$A$62&gt;35,AI13+AH14-AQ13,IF(A14&lt;'Données projet'!$A$62,$AF$205^A14,IF(A14='Données projet'!$A$62,'Données projet'!$B$62,AI13+AH14-AQ13)))</f>
        <v>9.2412596055434975</v>
      </c>
      <c r="AJ14" s="14">
        <f>AI14*VLOOKUP('Données projet'!$B$10,Paramètres!$A$1:$I$89,3,0)*VLOOKUP('Données projet'!$B$10,Paramètres!$A$1:$I$89,5,0)</f>
        <v>8.0731643914028002</v>
      </c>
      <c r="AK14" s="14">
        <f t="shared" si="35"/>
        <v>2.9175342493893108</v>
      </c>
      <c r="AL14" s="22">
        <f t="shared" si="4"/>
        <v>19.142133466046261</v>
      </c>
      <c r="AM14" s="62">
        <f t="shared" si="5"/>
        <v>289.25324457715737</v>
      </c>
      <c r="AN14" s="62">
        <f ca="1">AVERAGE(OFFSET($AM$3,0,0,'Données projet'!$E$10+1,1))-AVERAGE(OFFSET($H$3,0,0,'Données projet'!$E$10+1,1))</f>
        <v>239.16843440041487</v>
      </c>
      <c r="AO14" s="62">
        <f t="shared" si="36"/>
        <v>241.82319822554194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11.666446568097685</v>
      </c>
      <c r="BF14" s="14">
        <f t="shared" si="37"/>
        <v>4.0392339557111736</v>
      </c>
      <c r="BG14" s="22">
        <f t="shared" si="7"/>
        <v>27.354060245633761</v>
      </c>
      <c r="BH14" s="62">
        <f t="shared" si="8"/>
        <v>297.46517135674492</v>
      </c>
      <c r="BI14" s="62">
        <f ca="1">AVERAGE(OFFSET($BH$3,0,0,'Données projet'!$E$11+1,1))-AVERAGE(OFFSET($H$3,0,0,'Données projet'!$E$11+1,1))</f>
        <v>0</v>
      </c>
      <c r="BJ14" s="62">
        <f t="shared" si="38"/>
        <v>0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439.06700232017681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2.85</v>
      </c>
      <c r="AI15" s="14">
        <f>IF('Données projet'!$A$62&gt;35,AI14+AH15-AQ14,IF(A15&lt;'Données projet'!$A$62,$AF$205^A15,IF(A15='Données projet'!$A$62,'Données projet'!$B$62,AI14+AH15-AQ14)))</f>
        <v>11.311622768584238</v>
      </c>
      <c r="AJ15" s="14">
        <f>AI15*VLOOKUP('Données projet'!$B$10,Paramètres!$A$1:$I$89,3,0)*VLOOKUP('Données projet'!$B$10,Paramètres!$A$1:$I$89,5,0)</f>
        <v>9.8818336506351923</v>
      </c>
      <c r="AK15" s="14">
        <f t="shared" si="35"/>
        <v>3.4881127457351293</v>
      </c>
      <c r="AL15" s="22">
        <f t="shared" si="4"/>
        <v>23.285989973678308</v>
      </c>
      <c r="AM15" s="62">
        <f t="shared" si="5"/>
        <v>294.6193233070116</v>
      </c>
      <c r="AN15" s="62">
        <f ca="1">AVERAGE(OFFSET($AM$3,0,0,'Données projet'!$E$10+1,1))-AVERAGE(OFFSET($H$3,0,0,'Données projet'!$E$10+1,1))</f>
        <v>239.16843440041487</v>
      </c>
      <c r="AO15" s="62">
        <f t="shared" si="36"/>
        <v>241.82319822554194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14.919098996724562</v>
      </c>
      <c r="BF15" s="14">
        <f t="shared" si="37"/>
        <v>5.019622097301081</v>
      </c>
      <c r="BG15" s="22">
        <f t="shared" si="7"/>
        <v>34.726605905427995</v>
      </c>
      <c r="BH15" s="62">
        <f t="shared" si="8"/>
        <v>306.05993923876133</v>
      </c>
      <c r="BI15" s="62">
        <f ca="1">AVERAGE(OFFSET($BH$3,0,0,'Données projet'!$E$11+1,1))-AVERAGE(OFFSET($H$3,0,0,'Données projet'!$E$11+1,1))</f>
        <v>0</v>
      </c>
      <c r="BJ15" s="62">
        <f t="shared" si="38"/>
        <v>0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439.06700232017681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2.85</v>
      </c>
      <c r="AI16" s="14">
        <f>IF('Données projet'!$A$62&gt;35,AI15+AH16-AQ15,IF(A16&lt;'Données projet'!$A$62,$AF$205^A16,IF(A16='Données projet'!$A$62,'Données projet'!$B$62,AI15+AH16-AQ15)))</f>
        <v>13.845819197850375</v>
      </c>
      <c r="AJ16" s="14">
        <f>AI16*VLOOKUP('Données projet'!$B$10,Paramètres!$A$1:$I$89,3,0)*VLOOKUP('Données projet'!$B$10,Paramètres!$A$1:$I$89,5,0)</f>
        <v>12.095707651242089</v>
      </c>
      <c r="AK16" s="14">
        <f t="shared" si="35"/>
        <v>4.1702785595427372</v>
      </c>
      <c r="AL16" s="22">
        <f t="shared" si="4"/>
        <v>28.329925983783568</v>
      </c>
      <c r="AM16" s="62">
        <f t="shared" si="5"/>
        <v>300.88548153933914</v>
      </c>
      <c r="AN16" s="62">
        <f ca="1">AVERAGE(OFFSET($AM$3,0,0,'Données projet'!$E$10+1,1))-AVERAGE(OFFSET($H$3,0,0,'Données projet'!$E$10+1,1))</f>
        <v>239.16843440041487</v>
      </c>
      <c r="AO16" s="62">
        <f t="shared" si="36"/>
        <v>241.82319822554194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19.078604061215994</v>
      </c>
      <c r="BF16" s="14">
        <f t="shared" si="37"/>
        <v>6.2379664748280286</v>
      </c>
      <c r="BG16" s="22">
        <f t="shared" si="7"/>
        <v>44.093027016943331</v>
      </c>
      <c r="BH16" s="62">
        <f t="shared" si="8"/>
        <v>316.64858257249887</v>
      </c>
      <c r="BI16" s="62">
        <f ca="1">AVERAGE(OFFSET($BH$3,0,0,'Données projet'!$E$11+1,1))-AVERAGE(OFFSET($H$3,0,0,'Données projet'!$E$11+1,1))</f>
        <v>0</v>
      </c>
      <c r="BJ16" s="62">
        <f t="shared" si="38"/>
        <v>0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439.06700232017681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2.85</v>
      </c>
      <c r="AI17" s="14">
        <f>IF('Données projet'!$A$62&gt;35,AI16+AH17-AQ16,IF(A17&lt;'Données projet'!$A$62,$AF$205^A17,IF(A17='Données projet'!$A$62,'Données projet'!$B$62,AI16+AH17-AQ16)))</f>
        <v>16.94776365704034</v>
      </c>
      <c r="AJ17" s="14">
        <f>AI17*VLOOKUP('Données projet'!$B$10,Paramètres!$A$1:$I$89,3,0)*VLOOKUP('Données projet'!$B$10,Paramètres!$A$1:$I$89,5,0)</f>
        <v>14.805566330790443</v>
      </c>
      <c r="AK17" s="14">
        <f t="shared" si="35"/>
        <v>4.9858546818608076</v>
      </c>
      <c r="AL17" s="22">
        <f t="shared" si="4"/>
        <v>34.470058263700928</v>
      </c>
      <c r="AM17" s="62">
        <f t="shared" si="5"/>
        <v>308.24783604147871</v>
      </c>
      <c r="AN17" s="62">
        <f ca="1">AVERAGE(OFFSET($AM$3,0,0,'Données projet'!$E$10+1,1))-AVERAGE(OFFSET($H$3,0,0,'Données projet'!$E$10+1,1))</f>
        <v>239.16843440041487</v>
      </c>
      <c r="AO17" s="62">
        <f t="shared" si="36"/>
        <v>241.82319822554194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24.397795939591308</v>
      </c>
      <c r="BF17" s="14">
        <f t="shared" si="37"/>
        <v>7.75202295846145</v>
      </c>
      <c r="BG17" s="22">
        <f t="shared" si="7"/>
        <v>55.994267914108548</v>
      </c>
      <c r="BH17" s="62">
        <f t="shared" si="8"/>
        <v>329.77204569188632</v>
      </c>
      <c r="BI17" s="62">
        <f ca="1">AVERAGE(OFFSET($BH$3,0,0,'Données projet'!$E$11+1,1))-AVERAGE(OFFSET($H$3,0,0,'Données projet'!$E$11+1,1))</f>
        <v>0</v>
      </c>
      <c r="BJ17" s="62">
        <f t="shared" si="38"/>
        <v>0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439.06700232017681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2.85</v>
      </c>
      <c r="AI18" s="14">
        <f>IF('Données projet'!$A$62&gt;35,AI17+AH18-AQ17,IF(A18&lt;'Données projet'!$A$62,$AF$205^A18,IF(A18='Données projet'!$A$62,'Données projet'!$B$62,AI17+AH18-AQ17)))</f>
        <v>20.744651426583019</v>
      </c>
      <c r="AJ18" s="14">
        <f>AI18*VLOOKUP('Données projet'!$B$10,Paramètres!$A$1:$I$89,3,0)*VLOOKUP('Données projet'!$B$10,Paramètres!$A$1:$I$89,5,0)</f>
        <v>18.122527486262925</v>
      </c>
      <c r="AK18" s="14">
        <f t="shared" si="35"/>
        <v>5.960931998595087</v>
      </c>
      <c r="AL18" s="22">
        <f t="shared" si="4"/>
        <v>41.945358602794364</v>
      </c>
      <c r="AM18" s="62">
        <f t="shared" si="5"/>
        <v>316.94535860279439</v>
      </c>
      <c r="AN18" s="62">
        <f ca="1">AVERAGE(OFFSET($AM$3,0,0,'Données projet'!$E$10+1,1))-AVERAGE(OFFSET($H$3,0,0,'Données projet'!$E$10+1,1))</f>
        <v>239.16843440041487</v>
      </c>
      <c r="AO18" s="62">
        <f t="shared" si="36"/>
        <v>241.82319822554194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31.200000000000003</v>
      </c>
      <c r="BF18" s="14">
        <f t="shared" si="37"/>
        <v>9.6335657126419925</v>
      </c>
      <c r="BG18" s="22">
        <f t="shared" si="7"/>
        <v>71.118460282851473</v>
      </c>
      <c r="BH18" s="62">
        <f t="shared" si="8"/>
        <v>346.11846028285146</v>
      </c>
      <c r="BI18" s="62">
        <f ca="1">AVERAGE(OFFSET($BH$3,0,0,'Données projet'!$E$11+1,1))-AVERAGE(OFFSET($H$3,0,0,'Données projet'!$E$11+1,1))</f>
        <v>0</v>
      </c>
      <c r="BJ18" s="62">
        <f t="shared" si="38"/>
        <v>0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1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2.2078529801766082</v>
      </c>
      <c r="BS18" s="24">
        <f t="shared" si="9"/>
        <v>2.2078529801766082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439.06700232017681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2.85</v>
      </c>
      <c r="AI19" s="14">
        <f>IF('Données projet'!$A$62&gt;35,AI18+AH19-AQ18,IF(A19&lt;'Données projet'!$A$62,$AF$205^A19,IF(A19='Données projet'!$A$62,'Données projet'!$B$62,AI18+AH19-AQ18)))</f>
        <v>25.392173948075062</v>
      </c>
      <c r="AJ19" s="14">
        <f>AI19*VLOOKUP('Données projet'!$B$10,Paramètres!$A$1:$I$89,3,0)*VLOOKUP('Données projet'!$B$10,Paramètres!$A$1:$I$89,5,0)</f>
        <v>22.182603161038376</v>
      </c>
      <c r="AK19" s="14">
        <f t="shared" si="35"/>
        <v>7.1267039573270132</v>
      </c>
      <c r="AL19" s="22">
        <f t="shared" si="4"/>
        <v>51.047043231153054</v>
      </c>
      <c r="AM19" s="62">
        <f t="shared" si="5"/>
        <v>327.26926545337528</v>
      </c>
      <c r="AN19" s="62">
        <f ca="1">AVERAGE(OFFSET($AM$3,0,0,'Données projet'!$E$10+1,1))-AVERAGE(OFFSET($H$3,0,0,'Données projet'!$E$10+1,1))</f>
        <v>239.16843440041487</v>
      </c>
      <c r="AO19" s="62">
        <f t="shared" si="36"/>
        <v>241.82319822554194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46.6</v>
      </c>
      <c r="BE19" s="14">
        <f>BD19*VLOOKUP('Données projet'!$B$11,Paramètres!$A$1:$I$89,3,0)*VLOOKUP('Données projet'!$B$11,Paramètres!$A$1:$I$89,5,0)</f>
        <v>36.347999999999999</v>
      </c>
      <c r="BF19" s="14">
        <f t="shared" si="37"/>
        <v>11.025356771848859</v>
      </c>
      <c r="BG19" s="22">
        <f t="shared" si="7"/>
        <v>82.508596377636763</v>
      </c>
      <c r="BH19" s="62">
        <f t="shared" si="8"/>
        <v>358.73081859985899</v>
      </c>
      <c r="BI19" s="62">
        <f ca="1">AVERAGE(OFFSET($BH$3,0,0,'Données projet'!$E$11+1,1))-AVERAGE(OFFSET($H$3,0,0,'Données projet'!$E$11+1,1))</f>
        <v>0</v>
      </c>
      <c r="BJ19" s="62">
        <f t="shared" si="38"/>
        <v>0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1.561187814145808</v>
      </c>
      <c r="BS19" s="24">
        <f t="shared" si="9"/>
        <v>1.561187814145808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439.06700232017681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2.85</v>
      </c>
      <c r="AI20" s="14">
        <f>IF('Données projet'!$A$62&gt;35,AI19+AH20-AQ19,IF(A20&lt;'Données projet'!$A$62,$AF$205^A20,IF(A20='Données projet'!$A$62,'Données projet'!$B$62,AI19+AH20-AQ19)))</f>
        <v>31.080902954246678</v>
      </c>
      <c r="AJ20" s="14">
        <f>AI20*VLOOKUP('Données projet'!$B$10,Paramètres!$A$1:$I$89,3,0)*VLOOKUP('Données projet'!$B$10,Paramètres!$A$1:$I$89,5,0)</f>
        <v>27.152276820829904</v>
      </c>
      <c r="AK20" s="14">
        <f t="shared" si="35"/>
        <v>8.5204644688701361</v>
      </c>
      <c r="AL20" s="22">
        <f t="shared" si="4"/>
        <v>62.130024412894237</v>
      </c>
      <c r="AM20" s="62">
        <f t="shared" si="5"/>
        <v>339.57446885733867</v>
      </c>
      <c r="AN20" s="62">
        <f ca="1">AVERAGE(OFFSET($AM$3,0,0,'Données projet'!$E$10+1,1))-AVERAGE(OFFSET($H$3,0,0,'Données projet'!$E$10+1,1))</f>
        <v>239.16843440041487</v>
      </c>
      <c r="AO20" s="62">
        <f t="shared" si="36"/>
        <v>241.82319822554194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56.2</v>
      </c>
      <c r="BE20" s="14">
        <f>BD20*VLOOKUP('Données projet'!$B$11,Paramètres!$A$1:$I$89,3,0)*VLOOKUP('Données projet'!$B$11,Paramètres!$A$1:$I$89,5,0)</f>
        <v>43.836000000000006</v>
      </c>
      <c r="BF20" s="14">
        <f t="shared" si="37"/>
        <v>13.009897179721728</v>
      </c>
      <c r="BG20" s="22">
        <f t="shared" si="7"/>
        <v>99.006604254682017</v>
      </c>
      <c r="BH20" s="62">
        <f t="shared" si="8"/>
        <v>376.45104869912649</v>
      </c>
      <c r="BI20" s="62">
        <f ca="1">AVERAGE(OFFSET($BH$3,0,0,'Données projet'!$E$11+1,1))-AVERAGE(OFFSET($H$3,0,0,'Données projet'!$E$11+1,1))</f>
        <v>0</v>
      </c>
      <c r="BJ20" s="62">
        <f t="shared" si="38"/>
        <v>0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1.1039264900883043</v>
      </c>
      <c r="BS20" s="24">
        <f t="shared" si="9"/>
        <v>1.1039264900883043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439.06700232017681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2.85</v>
      </c>
      <c r="AI21" s="14">
        <f>IF('Données projet'!$A$62&gt;35,AI20+AH21-AQ20,IF(A21&lt;'Données projet'!$A$62,$AF$205^A21,IF(A21='Données projet'!$A$62,'Données projet'!$B$62,AI20+AH21-AQ20)))</f>
        <v>38.044104865803838</v>
      </c>
      <c r="AJ21" s="14">
        <f>AI21*VLOOKUP('Données projet'!$B$10,Paramètres!$A$1:$I$89,3,0)*VLOOKUP('Données projet'!$B$10,Paramètres!$A$1:$I$89,5,0)</f>
        <v>33.235330010766241</v>
      </c>
      <c r="AK21" s="14">
        <f t="shared" si="35"/>
        <v>10.186800967176366</v>
      </c>
      <c r="AL21" s="22">
        <f t="shared" si="4"/>
        <v>75.626878119916697</v>
      </c>
      <c r="AM21" s="62">
        <f t="shared" si="5"/>
        <v>354.29354478658337</v>
      </c>
      <c r="AN21" s="62">
        <f ca="1">AVERAGE(OFFSET($AM$3,0,0,'Données projet'!$E$10+1,1))-AVERAGE(OFFSET($H$3,0,0,'Données projet'!$E$10+1,1))</f>
        <v>239.16843440041487</v>
      </c>
      <c r="AO21" s="62">
        <f t="shared" si="36"/>
        <v>241.82319822554194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65.8</v>
      </c>
      <c r="BE21" s="14">
        <f>BD21*VLOOKUP('Données projet'!$B$11,Paramètres!$A$1:$I$89,3,0)*VLOOKUP('Données projet'!$B$11,Paramètres!$A$1:$I$89,5,0)</f>
        <v>51.323999999999998</v>
      </c>
      <c r="BF21" s="14">
        <f t="shared" si="37"/>
        <v>14.95516659950003</v>
      </c>
      <c r="BG21" s="22">
        <f t="shared" si="7"/>
        <v>115.43621516079588</v>
      </c>
      <c r="BH21" s="62">
        <f t="shared" si="8"/>
        <v>394.10288182746257</v>
      </c>
      <c r="BI21" s="62">
        <f ca="1">AVERAGE(OFFSET($BH$3,0,0,'Données projet'!$E$11+1,1))-AVERAGE(OFFSET($H$3,0,0,'Données projet'!$E$11+1,1))</f>
        <v>0</v>
      </c>
      <c r="BJ21" s="62">
        <f t="shared" si="38"/>
        <v>0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0.7805939070729041</v>
      </c>
      <c r="BS21" s="24">
        <f t="shared" si="9"/>
        <v>0.7805939070729041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439.06700232017681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2.85</v>
      </c>
      <c r="AI22" s="14">
        <f>IF('Données projet'!$A$62&gt;35,AI21+AH22-AQ21,IF(A22&lt;'Données projet'!$A$62,$AF$205^A22,IF(A22='Données projet'!$A$62,'Données projet'!$B$62,AI21+AH22-AQ21)))</f>
        <v>46.567305884609858</v>
      </c>
      <c r="AJ22" s="14">
        <f>AI22*VLOOKUP('Données projet'!$B$10,Paramètres!$A$1:$I$89,3,0)*VLOOKUP('Données projet'!$B$10,Paramètres!$A$1:$I$89,5,0)</f>
        <v>40.681198420795177</v>
      </c>
      <c r="AK22" s="14">
        <f t="shared" si="35"/>
        <v>12.179020794464504</v>
      </c>
      <c r="AL22" s="22">
        <f t="shared" si="4"/>
        <v>92.064881799910609</v>
      </c>
      <c r="AM22" s="62">
        <f t="shared" si="5"/>
        <v>371.95377068879947</v>
      </c>
      <c r="AN22" s="62">
        <f ca="1">AVERAGE(OFFSET($AM$3,0,0,'Données projet'!$E$10+1,1))-AVERAGE(OFFSET($H$3,0,0,'Données projet'!$E$10+1,1))</f>
        <v>239.16843440041487</v>
      </c>
      <c r="AO22" s="62">
        <f t="shared" si="36"/>
        <v>241.82319822554194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75.399999999999991</v>
      </c>
      <c r="BE22" s="14">
        <f>BD22*VLOOKUP('Données projet'!$B$11,Paramètres!$A$1:$I$89,3,0)*VLOOKUP('Données projet'!$B$11,Paramètres!$A$1:$I$89,5,0)</f>
        <v>58.811999999999998</v>
      </c>
      <c r="BF22" s="14">
        <f t="shared" si="37"/>
        <v>16.86755663452599</v>
      </c>
      <c r="BG22" s="22">
        <f t="shared" si="7"/>
        <v>131.8085611384661</v>
      </c>
      <c r="BH22" s="62">
        <f t="shared" si="8"/>
        <v>411.69745002735499</v>
      </c>
      <c r="BI22" s="62">
        <f ca="1">AVERAGE(OFFSET($BH$3,0,0,'Données projet'!$E$11+1,1))-AVERAGE(OFFSET($H$3,0,0,'Données projet'!$E$11+1,1))</f>
        <v>0</v>
      </c>
      <c r="BJ22" s="62">
        <f t="shared" si="38"/>
        <v>0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0.55196324504415228</v>
      </c>
      <c r="BS22" s="24">
        <f t="shared" si="9"/>
        <v>0.55196324504415228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439.06700232017681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57</v>
      </c>
      <c r="AG23" s="13">
        <f>VLOOKUP(A23,'Données projet'!$A$61:$I$81,9,0)</f>
        <v>2.85</v>
      </c>
      <c r="AH23" s="13">
        <f t="array" ref="AH23">INDEX(AG:AG,MIN(IF(ISNUMBER(AG23:AG219),ROW(AG23:AG219),"")))</f>
        <v>2.85</v>
      </c>
      <c r="AI23" s="14">
        <f>IF('Données projet'!$A$62&gt;35,AI22+AH23-AQ22,IF(A23&lt;'Données projet'!$A$62,$AF$205^A23,IF(A23='Données projet'!$A$62,'Données projet'!$B$62,AI22+AH23-AQ22)))</f>
        <v>57</v>
      </c>
      <c r="AJ23" s="14">
        <f>AI23*VLOOKUP('Données projet'!$B$10,Paramètres!$A$1:$I$89,3,0)*VLOOKUP('Données projet'!$B$10,Paramètres!$A$1:$I$89,5,0)</f>
        <v>49.795200000000001</v>
      </c>
      <c r="AK23" s="14">
        <f t="shared" si="35"/>
        <v>14.560856542690781</v>
      </c>
      <c r="AL23" s="22">
        <f t="shared" si="4"/>
        <v>112.08679847851977</v>
      </c>
      <c r="AM23" s="62">
        <f t="shared" si="5"/>
        <v>393.19790958963091</v>
      </c>
      <c r="AN23" s="62">
        <f ca="1">AVERAGE(OFFSET($AM$3,0,0,'Données projet'!$E$10+1,1))-AVERAGE(OFFSET($H$3,0,0,'Données projet'!$E$10+1,1))</f>
        <v>239.16843440041487</v>
      </c>
      <c r="AO23" s="62">
        <f t="shared" si="36"/>
        <v>241.82319822554194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3.2970604503970691</v>
      </c>
      <c r="AX23" s="23">
        <f t="shared" si="6"/>
        <v>3.2970604503970691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85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84.999999999999986</v>
      </c>
      <c r="BE23" s="14">
        <f>BD23*VLOOKUP('Données projet'!$B$11,Paramètres!$A$1:$I$89,3,0)*VLOOKUP('Données projet'!$B$11,Paramètres!$A$1:$I$89,5,0)</f>
        <v>66.3</v>
      </c>
      <c r="BF23" s="14">
        <f t="shared" si="37"/>
        <v>18.751733344032118</v>
      </c>
      <c r="BG23" s="22">
        <f t="shared" si="7"/>
        <v>148.13176890752257</v>
      </c>
      <c r="BH23" s="62">
        <f t="shared" si="8"/>
        <v>429.24288001863374</v>
      </c>
      <c r="BI23" s="62">
        <f ca="1">AVERAGE(OFFSET($BH$3,0,0,'Données projet'!$E$11+1,1))-AVERAGE(OFFSET($H$3,0,0,'Données projet'!$E$11+1,1))</f>
        <v>0</v>
      </c>
      <c r="BJ23" s="62">
        <f t="shared" si="38"/>
        <v>0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18.78907178834152</v>
      </c>
      <c r="BS23" s="24">
        <f t="shared" si="9"/>
        <v>18.78907178834152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439.06700232017681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7.4</v>
      </c>
      <c r="AI24" s="14">
        <f>IF('Données projet'!$A$62&gt;35,AI23+AH24-AQ23,IF(A24&lt;'Données projet'!$A$62,$AF$205^A24,IF(A24='Données projet'!$A$62,'Données projet'!$B$62,AI23+AH24-AQ23)))</f>
        <v>60.400000000000006</v>
      </c>
      <c r="AJ24" s="14">
        <f>AI24*VLOOKUP('Données projet'!$B$10,Paramètres!$A$1:$I$89,3,0)*VLOOKUP('Données projet'!$B$10,Paramètres!$A$1:$I$89,5,0)</f>
        <v>52.765440000000012</v>
      </c>
      <c r="AK24" s="14">
        <f t="shared" si="35"/>
        <v>15.325693633848015</v>
      </c>
      <c r="AL24" s="22">
        <f t="shared" si="4"/>
        <v>118.59205774561866</v>
      </c>
      <c r="AM24" s="62">
        <f t="shared" si="5"/>
        <v>400.92539107895198</v>
      </c>
      <c r="AN24" s="62">
        <f ca="1">AVERAGE(OFFSET($AM$3,0,0,'Données projet'!$E$10+1,1))-AVERAGE(OFFSET($H$3,0,0,'Données projet'!$E$10+1,1))</f>
        <v>239.16843440041487</v>
      </c>
      <c r="AO24" s="62">
        <f t="shared" si="36"/>
        <v>241.82319822554194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2.3313738024577404</v>
      </c>
      <c r="AX24" s="23">
        <f t="shared" si="6"/>
        <v>2.3313738024577404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70.59999999999998</v>
      </c>
      <c r="BE24" s="14">
        <f>BD24*VLOOKUP('Données projet'!$B$11,Paramètres!$A$1:$I$89,3,0)*VLOOKUP('Données projet'!$B$11,Paramètres!$A$1:$I$89,5,0)</f>
        <v>55.067999999999984</v>
      </c>
      <c r="BF24" s="14">
        <f t="shared" si="37"/>
        <v>15.915148294580479</v>
      </c>
      <c r="BG24" s="22">
        <f t="shared" si="7"/>
        <v>123.62898327972762</v>
      </c>
      <c r="BH24" s="62">
        <f t="shared" si="8"/>
        <v>405.96231661306092</v>
      </c>
      <c r="BI24" s="62">
        <f ca="1">AVERAGE(OFFSET($BH$3,0,0,'Données projet'!$E$11+1,1))-AVERAGE(OFFSET($H$3,0,0,'Données projet'!$E$11+1,1))</f>
        <v>0</v>
      </c>
      <c r="BJ24" s="62">
        <f t="shared" si="38"/>
        <v>0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13.285880073737141</v>
      </c>
      <c r="BS24" s="24">
        <f t="shared" si="9"/>
        <v>13.285880073737141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439.06700232017681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7.4</v>
      </c>
      <c r="AI25" s="14">
        <f>IF('Données projet'!$A$62&gt;35,AI24+AH25-AQ24,IF(A25&lt;'Données projet'!$A$62,$AF$205^A25,IF(A25='Données projet'!$A$62,'Données projet'!$B$62,AI24+AH25-AQ24)))</f>
        <v>67.800000000000011</v>
      </c>
      <c r="AJ25" s="14">
        <f>AI25*VLOOKUP('Données projet'!$B$10,Paramètres!$A$1:$I$89,3,0)*VLOOKUP('Données projet'!$B$10,Paramètres!$A$1:$I$89,5,0)</f>
        <v>59.230080000000015</v>
      </c>
      <c r="AK25" s="14">
        <f t="shared" si="35"/>
        <v>16.973463004911878</v>
      </c>
      <c r="AL25" s="22">
        <f t="shared" si="4"/>
        <v>132.72117073355489</v>
      </c>
      <c r="AM25" s="62">
        <f t="shared" si="5"/>
        <v>416.27672628911046</v>
      </c>
      <c r="AN25" s="62">
        <f ca="1">AVERAGE(OFFSET($AM$3,0,0,'Données projet'!$E$10+1,1))-AVERAGE(OFFSET($H$3,0,0,'Données projet'!$E$10+1,1))</f>
        <v>239.16843440041487</v>
      </c>
      <c r="AO25" s="62">
        <f t="shared" si="36"/>
        <v>241.82319822554194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1.6485302251985348</v>
      </c>
      <c r="AX25" s="23">
        <f t="shared" si="6"/>
        <v>1.6485302251985348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81.199999999999974</v>
      </c>
      <c r="BE25" s="14">
        <f>BD25*VLOOKUP('Données projet'!$B$11,Paramètres!$A$1:$I$89,3,0)*VLOOKUP('Données projet'!$B$11,Paramètres!$A$1:$I$89,5,0)</f>
        <v>63.335999999999984</v>
      </c>
      <c r="BF25" s="14">
        <f t="shared" si="37"/>
        <v>18.009040022946227</v>
      </c>
      <c r="BG25" s="22">
        <f t="shared" si="7"/>
        <v>141.67594470663133</v>
      </c>
      <c r="BH25" s="62">
        <f t="shared" si="8"/>
        <v>425.23150026218684</v>
      </c>
      <c r="BI25" s="62">
        <f ca="1">AVERAGE(OFFSET($BH$3,0,0,'Données projet'!$E$11+1,1))-AVERAGE(OFFSET($H$3,0,0,'Données projet'!$E$11+1,1))</f>
        <v>0</v>
      </c>
      <c r="BJ25" s="62">
        <f t="shared" si="38"/>
        <v>0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9.3945358941707617</v>
      </c>
      <c r="BS25" s="24">
        <f t="shared" si="9"/>
        <v>9.3945358941707617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439.06700232017681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7.4</v>
      </c>
      <c r="AI26" s="14">
        <f>IF('Données projet'!$A$62&gt;35,AI25+AH26-AQ25,IF(A26&lt;'Données projet'!$A$62,$AF$205^A26,IF(A26='Données projet'!$A$62,'Données projet'!$B$62,AI25+AH26-AQ25)))</f>
        <v>75.200000000000017</v>
      </c>
      <c r="AJ26" s="14">
        <f>AI26*VLOOKUP('Données projet'!$B$10,Paramètres!$A$1:$I$89,3,0)*VLOOKUP('Données projet'!$B$10,Paramètres!$A$1:$I$89,5,0)</f>
        <v>65.694720000000032</v>
      </c>
      <c r="AK26" s="14">
        <f t="shared" si="35"/>
        <v>18.600387185619521</v>
      </c>
      <c r="AL26" s="22">
        <f t="shared" si="4"/>
        <v>146.81397834828738</v>
      </c>
      <c r="AM26" s="62">
        <f t="shared" si="5"/>
        <v>431.59175612606515</v>
      </c>
      <c r="AN26" s="62">
        <f ca="1">AVERAGE(OFFSET($AM$3,0,0,'Données projet'!$E$10+1,1))-AVERAGE(OFFSET($H$3,0,0,'Données projet'!$E$10+1,1))</f>
        <v>239.16843440041487</v>
      </c>
      <c r="AO26" s="62">
        <f t="shared" si="36"/>
        <v>241.82319822554194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1.1656869012288704</v>
      </c>
      <c r="AX26" s="23">
        <f t="shared" si="6"/>
        <v>1.1656869012288704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91.799999999999969</v>
      </c>
      <c r="BE26" s="14">
        <f>BD26*VLOOKUP('Données projet'!$B$11,Paramètres!$A$1:$I$89,3,0)*VLOOKUP('Données projet'!$B$11,Paramètres!$A$1:$I$89,5,0)</f>
        <v>71.603999999999985</v>
      </c>
      <c r="BF26" s="14">
        <f t="shared" si="37"/>
        <v>20.071260561992585</v>
      </c>
      <c r="BG26" s="22">
        <f t="shared" si="7"/>
        <v>159.66774547880371</v>
      </c>
      <c r="BH26" s="62">
        <f t="shared" si="8"/>
        <v>444.44552325658151</v>
      </c>
      <c r="BI26" s="62">
        <f ca="1">AVERAGE(OFFSET($BH$3,0,0,'Données projet'!$E$11+1,1))-AVERAGE(OFFSET($H$3,0,0,'Données projet'!$E$11+1,1))</f>
        <v>0</v>
      </c>
      <c r="BJ26" s="62">
        <f t="shared" si="38"/>
        <v>0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6.6429400368685716</v>
      </c>
      <c r="BS26" s="24">
        <f t="shared" si="9"/>
        <v>6.6429400368685716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439.06700232017681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7.4</v>
      </c>
      <c r="AI27" s="14">
        <f>IF('Données projet'!$A$62&gt;35,AI26+AH27-AQ26,IF(A27&lt;'Données projet'!$A$62,$AF$205^A27,IF(A27='Données projet'!$A$62,'Données projet'!$B$62,AI26+AH27-AQ26)))</f>
        <v>82.600000000000023</v>
      </c>
      <c r="AJ27" s="14">
        <f>AI27*VLOOKUP('Données projet'!$B$10,Paramètres!$A$1:$I$89,3,0)*VLOOKUP('Données projet'!$B$10,Paramètres!$A$1:$I$89,5,0)</f>
        <v>72.159360000000021</v>
      </c>
      <c r="AK27" s="14">
        <f t="shared" si="35"/>
        <v>20.208750890014226</v>
      </c>
      <c r="AL27" s="22">
        <f t="shared" si="4"/>
        <v>160.87445980010816</v>
      </c>
      <c r="AM27" s="62">
        <f t="shared" si="5"/>
        <v>446.87445980010818</v>
      </c>
      <c r="AN27" s="62">
        <f ca="1">AVERAGE(OFFSET($AM$3,0,0,'Données projet'!$E$10+1,1))-AVERAGE(OFFSET($H$3,0,0,'Données projet'!$E$10+1,1))</f>
        <v>239.16843440041487</v>
      </c>
      <c r="AO27" s="62">
        <f t="shared" si="36"/>
        <v>241.82319822554194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0.8242651125992676</v>
      </c>
      <c r="AX27" s="23">
        <f t="shared" si="6"/>
        <v>0.8242651125992676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79.871999999999971</v>
      </c>
      <c r="BF27" s="14">
        <f t="shared" si="37"/>
        <v>22.105884547145401</v>
      </c>
      <c r="BG27" s="22">
        <f t="shared" si="7"/>
        <v>177.61148225294485</v>
      </c>
      <c r="BH27" s="62">
        <f t="shared" si="8"/>
        <v>463.61148225294482</v>
      </c>
      <c r="BI27" s="62">
        <f ca="1">AVERAGE(OFFSET($BH$3,0,0,'Données projet'!$E$11+1,1))-AVERAGE(OFFSET($H$3,0,0,'Données projet'!$E$11+1,1))</f>
        <v>0</v>
      </c>
      <c r="BJ27" s="62">
        <f t="shared" si="38"/>
        <v>0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4.6972679470853818</v>
      </c>
      <c r="BS27" s="24">
        <f t="shared" si="9"/>
        <v>4.6972679470853818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439.06700232017681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0.129</v>
      </c>
      <c r="Y28" s="17">
        <f>IF(ISNA(VLOOKUP(A28,'Données projet'!$A$35:$I$55,7,0)),0%,VLOOKUP(A28,'Données projet'!$A$35:$I$55,7,0))</f>
        <v>0.7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3.5986042274365828</v>
      </c>
      <c r="AB28" s="23">
        <f>EXP(-LN(2)/2)*AB27+(1-EXP(-LN(2)/2))/(LN(2)/2)*V28*Y28*VLOOKUP('Données projet'!$B$9,Paramètres!$A$1:$I$89,3,0)*0.475*44/12</f>
        <v>16.73258178576512</v>
      </c>
      <c r="AC28" s="24">
        <f t="shared" si="3"/>
        <v>20.331186013201702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90</v>
      </c>
      <c r="AG28" s="13">
        <f>VLOOKUP(A28,'Données projet'!$A$61:$I$81,9,0)</f>
        <v>7.4</v>
      </c>
      <c r="AH28" s="13">
        <f t="array" ref="AH28">INDEX(AG:AG,MIN(IF(ISNUMBER(AG28:AG224),ROW(AG28:AG224),"")))</f>
        <v>7.4</v>
      </c>
      <c r="AI28" s="14">
        <f>IF('Données projet'!$A$62&gt;35,AI27+AH28-AQ27,IF(A28&lt;'Données projet'!$A$62,$AF$205^A28,IF(A28='Données projet'!$A$62,'Données projet'!$B$62,AI27+AH28-AQ27)))</f>
        <v>90.000000000000028</v>
      </c>
      <c r="AJ28" s="14">
        <f>AI28*VLOOKUP('Données projet'!$B$10,Paramètres!$A$1:$I$89,3,0)*VLOOKUP('Données projet'!$B$10,Paramètres!$A$1:$I$89,5,0)</f>
        <v>78.624000000000038</v>
      </c>
      <c r="AK28" s="14">
        <f t="shared" si="35"/>
        <v>21.800406010684462</v>
      </c>
      <c r="AL28" s="22">
        <f t="shared" si="4"/>
        <v>174.90584046860883</v>
      </c>
      <c r="AM28" s="62">
        <f t="shared" si="5"/>
        <v>462.12806269083103</v>
      </c>
      <c r="AN28" s="62">
        <f ca="1">AVERAGE(OFFSET($AM$3,0,0,'Données projet'!$E$10+1,1))-AVERAGE(OFFSET($H$3,0,0,'Données projet'!$E$10+1,1))</f>
        <v>239.16843440041487</v>
      </c>
      <c r="AO28" s="62">
        <f t="shared" si="36"/>
        <v>241.82319822554194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17.068145702599779</v>
      </c>
      <c r="AX28" s="23">
        <f t="shared" si="6"/>
        <v>17.068145702599779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113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112.99999999999996</v>
      </c>
      <c r="BE28" s="14">
        <f>BD28*VLOOKUP('Données projet'!$B$11,Paramètres!$A$1:$I$89,3,0)*VLOOKUP('Données projet'!$B$11,Paramètres!$A$1:$I$89,5,0)</f>
        <v>88.139999999999972</v>
      </c>
      <c r="BF28" s="14">
        <f t="shared" si="37"/>
        <v>24.116094026318823</v>
      </c>
      <c r="BG28" s="22">
        <f t="shared" si="7"/>
        <v>195.51269709583855</v>
      </c>
      <c r="BH28" s="62">
        <f t="shared" si="8"/>
        <v>482.73491931806075</v>
      </c>
      <c r="BI28" s="62">
        <f ca="1">AVERAGE(OFFSET($BH$3,0,0,'Données projet'!$E$11+1,1))-AVERAGE(OFFSET($H$3,0,0,'Données projet'!$E$11+1,1))</f>
        <v>0</v>
      </c>
      <c r="BJ28" s="62">
        <f t="shared" si="38"/>
        <v>0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8.6000000000000007E-2</v>
      </c>
      <c r="BO28" s="17">
        <f>IF(ISNA(VLOOKUP(A28,'Données projet'!$A$87:$I$107,7,0)),0%,VLOOKUP(A28,'Données projet'!$A$87:$I$107,7,0))</f>
        <v>0.8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1.9943003723478601</v>
      </c>
      <c r="BR28" s="23">
        <f>EXP(-LN(2)/2)*BR27+(1-EXP(-LN(2)/2))/(LN(2)/2)*BL28*BO28*VLOOKUP('Données projet'!$B$11,Paramètres!$A$1:$I$89,3,0)*0.475*44/12</f>
        <v>19.218011475705868</v>
      </c>
      <c r="BS28" s="24">
        <f t="shared" si="9"/>
        <v>21.21231184805373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439.06700232017681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3.5002002055949579</v>
      </c>
      <c r="AB29" s="23">
        <f>EXP(-LN(2)/2)*AB28+(1-EXP(-LN(2)/2))/(LN(2)/2)*V29*Y29*VLOOKUP('Données projet'!$B$9,Paramètres!$A$1:$I$89,3,0)*0.475*44/12</f>
        <v>11.831722047473029</v>
      </c>
      <c r="AC29" s="24">
        <f t="shared" si="3"/>
        <v>15.331922253067987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7.2</v>
      </c>
      <c r="AI29" s="14">
        <f>IF('Données projet'!$A$62&gt;35,AI28+AH29-AQ28,IF(A29&lt;'Données projet'!$A$62,$AF$205^A29,IF(A29='Données projet'!$A$62,'Données projet'!$B$62,AI28+AH29-AQ28)))</f>
        <v>77.200000000000031</v>
      </c>
      <c r="AJ29" s="14">
        <f>AI29*VLOOKUP('Données projet'!$B$10,Paramètres!$A$1:$I$89,3,0)*VLOOKUP('Données projet'!$B$10,Paramètres!$A$1:$I$89,5,0)</f>
        <v>67.441920000000039</v>
      </c>
      <c r="AK29" s="14">
        <f t="shared" si="35"/>
        <v>19.036826299015054</v>
      </c>
      <c r="AL29" s="22">
        <f t="shared" si="4"/>
        <v>150.61714980411793</v>
      </c>
      <c r="AM29" s="62">
        <f t="shared" si="5"/>
        <v>439.06159424856241</v>
      </c>
      <c r="AN29" s="62">
        <f ca="1">AVERAGE(OFFSET($AM$3,0,0,'Données projet'!$E$10+1,1))-AVERAGE(OFFSET($H$3,0,0,'Données projet'!$E$10+1,1))</f>
        <v>239.16843440041487</v>
      </c>
      <c r="AO29" s="62">
        <f t="shared" si="36"/>
        <v>241.82319822554194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12.069001568588334</v>
      </c>
      <c r="AX29" s="23">
        <f t="shared" si="6"/>
        <v>12.069001568588334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97.499999999999957</v>
      </c>
      <c r="BE29" s="14">
        <f>BD29*VLOOKUP('Données projet'!$B$11,Paramètres!$A$1:$I$89,3,0)*VLOOKUP('Données projet'!$B$11,Paramètres!$A$1:$I$89,5,0)</f>
        <v>76.049999999999969</v>
      </c>
      <c r="BF29" s="14">
        <f t="shared" si="37"/>
        <v>21.168560890749262</v>
      </c>
      <c r="BG29" s="22">
        <f t="shared" si="7"/>
        <v>169.32232688472158</v>
      </c>
      <c r="BH29" s="62">
        <f t="shared" si="8"/>
        <v>457.76677132916603</v>
      </c>
      <c r="BI29" s="62">
        <f ca="1">AVERAGE(OFFSET($BH$3,0,0,'Données projet'!$E$11+1,1))-AVERAGE(OFFSET($H$3,0,0,'Données projet'!$E$11+1,1))</f>
        <v>0</v>
      </c>
      <c r="BJ29" s="62">
        <f t="shared" si="38"/>
        <v>0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1.9397661237903092</v>
      </c>
      <c r="BR29" s="23">
        <f>EXP(-LN(2)/2)*BR28+(1-EXP(-LN(2)/2))/(LN(2)/2)*BL29*BO29*VLOOKUP('Données projet'!$B$11,Paramètres!$A$1:$I$89,3,0)*0.475*44/12</f>
        <v>13.589186235392509</v>
      </c>
      <c r="BS29" s="24">
        <f t="shared" si="9"/>
        <v>15.528952359182817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439.06700232017681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3.4044870469054347</v>
      </c>
      <c r="AB30" s="23">
        <f>EXP(-LN(2)/2)*AB29+(1-EXP(-LN(2)/2))/(LN(2)/2)*V30*Y30*VLOOKUP('Données projet'!$B$9,Paramètres!$A$1:$I$89,3,0)*0.475*44/12</f>
        <v>8.3662908928825619</v>
      </c>
      <c r="AC30" s="24">
        <f t="shared" si="3"/>
        <v>11.770777939787997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7.2</v>
      </c>
      <c r="AI30" s="14">
        <f>IF('Données projet'!$A$62&gt;35,AI29+AH30-AQ29,IF(A30&lt;'Données projet'!$A$62,$AF$205^A30,IF(A30='Données projet'!$A$62,'Données projet'!$B$62,AI29+AH30-AQ29)))</f>
        <v>84.400000000000034</v>
      </c>
      <c r="AJ30" s="14">
        <f>AI30*VLOOKUP('Données projet'!$B$10,Paramètres!$A$1:$I$89,3,0)*VLOOKUP('Données projet'!$B$10,Paramètres!$A$1:$I$89,5,0)</f>
        <v>73.731840000000034</v>
      </c>
      <c r="AK30" s="14">
        <f t="shared" si="35"/>
        <v>20.597384986125313</v>
      </c>
      <c r="AL30" s="22">
        <f t="shared" si="4"/>
        <v>164.29006685083496</v>
      </c>
      <c r="AM30" s="62">
        <f t="shared" si="5"/>
        <v>453.95673351750168</v>
      </c>
      <c r="AN30" s="62">
        <f ca="1">AVERAGE(OFFSET($AM$3,0,0,'Données projet'!$E$10+1,1))-AVERAGE(OFFSET($H$3,0,0,'Données projet'!$E$10+1,1))</f>
        <v>239.16843440041487</v>
      </c>
      <c r="AO30" s="62">
        <f t="shared" si="36"/>
        <v>241.82319822554194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8.5340728512998911</v>
      </c>
      <c r="AX30" s="23">
        <f t="shared" si="6"/>
        <v>8.5340728512998911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108.99999999999996</v>
      </c>
      <c r="BE30" s="14">
        <f>BD30*VLOOKUP('Données projet'!$B$11,Paramètres!$A$1:$I$89,3,0)*VLOOKUP('Données projet'!$B$11,Paramètres!$A$1:$I$89,5,0)</f>
        <v>85.019999999999968</v>
      </c>
      <c r="BF30" s="14">
        <f t="shared" si="37"/>
        <v>23.360218970693097</v>
      </c>
      <c r="BG30" s="22">
        <f t="shared" si="7"/>
        <v>188.76221470729038</v>
      </c>
      <c r="BH30" s="62">
        <f t="shared" si="8"/>
        <v>478.4288813739571</v>
      </c>
      <c r="BI30" s="62">
        <f ca="1">AVERAGE(OFFSET($BH$3,0,0,'Données projet'!$E$11+1,1))-AVERAGE(OFFSET($H$3,0,0,'Données projet'!$E$11+1,1))</f>
        <v>0</v>
      </c>
      <c r="BJ30" s="62">
        <f t="shared" si="38"/>
        <v>0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1.8867231171273962</v>
      </c>
      <c r="BR30" s="23">
        <f>EXP(-LN(2)/2)*BR29+(1-EXP(-LN(2)/2))/(LN(2)/2)*BL30*BO30*VLOOKUP('Données projet'!$B$11,Paramètres!$A$1:$I$89,3,0)*0.475*44/12</f>
        <v>9.6090057378529341</v>
      </c>
      <c r="BS30" s="24">
        <f t="shared" si="9"/>
        <v>11.49572885498033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439.06700232017681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3.3113911695736129</v>
      </c>
      <c r="AB31" s="23">
        <f>EXP(-LN(2)/2)*AB30+(1-EXP(-LN(2)/2))/(LN(2)/2)*V31*Y31*VLOOKUP('Données projet'!$B$9,Paramètres!$A$1:$I$89,3,0)*0.475*44/12</f>
        <v>5.9158610237365155</v>
      </c>
      <c r="AC31" s="24">
        <f t="shared" si="3"/>
        <v>9.2272521933101288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7.2</v>
      </c>
      <c r="AI31" s="14">
        <f>IF('Données projet'!$A$62&gt;35,AI30+AH31-AQ30,IF(A31&lt;'Données projet'!$A$62,$AF$205^A31,IF(A31='Données projet'!$A$62,'Données projet'!$B$62,AI30+AH31-AQ30)))</f>
        <v>91.600000000000037</v>
      </c>
      <c r="AJ31" s="14">
        <f>AI31*VLOOKUP('Données projet'!$B$10,Paramètres!$A$1:$I$89,3,0)*VLOOKUP('Données projet'!$B$10,Paramètres!$A$1:$I$89,5,0)</f>
        <v>80.021760000000043</v>
      </c>
      <c r="AK31" s="14">
        <f t="shared" si="35"/>
        <v>22.142504477569037</v>
      </c>
      <c r="AL31" s="22">
        <f t="shared" si="4"/>
        <v>177.93609396509945</v>
      </c>
      <c r="AM31" s="62">
        <f t="shared" si="5"/>
        <v>468.82498285398833</v>
      </c>
      <c r="AN31" s="62">
        <f ca="1">AVERAGE(OFFSET($AM$3,0,0,'Données projet'!$E$10+1,1))-AVERAGE(OFFSET($H$3,0,0,'Données projet'!$E$10+1,1))</f>
        <v>239.16843440041487</v>
      </c>
      <c r="AO31" s="62">
        <f t="shared" si="36"/>
        <v>241.82319822554194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6.0345007842941687</v>
      </c>
      <c r="AX31" s="23">
        <f t="shared" si="6"/>
        <v>6.0345007842941687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120.49999999999996</v>
      </c>
      <c r="BE31" s="14">
        <f>BD31*VLOOKUP('Données projet'!$B$11,Paramètres!$A$1:$I$89,3,0)*VLOOKUP('Données projet'!$B$11,Paramètres!$A$1:$I$89,5,0)</f>
        <v>93.989999999999966</v>
      </c>
      <c r="BF31" s="14">
        <f t="shared" si="37"/>
        <v>25.525074036970054</v>
      </c>
      <c r="BG31" s="22">
        <f t="shared" si="7"/>
        <v>208.15542061438944</v>
      </c>
      <c r="BH31" s="62">
        <f t="shared" si="8"/>
        <v>499.04430950327833</v>
      </c>
      <c r="BI31" s="62">
        <f ca="1">AVERAGE(OFFSET($BH$3,0,0,'Données projet'!$E$11+1,1))-AVERAGE(OFFSET($H$3,0,0,'Données projet'!$E$11+1,1))</f>
        <v>0</v>
      </c>
      <c r="BJ31" s="62">
        <f t="shared" si="38"/>
        <v>0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1.8351305742710908</v>
      </c>
      <c r="BR31" s="23">
        <f>EXP(-LN(2)/2)*BR30+(1-EXP(-LN(2)/2))/(LN(2)/2)*BL31*BO31*VLOOKUP('Données projet'!$B$11,Paramètres!$A$1:$I$89,3,0)*0.475*44/12</f>
        <v>6.7945931176962544</v>
      </c>
      <c r="BS31" s="24">
        <f t="shared" si="9"/>
        <v>8.6297236919673459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439.06700232017681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3.220841003903129</v>
      </c>
      <c r="AB32" s="23">
        <f>EXP(-LN(2)/2)*AB31+(1-EXP(-LN(2)/2))/(LN(2)/2)*V32*Y32*VLOOKUP('Données projet'!$B$9,Paramètres!$A$1:$I$89,3,0)*0.475*44/12</f>
        <v>4.1831454464412818</v>
      </c>
      <c r="AC32" s="24">
        <f t="shared" si="3"/>
        <v>7.4039864503444104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7.2</v>
      </c>
      <c r="AI32" s="14">
        <f>IF('Données projet'!$A$62&gt;35,AI31+AH32-AQ31,IF(A32&lt;'Données projet'!$A$62,$AF$205^A32,IF(A32='Données projet'!$A$62,'Données projet'!$B$62,AI31+AH32-AQ31)))</f>
        <v>98.80000000000004</v>
      </c>
      <c r="AJ32" s="14">
        <f>AI32*VLOOKUP('Données projet'!$B$10,Paramètres!$A$1:$I$89,3,0)*VLOOKUP('Données projet'!$B$10,Paramètres!$A$1:$I$89,5,0)</f>
        <v>86.311680000000038</v>
      </c>
      <c r="AK32" s="14">
        <f t="shared" si="35"/>
        <v>23.673536308765961</v>
      </c>
      <c r="AL32" s="22">
        <f t="shared" si="4"/>
        <v>191.55758507110079</v>
      </c>
      <c r="AM32" s="62">
        <f t="shared" si="5"/>
        <v>483.66869618221193</v>
      </c>
      <c r="AN32" s="62">
        <f ca="1">AVERAGE(OFFSET($AM$3,0,0,'Données projet'!$E$10+1,1))-AVERAGE(OFFSET($H$3,0,0,'Données projet'!$E$10+1,1))</f>
        <v>239.16843440041487</v>
      </c>
      <c r="AO32" s="62">
        <f t="shared" si="36"/>
        <v>241.82319822554194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4.2670364256499465</v>
      </c>
      <c r="AX32" s="23">
        <f t="shared" si="6"/>
        <v>4.2670364256499465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131.99999999999994</v>
      </c>
      <c r="BE32" s="14">
        <f>BD32*VLOOKUP('Données projet'!$B$11,Paramètres!$A$1:$I$89,3,0)*VLOOKUP('Données projet'!$B$11,Paramètres!$A$1:$I$89,5,0)</f>
        <v>102.95999999999997</v>
      </c>
      <c r="BF32" s="14">
        <f t="shared" si="37"/>
        <v>27.665975080374633</v>
      </c>
      <c r="BG32" s="22">
        <f t="shared" si="7"/>
        <v>227.50690659831903</v>
      </c>
      <c r="BH32" s="62">
        <f t="shared" si="8"/>
        <v>519.61801770943021</v>
      </c>
      <c r="BI32" s="62">
        <f ca="1">AVERAGE(OFFSET($BH$3,0,0,'Données projet'!$E$11+1,1))-AVERAGE(OFFSET($H$3,0,0,'Données projet'!$E$11+1,1))</f>
        <v>0</v>
      </c>
      <c r="BJ32" s="62">
        <f t="shared" si="38"/>
        <v>0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1.7849488322123253</v>
      </c>
      <c r="BR32" s="23">
        <f>EXP(-LN(2)/2)*BR31+(1-EXP(-LN(2)/2))/(LN(2)/2)*BL32*BO32*VLOOKUP('Données projet'!$B$11,Paramètres!$A$1:$I$89,3,0)*0.475*44/12</f>
        <v>4.8045028689264671</v>
      </c>
      <c r="BS32" s="24">
        <f t="shared" si="9"/>
        <v>6.5894517011387919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439.06700232017681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0.215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9.1304406496690369</v>
      </c>
      <c r="AB33" s="23">
        <f>EXP(-LN(2)/2)*AB32+(1-EXP(-LN(2)/2))/(LN(2)/2)*V33*Y33*VLOOKUP('Données projet'!$B$9,Paramètres!$A$1:$I$89,3,0)*0.475*44/12</f>
        <v>14.909774644557633</v>
      </c>
      <c r="AC33" s="24">
        <f t="shared" si="3"/>
        <v>24.04021529422667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106</v>
      </c>
      <c r="AG33" s="13">
        <f>VLOOKUP(A33,'Données projet'!$A$61:$I$81,9,0)</f>
        <v>7.2</v>
      </c>
      <c r="AH33" s="13">
        <f t="array" ref="AH33">INDEX(AG:AG,MIN(IF(ISNUMBER(AG33:AG229),ROW(AG33:AG229),"")))</f>
        <v>7.2</v>
      </c>
      <c r="AI33" s="14">
        <f>IF('Données projet'!$A$62&gt;35,AI32+AH33-AQ32,IF(A33&lt;'Données projet'!$A$62,$AF$205^A33,IF(A33='Données projet'!$A$62,'Données projet'!$B$62,AI32+AH33-AQ32)))</f>
        <v>106.00000000000004</v>
      </c>
      <c r="AJ33" s="14">
        <f>AI33*VLOOKUP('Données projet'!$B$10,Paramètres!$A$1:$I$89,3,0)*VLOOKUP('Données projet'!$B$10,Paramètres!$A$1:$I$89,5,0)</f>
        <v>92.601600000000047</v>
      </c>
      <c r="AK33" s="14">
        <f t="shared" si="35"/>
        <v>25.191623861555186</v>
      </c>
      <c r="AL33" s="22">
        <f t="shared" si="4"/>
        <v>205.15653155887534</v>
      </c>
      <c r="AM33" s="62">
        <f t="shared" si="5"/>
        <v>498.48986489220863</v>
      </c>
      <c r="AN33" s="62">
        <f ca="1">AVERAGE(OFFSET($AM$3,0,0,'Données projet'!$E$10+1,1))-AVERAGE(OFFSET($H$3,0,0,'Données projet'!$E$10+1,1))</f>
        <v>239.16843440041487</v>
      </c>
      <c r="AO33" s="62">
        <f t="shared" si="36"/>
        <v>241.82319822554194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19.502552644132425</v>
      </c>
      <c r="AX33" s="23">
        <f t="shared" si="6"/>
        <v>19.502552644132425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143.49999999999994</v>
      </c>
      <c r="BE33" s="14">
        <f>BD33*VLOOKUP('Données projet'!$B$11,Paramètres!$A$1:$I$89,3,0)*VLOOKUP('Données projet'!$B$11,Paramètres!$A$1:$I$89,5,0)</f>
        <v>111.92999999999996</v>
      </c>
      <c r="BF33" s="14">
        <f t="shared" si="37"/>
        <v>29.785246291563833</v>
      </c>
      <c r="BG33" s="22">
        <f t="shared" si="7"/>
        <v>246.82072062447358</v>
      </c>
      <c r="BH33" s="62">
        <f t="shared" si="8"/>
        <v>540.15405395780692</v>
      </c>
      <c r="BI33" s="62">
        <f ca="1">AVERAGE(OFFSET($BH$3,0,0,'Données projet'!$E$11+1,1))-AVERAGE(OFFSET($H$3,0,0,'Données projet'!$E$11+1,1))</f>
        <v>0</v>
      </c>
      <c r="BJ33" s="62">
        <f t="shared" si="38"/>
        <v>0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1.7361393125290996</v>
      </c>
      <c r="BR33" s="23">
        <f>EXP(-LN(2)/2)*BR32+(1-EXP(-LN(2)/2))/(LN(2)/2)*BL33*BO33*VLOOKUP('Données projet'!$B$11,Paramètres!$A$1:$I$89,3,0)*0.475*44/12</f>
        <v>3.3972965588481272</v>
      </c>
      <c r="BS33" s="24">
        <f t="shared" si="9"/>
        <v>5.1334358713772268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439.06700232017681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8.8807682699548316</v>
      </c>
      <c r="AB34" s="23">
        <f>EXP(-LN(2)/2)*AB33+(1-EXP(-LN(2)/2))/(LN(2)/2)*V34*Y34*VLOOKUP('Données projet'!$B$9,Paramètres!$A$1:$I$89,3,0)*0.475*44/12</f>
        <v>10.54280275712995</v>
      </c>
      <c r="AC34" s="24">
        <f t="shared" si="3"/>
        <v>19.423571027084783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6.6</v>
      </c>
      <c r="AI34" s="14">
        <f>IF('Données projet'!$A$62&gt;35,AI33+AH34-AQ33,IF(A34&lt;'Données projet'!$A$62,$AF$205^A34,IF(A34='Données projet'!$A$62,'Données projet'!$B$62,AI33+AH34-AQ33)))</f>
        <v>92.600000000000037</v>
      </c>
      <c r="AJ34" s="14">
        <f>AI34*VLOOKUP('Données projet'!$B$10,Paramètres!$A$1:$I$89,3,0)*VLOOKUP('Données projet'!$B$10,Paramètres!$A$1:$I$89,5,0)</f>
        <v>80.895360000000039</v>
      </c>
      <c r="AK34" s="14">
        <f t="shared" si="35"/>
        <v>22.355962294793155</v>
      </c>
      <c r="AL34" s="22">
        <f t="shared" si="4"/>
        <v>179.82938633009815</v>
      </c>
      <c r="AM34" s="62">
        <f t="shared" si="5"/>
        <v>473.16271966343146</v>
      </c>
      <c r="AN34" s="62">
        <f ca="1">AVERAGE(OFFSET($AM$3,0,0,'Données projet'!$E$10+1,1))-AVERAGE(OFFSET($H$3,0,0,'Données projet'!$E$10+1,1))</f>
        <v>239.16843440041487</v>
      </c>
      <c r="AO34" s="62">
        <f t="shared" si="36"/>
        <v>241.82319822554194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13.790387225113671</v>
      </c>
      <c r="AX34" s="23">
        <f t="shared" si="6"/>
        <v>13.790387225113671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154.99999999999994</v>
      </c>
      <c r="BE34" s="14">
        <f>BD34*VLOOKUP('Données projet'!$B$11,Paramètres!$A$1:$I$89,3,0)*VLOOKUP('Données projet'!$B$11,Paramètres!$A$1:$I$89,5,0)</f>
        <v>120.89999999999996</v>
      </c>
      <c r="BF34" s="14">
        <f t="shared" si="37"/>
        <v>31.884818143351602</v>
      </c>
      <c r="BG34" s="22">
        <f t="shared" si="7"/>
        <v>266.10022493300397</v>
      </c>
      <c r="BH34" s="62">
        <f t="shared" si="8"/>
        <v>559.43355826633729</v>
      </c>
      <c r="BI34" s="62">
        <f ca="1">AVERAGE(OFFSET($BH$3,0,0,'Données projet'!$E$11+1,1))-AVERAGE(OFFSET($H$3,0,0,'Données projet'!$E$11+1,1))</f>
        <v>0</v>
      </c>
      <c r="BJ34" s="62">
        <f t="shared" si="38"/>
        <v>0</v>
      </c>
      <c r="BK34" s="16">
        <f>IF(ISNA(VLOOKUP(A34,'Données projet'!$A$87:$I$107,3,0)),0,VLOOKUP(A34,'Données projet'!$A$87:$I$107,3,0))</f>
        <v>4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1.6886644917283928</v>
      </c>
      <c r="BR34" s="23">
        <f>EXP(-LN(2)/2)*BR33+(1-EXP(-LN(2)/2))/(LN(2)/2)*BL34*BO34*VLOOKUP('Données projet'!$B$11,Paramètres!$A$1:$I$89,3,0)*0.475*44/12</f>
        <v>2.4022514344632335</v>
      </c>
      <c r="BS34" s="24">
        <f t="shared" si="9"/>
        <v>4.0909159261916264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439.06700232017681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8.6379231945936112</v>
      </c>
      <c r="AB35" s="23">
        <f>EXP(-LN(2)/2)*AB34+(1-EXP(-LN(2)/2))/(LN(2)/2)*V35*Y35*VLOOKUP('Données projet'!$B$9,Paramètres!$A$1:$I$89,3,0)*0.475*44/12</f>
        <v>7.4548873222788181</v>
      </c>
      <c r="AC35" s="24">
        <f t="shared" si="3"/>
        <v>16.092810516872429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6.6</v>
      </c>
      <c r="AI35" s="14">
        <f>IF('Données projet'!$A$62&gt;35,AI34+AH35-AQ34,IF(A35&lt;'Données projet'!$A$62,$AF$205^A35,IF(A35='Données projet'!$A$62,'Données projet'!$B$62,AI34+AH35-AQ34)))</f>
        <v>99.200000000000031</v>
      </c>
      <c r="AJ35" s="14">
        <f>AI35*VLOOKUP('Données projet'!$B$10,Paramètres!$A$1:$I$89,3,0)*VLOOKUP('Données projet'!$B$10,Paramètres!$A$1:$I$89,5,0)</f>
        <v>86.661120000000039</v>
      </c>
      <c r="AK35" s="14">
        <f t="shared" si="35"/>
        <v>23.758204386703831</v>
      </c>
      <c r="AL35" s="22">
        <f t="shared" si="4"/>
        <v>192.31365664017588</v>
      </c>
      <c r="AM35" s="62">
        <f t="shared" si="5"/>
        <v>485.64698997350922</v>
      </c>
      <c r="AN35" s="62">
        <f ca="1">AVERAGE(OFFSET($AM$3,0,0,'Données projet'!$E$10+1,1))-AVERAGE(OFFSET($H$3,0,0,'Données projet'!$E$10+1,1))</f>
        <v>239.16843440041487</v>
      </c>
      <c r="AO35" s="62">
        <f t="shared" si="36"/>
        <v>241.82319822554194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9.7512763220662126</v>
      </c>
      <c r="AX35" s="23">
        <f t="shared" si="6"/>
        <v>9.7512763220662126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130.49999999999994</v>
      </c>
      <c r="BE35" s="14">
        <f>BD35*VLOOKUP('Données projet'!$B$11,Paramètres!$A$1:$I$89,3,0)*VLOOKUP('Données projet'!$B$11,Paramètres!$A$1:$I$89,5,0)</f>
        <v>101.78999999999996</v>
      </c>
      <c r="BF35" s="14">
        <f t="shared" si="37"/>
        <v>27.38799903683508</v>
      </c>
      <c r="BG35" s="22">
        <f t="shared" si="7"/>
        <v>224.98501498915437</v>
      </c>
      <c r="BH35" s="62">
        <f t="shared" si="8"/>
        <v>518.31834832248774</v>
      </c>
      <c r="BI35" s="62">
        <f ca="1">AVERAGE(OFFSET($BH$3,0,0,'Données projet'!$E$11+1,1))-AVERAGE(OFFSET($H$3,0,0,'Données projet'!$E$11+1,1))</f>
        <v>0</v>
      </c>
      <c r="BJ35" s="62">
        <f t="shared" si="38"/>
        <v>0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1.6424878723990739</v>
      </c>
      <c r="BR35" s="23">
        <f>EXP(-LN(2)/2)*BR34+(1-EXP(-LN(2)/2))/(LN(2)/2)*BL35*BO35*VLOOKUP('Données projet'!$B$11,Paramètres!$A$1:$I$89,3,0)*0.475*44/12</f>
        <v>1.6986482794240636</v>
      </c>
      <c r="BS35" s="24">
        <f t="shared" si="9"/>
        <v>3.3411361518231377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439.06700232017681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8.4017187305888097</v>
      </c>
      <c r="AB36" s="23">
        <f>EXP(-LN(2)/2)*AB35+(1-EXP(-LN(2)/2))/(LN(2)/2)*V36*Y36*VLOOKUP('Données projet'!$B$9,Paramètres!$A$1:$I$89,3,0)*0.475*44/12</f>
        <v>5.2714013785649758</v>
      </c>
      <c r="AC36" s="24">
        <f t="shared" si="3"/>
        <v>13.673120109153786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6.6</v>
      </c>
      <c r="AI36" s="14">
        <f>IF('Données projet'!$A$62&gt;35,AI35+AH36-AQ35,IF(A36&lt;'Données projet'!$A$62,$AF$205^A36,IF(A36='Données projet'!$A$62,'Données projet'!$B$62,AI35+AH36-AQ35)))</f>
        <v>105.80000000000003</v>
      </c>
      <c r="AJ36" s="14">
        <f>AI36*VLOOKUP('Données projet'!$B$10,Paramètres!$A$1:$I$89,3,0)*VLOOKUP('Données projet'!$B$10,Paramètres!$A$1:$I$89,5,0)</f>
        <v>92.42688000000004</v>
      </c>
      <c r="AK36" s="14">
        <f t="shared" si="35"/>
        <v>25.149620531579263</v>
      </c>
      <c r="AL36" s="22">
        <f t="shared" si="4"/>
        <v>204.77907175916729</v>
      </c>
      <c r="AM36" s="62">
        <f t="shared" si="5"/>
        <v>498.11240509250058</v>
      </c>
      <c r="AN36" s="62">
        <f ca="1">AVERAGE(OFFSET($AM$3,0,0,'Données projet'!$E$10+1,1))-AVERAGE(OFFSET($H$3,0,0,'Données projet'!$E$10+1,1))</f>
        <v>239.16843440041487</v>
      </c>
      <c r="AO36" s="62">
        <f t="shared" si="36"/>
        <v>241.82319822554194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6.8951936125568354</v>
      </c>
      <c r="AX36" s="23">
        <f t="shared" si="6"/>
        <v>6.8951936125568354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141.99999999999994</v>
      </c>
      <c r="BE36" s="14">
        <f>BD36*VLOOKUP('Données projet'!$B$11,Paramètres!$A$1:$I$89,3,0)*VLOOKUP('Données projet'!$B$11,Paramètres!$A$1:$I$89,5,0)</f>
        <v>110.75999999999996</v>
      </c>
      <c r="BF36" s="14">
        <f t="shared" si="37"/>
        <v>29.509974682362923</v>
      </c>
      <c r="BG36" s="22">
        <f t="shared" si="7"/>
        <v>244.30353923844871</v>
      </c>
      <c r="BH36" s="62">
        <f t="shared" si="8"/>
        <v>537.63687257178208</v>
      </c>
      <c r="BI36" s="62">
        <f ca="1">AVERAGE(OFFSET($BH$3,0,0,'Données projet'!$E$11+1,1))-AVERAGE(OFFSET($H$3,0,0,'Données projet'!$E$11+1,1))</f>
        <v>0</v>
      </c>
      <c r="BJ36" s="62">
        <f t="shared" si="38"/>
        <v>0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1.5975739551536379</v>
      </c>
      <c r="BR36" s="23">
        <f>EXP(-LN(2)/2)*BR35+(1-EXP(-LN(2)/2))/(LN(2)/2)*BL36*BO36*VLOOKUP('Données projet'!$B$11,Paramètres!$A$1:$I$89,3,0)*0.475*44/12</f>
        <v>1.2011257172316168</v>
      </c>
      <c r="BS36" s="24">
        <f t="shared" si="9"/>
        <v>2.7986996723852546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439.06700232017681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8.171973290073673</v>
      </c>
      <c r="AB37" s="23">
        <f>EXP(-LN(2)/2)*AB36+(1-EXP(-LN(2)/2))/(LN(2)/2)*V37*Y37*VLOOKUP('Données projet'!$B$9,Paramètres!$A$1:$I$89,3,0)*0.475*44/12</f>
        <v>3.7274436611394095</v>
      </c>
      <c r="AC37" s="24">
        <f t="shared" si="3"/>
        <v>11.899416951213082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6.6</v>
      </c>
      <c r="AI37" s="14">
        <f>IF('Données projet'!$A$62&gt;35,AI36+AH37-AQ36,IF(A37&lt;'Données projet'!$A$62,$AF$205^A37,IF(A37='Données projet'!$A$62,'Données projet'!$B$62,AI36+AH37-AQ36)))</f>
        <v>112.40000000000002</v>
      </c>
      <c r="AJ37" s="14">
        <f>AI37*VLOOKUP('Données projet'!$B$10,Paramètres!$A$1:$I$89,3,0)*VLOOKUP('Données projet'!$B$10,Paramètres!$A$1:$I$89,5,0)</f>
        <v>98.192640000000026</v>
      </c>
      <c r="AK37" s="14">
        <f t="shared" si="35"/>
        <v>26.530962957008427</v>
      </c>
      <c r="AL37" s="22">
        <f t="shared" si="4"/>
        <v>217.22694181678969</v>
      </c>
      <c r="AM37" s="62">
        <f t="shared" si="5"/>
        <v>510.560275150123</v>
      </c>
      <c r="AN37" s="62">
        <f ca="1">AVERAGE(OFFSET($AM$3,0,0,'Données projet'!$E$10+1,1))-AVERAGE(OFFSET($H$3,0,0,'Données projet'!$E$10+1,1))</f>
        <v>239.16843440041487</v>
      </c>
      <c r="AO37" s="62">
        <f t="shared" si="36"/>
        <v>241.82319822554194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4.8756381610331063</v>
      </c>
      <c r="AX37" s="23">
        <f t="shared" si="6"/>
        <v>4.8756381610331063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153.49999999999994</v>
      </c>
      <c r="BE37" s="14">
        <f>BD37*VLOOKUP('Données projet'!$B$11,Paramètres!$A$1:$I$89,3,0)*VLOOKUP('Données projet'!$B$11,Paramètres!$A$1:$I$89,5,0)</f>
        <v>119.72999999999996</v>
      </c>
      <c r="BF37" s="14">
        <f t="shared" si="37"/>
        <v>31.612017974790529</v>
      </c>
      <c r="BG37" s="22">
        <f t="shared" si="7"/>
        <v>263.58734797276003</v>
      </c>
      <c r="BH37" s="62">
        <f t="shared" si="8"/>
        <v>556.92068130609334</v>
      </c>
      <c r="BI37" s="62">
        <f ca="1">AVERAGE(OFFSET($BH$3,0,0,'Données projet'!$E$11+1,1))-AVERAGE(OFFSET($H$3,0,0,'Données projet'!$E$11+1,1))</f>
        <v>0</v>
      </c>
      <c r="BJ37" s="62">
        <f t="shared" si="38"/>
        <v>0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1.5538882113371986</v>
      </c>
      <c r="BR37" s="23">
        <f>EXP(-LN(2)/2)*BR36+(1-EXP(-LN(2)/2))/(LN(2)/2)*BL37*BO37*VLOOKUP('Données projet'!$B$11,Paramètres!$A$1:$I$89,3,0)*0.475*44/12</f>
        <v>0.8493241397120318</v>
      </c>
      <c r="BS37" s="24">
        <f t="shared" si="9"/>
        <v>2.4032123510492305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439.06700232017681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7.9485102507112106</v>
      </c>
      <c r="AB38" s="23">
        <f>EXP(-LN(2)/2)*AB37+(1-EXP(-LN(2)/2))/(LN(2)/2)*V38*Y38*VLOOKUP('Données projet'!$B$9,Paramètres!$A$1:$I$89,3,0)*0.475*44/12</f>
        <v>2.6357006892824884</v>
      </c>
      <c r="AC38" s="24">
        <f t="shared" si="3"/>
        <v>10.584210939993699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119</v>
      </c>
      <c r="AG38" s="13">
        <f>VLOOKUP(A38,'Données projet'!$A$61:$I$81,9,0)</f>
        <v>6.6</v>
      </c>
      <c r="AH38" s="13">
        <f t="array" ref="AH38">INDEX(AG:AG,MIN(IF(ISNUMBER(AG38:AG234),ROW(AG38:AG234),"")))</f>
        <v>6.6</v>
      </c>
      <c r="AI38" s="14">
        <f>IF('Données projet'!$A$62&gt;35,AI37+AH38-AQ37,IF(A38&lt;'Données projet'!$A$62,$AF$205^A38,IF(A38='Données projet'!$A$62,'Données projet'!$B$62,AI37+AH38-AQ37)))</f>
        <v>119.00000000000001</v>
      </c>
      <c r="AJ38" s="14">
        <f>AI38*VLOOKUP('Données projet'!$B$10,Paramètres!$A$1:$I$89,3,0)*VLOOKUP('Données projet'!$B$10,Paramètres!$A$1:$I$89,5,0)</f>
        <v>103.95840000000003</v>
      </c>
      <c r="AK38" s="14">
        <f t="shared" si="35"/>
        <v>27.902890560352166</v>
      </c>
      <c r="AL38" s="22">
        <f t="shared" si="4"/>
        <v>229.65841439261337</v>
      </c>
      <c r="AM38" s="62">
        <f t="shared" si="5"/>
        <v>522.99174772594665</v>
      </c>
      <c r="AN38" s="62">
        <f ca="1">AVERAGE(OFFSET($AM$3,0,0,'Données projet'!$E$10+1,1))-AVERAGE(OFFSET($H$3,0,0,'Données projet'!$E$10+1,1))</f>
        <v>239.16843440041487</v>
      </c>
      <c r="AO38" s="62">
        <f t="shared" si="36"/>
        <v>241.82319822554194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3.4475968062784177</v>
      </c>
      <c r="AX38" s="23">
        <f t="shared" si="6"/>
        <v>3.4475968062784177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164.99999999999994</v>
      </c>
      <c r="BE38" s="14">
        <f>BD38*VLOOKUP('Données projet'!$B$11,Paramètres!$A$1:$I$89,3,0)*VLOOKUP('Données projet'!$B$11,Paramètres!$A$1:$I$89,5,0)</f>
        <v>128.69999999999996</v>
      </c>
      <c r="BF38" s="14">
        <f t="shared" si="37"/>
        <v>33.695792019186115</v>
      </c>
      <c r="BG38" s="22">
        <f t="shared" si="7"/>
        <v>282.83933776674911</v>
      </c>
      <c r="BH38" s="62">
        <f t="shared" si="8"/>
        <v>576.17267110008243</v>
      </c>
      <c r="BI38" s="62">
        <f ca="1">AVERAGE(OFFSET($BH$3,0,0,'Données projet'!$E$11+1,1))-AVERAGE(OFFSET($H$3,0,0,'Données projet'!$E$11+1,1))</f>
        <v>0</v>
      </c>
      <c r="BJ38" s="62">
        <f t="shared" si="38"/>
        <v>0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1.5113970564827532</v>
      </c>
      <c r="BR38" s="23">
        <f>EXP(-LN(2)/2)*BR37+(1-EXP(-LN(2)/2))/(LN(2)/2)*BL38*BO38*VLOOKUP('Données projet'!$B$11,Paramètres!$A$1:$I$89,3,0)*0.475*44/12</f>
        <v>0.60056285861580838</v>
      </c>
      <c r="BS38" s="24">
        <f t="shared" si="9"/>
        <v>2.1119599150985615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439.06700232017681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7.731157819911525</v>
      </c>
      <c r="AB39" s="23">
        <f>EXP(-LN(2)/2)*AB38+(1-EXP(-LN(2)/2))/(LN(2)/2)*V39*Y39*VLOOKUP('Données projet'!$B$9,Paramètres!$A$1:$I$89,3,0)*0.475*44/12</f>
        <v>1.8637218305697052</v>
      </c>
      <c r="AC39" s="24">
        <f t="shared" si="3"/>
        <v>9.5948796504812304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6.2</v>
      </c>
      <c r="AI39" s="14">
        <f>IF('Données projet'!$A$62&gt;35,AI38+AH39-AQ38,IF(A39&lt;'Données projet'!$A$62,$AF$205^A39,IF(A39='Données projet'!$A$62,'Données projet'!$B$62,AI38+AH39-AQ38)))</f>
        <v>105.20000000000002</v>
      </c>
      <c r="AJ39" s="14">
        <f>AI39*VLOOKUP('Données projet'!$B$10,Paramètres!$A$1:$I$89,3,0)*VLOOKUP('Données projet'!$B$10,Paramètres!$A$1:$I$89,5,0)</f>
        <v>91.902720000000031</v>
      </c>
      <c r="AK39" s="14">
        <f t="shared" si="35"/>
        <v>25.023555003327882</v>
      </c>
      <c r="AL39" s="22">
        <f t="shared" si="4"/>
        <v>203.64659563079613</v>
      </c>
      <c r="AM39" s="62">
        <f t="shared" si="5"/>
        <v>496.97992896412944</v>
      </c>
      <c r="AN39" s="62">
        <f ca="1">AVERAGE(OFFSET($AM$3,0,0,'Données projet'!$E$10+1,1))-AVERAGE(OFFSET($H$3,0,0,'Données projet'!$E$10+1,1))</f>
        <v>239.16843440041487</v>
      </c>
      <c r="AO39" s="62">
        <f t="shared" si="36"/>
        <v>241.82319822554194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2.4378190805165532</v>
      </c>
      <c r="AX39" s="23">
        <f t="shared" si="6"/>
        <v>2.4378190805165532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176.49999999999994</v>
      </c>
      <c r="BE39" s="14">
        <f>BD39*VLOOKUP('Données projet'!$B$11,Paramètres!$A$1:$I$89,3,0)*VLOOKUP('Données projet'!$B$11,Paramètres!$A$1:$I$89,5,0)</f>
        <v>137.66999999999996</v>
      </c>
      <c r="BF39" s="14">
        <f t="shared" si="37"/>
        <v>35.762714965854656</v>
      </c>
      <c r="BG39" s="22">
        <f t="shared" si="7"/>
        <v>302.06197856553007</v>
      </c>
      <c r="BH39" s="62">
        <f t="shared" si="8"/>
        <v>595.39531189886338</v>
      </c>
      <c r="BI39" s="62">
        <f ca="1">AVERAGE(OFFSET($BH$3,0,0,'Données projet'!$E$11+1,1))-AVERAGE(OFFSET($H$3,0,0,'Données projet'!$E$11+1,1))</f>
        <v>0</v>
      </c>
      <c r="BJ39" s="62">
        <f t="shared" si="38"/>
        <v>0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1.4700678244923155</v>
      </c>
      <c r="BR39" s="23">
        <f>EXP(-LN(2)/2)*BR38+(1-EXP(-LN(2)/2))/(LN(2)/2)*BL39*BO39*VLOOKUP('Données projet'!$B$11,Paramètres!$A$1:$I$89,3,0)*0.475*44/12</f>
        <v>0.4246620698560159</v>
      </c>
      <c r="BS39" s="24">
        <f t="shared" si="9"/>
        <v>1.8947298943483315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439.06700232017681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7.5197489027621245</v>
      </c>
      <c r="AB40" s="23">
        <f>EXP(-LN(2)/2)*AB39+(1-EXP(-LN(2)/2))/(LN(2)/2)*V40*Y40*VLOOKUP('Données projet'!$B$9,Paramètres!$A$1:$I$89,3,0)*0.475*44/12</f>
        <v>1.3178503446412444</v>
      </c>
      <c r="AC40" s="24">
        <f t="shared" si="3"/>
        <v>8.837599247403368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6.2</v>
      </c>
      <c r="AI40" s="14">
        <f>IF('Données projet'!$A$62&gt;35,AI39+AH40-AQ39,IF(A40&lt;'Données projet'!$A$62,$AF$205^A40,IF(A40='Données projet'!$A$62,'Données projet'!$B$62,AI39+AH40-AQ39)))</f>
        <v>111.40000000000002</v>
      </c>
      <c r="AJ40" s="14">
        <f>AI40*VLOOKUP('Données projet'!$B$10,Paramètres!$A$1:$I$89,3,0)*VLOOKUP('Données projet'!$B$10,Paramètres!$A$1:$I$89,5,0)</f>
        <v>97.31904000000003</v>
      </c>
      <c r="AK40" s="14">
        <f t="shared" si="35"/>
        <v>26.322289133542785</v>
      </c>
      <c r="AL40" s="22">
        <f t="shared" si="4"/>
        <v>215.34198157425371</v>
      </c>
      <c r="AM40" s="62">
        <f t="shared" si="5"/>
        <v>508.67531490758699</v>
      </c>
      <c r="AN40" s="62">
        <f ca="1">AVERAGE(OFFSET($AM$3,0,0,'Données projet'!$E$10+1,1))-AVERAGE(OFFSET($H$3,0,0,'Données projet'!$E$10+1,1))</f>
        <v>239.16843440041487</v>
      </c>
      <c r="AO40" s="62">
        <f t="shared" si="36"/>
        <v>241.82319822554194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1.7237984031392088</v>
      </c>
      <c r="AX40" s="23">
        <f t="shared" si="6"/>
        <v>1.7237984031392088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187.99999999999994</v>
      </c>
      <c r="BE40" s="14">
        <f>BD40*VLOOKUP('Données projet'!$B$11,Paramètres!$A$1:$I$89,3,0)*VLOOKUP('Données projet'!$B$11,Paramètres!$A$1:$I$89,5,0)</f>
        <v>146.63999999999996</v>
      </c>
      <c r="BF40" s="14">
        <f t="shared" si="37"/>
        <v>37.814009712703026</v>
      </c>
      <c r="BG40" s="22">
        <f t="shared" si="7"/>
        <v>321.25740024962437</v>
      </c>
      <c r="BH40" s="62">
        <f t="shared" si="8"/>
        <v>614.59073358295768</v>
      </c>
      <c r="BI40" s="62">
        <f ca="1">AVERAGE(OFFSET($BH$3,0,0,'Données projet'!$E$11+1,1))-AVERAGE(OFFSET($H$3,0,0,'Données projet'!$E$11+1,1))</f>
        <v>0</v>
      </c>
      <c r="BJ40" s="62">
        <f t="shared" si="38"/>
        <v>0</v>
      </c>
      <c r="BK40" s="16">
        <f>IF(ISNA(VLOOKUP(A40,'Données projet'!$A$87:$I$107,3,0)),0,VLOOKUP(A40,'Données projet'!$A$87:$I$107,3,0))</f>
        <v>5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1.4298687425240661</v>
      </c>
      <c r="BR40" s="23">
        <f>EXP(-LN(2)/2)*BR39+(1-EXP(-LN(2)/2))/(LN(2)/2)*BL40*BO40*VLOOKUP('Données projet'!$B$11,Paramètres!$A$1:$I$89,3,0)*0.475*44/12</f>
        <v>0.30028142930790419</v>
      </c>
      <c r="BS40" s="24">
        <f t="shared" si="9"/>
        <v>1.7301501718319703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439.06700232017681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7.3141209735696862</v>
      </c>
      <c r="AB41" s="23">
        <f>EXP(-LN(2)/2)*AB40+(1-EXP(-LN(2)/2))/(LN(2)/2)*V41*Y41*VLOOKUP('Données projet'!$B$9,Paramètres!$A$1:$I$89,3,0)*0.475*44/12</f>
        <v>0.93186091528485271</v>
      </c>
      <c r="AC41" s="24">
        <f t="shared" si="3"/>
        <v>8.2459818888545389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6.2</v>
      </c>
      <c r="AI41" s="14">
        <f>IF('Données projet'!$A$62&gt;35,AI40+AH41-AQ40,IF(A41&lt;'Données projet'!$A$62,$AF$205^A41,IF(A41='Données projet'!$A$62,'Données projet'!$B$62,AI40+AH41-AQ40)))</f>
        <v>117.60000000000002</v>
      </c>
      <c r="AJ41" s="14">
        <f>AI41*VLOOKUP('Données projet'!$B$10,Paramètres!$A$1:$I$89,3,0)*VLOOKUP('Données projet'!$B$10,Paramètres!$A$1:$I$89,5,0)</f>
        <v>102.73536000000004</v>
      </c>
      <c r="AK41" s="14">
        <f t="shared" si="35"/>
        <v>27.612632326357044</v>
      </c>
      <c r="AL41" s="22">
        <f t="shared" si="4"/>
        <v>227.02275330173859</v>
      </c>
      <c r="AM41" s="62">
        <f t="shared" si="5"/>
        <v>520.35608663507196</v>
      </c>
      <c r="AN41" s="62">
        <f ca="1">AVERAGE(OFFSET($AM$3,0,0,'Données projet'!$E$10+1,1))-AVERAGE(OFFSET($H$3,0,0,'Données projet'!$E$10+1,1))</f>
        <v>239.16843440041487</v>
      </c>
      <c r="AO41" s="62">
        <f t="shared" si="36"/>
        <v>241.82319822554194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1.2189095402582766</v>
      </c>
      <c r="AX41" s="23">
        <f t="shared" si="6"/>
        <v>1.2189095402582766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163.14285714285708</v>
      </c>
      <c r="BE41" s="14">
        <f>BD41*VLOOKUP('Données projet'!$B$11,Paramètres!$A$1:$I$89,3,0)*VLOOKUP('Données projet'!$B$11,Paramètres!$A$1:$I$89,5,0)</f>
        <v>127.25142857142853</v>
      </c>
      <c r="BF41" s="14">
        <f t="shared" si="37"/>
        <v>33.360457439554281</v>
      </c>
      <c r="BG41" s="22">
        <f t="shared" si="7"/>
        <v>279.73236813579501</v>
      </c>
      <c r="BH41" s="62">
        <f t="shared" si="8"/>
        <v>573.06570146912827</v>
      </c>
      <c r="BI41" s="62">
        <f ca="1">AVERAGE(OFFSET($BH$3,0,0,'Données projet'!$E$11+1,1))-AVERAGE(OFFSET($H$3,0,0,'Données projet'!$E$11+1,1))</f>
        <v>0</v>
      </c>
      <c r="BJ41" s="62">
        <f t="shared" si="38"/>
        <v>0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1.3907689065662163</v>
      </c>
      <c r="BR41" s="23">
        <f>EXP(-LN(2)/2)*BR40+(1-EXP(-LN(2)/2))/(LN(2)/2)*BL41*BO41*VLOOKUP('Données projet'!$B$11,Paramètres!$A$1:$I$89,3,0)*0.475*44/12</f>
        <v>0.21233103492800795</v>
      </c>
      <c r="BS41" s="24">
        <f t="shared" si="9"/>
        <v>1.6030999414942242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439.06700232017681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7.1141159509145178</v>
      </c>
      <c r="AB42" s="23">
        <f>EXP(-LN(2)/2)*AB41+(1-EXP(-LN(2)/2))/(LN(2)/2)*V42*Y42*VLOOKUP('Données projet'!$B$9,Paramètres!$A$1:$I$89,3,0)*0.475*44/12</f>
        <v>0.65892517232062231</v>
      </c>
      <c r="AC42" s="24">
        <f t="shared" si="3"/>
        <v>7.7730411232351404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6.2</v>
      </c>
      <c r="AI42" s="14">
        <f>IF('Données projet'!$A$62&gt;35,AI41+AH42-AQ41,IF(A42&lt;'Données projet'!$A$62,$AF$205^A42,IF(A42='Données projet'!$A$62,'Données projet'!$B$62,AI41+AH42-AQ41)))</f>
        <v>123.80000000000003</v>
      </c>
      <c r="AJ42" s="14">
        <f>AI42*VLOOKUP('Données projet'!$B$10,Paramètres!$A$1:$I$89,3,0)*VLOOKUP('Données projet'!$B$10,Paramètres!$A$1:$I$89,5,0)</f>
        <v>108.15168000000003</v>
      </c>
      <c r="AK42" s="14">
        <f t="shared" si="35"/>
        <v>28.895077410060392</v>
      </c>
      <c r="AL42" s="22">
        <f t="shared" si="4"/>
        <v>238.68976915585526</v>
      </c>
      <c r="AM42" s="62">
        <f t="shared" si="5"/>
        <v>532.02310248918855</v>
      </c>
      <c r="AN42" s="62">
        <f ca="1">AVERAGE(OFFSET($AM$3,0,0,'Données projet'!$E$10+1,1))-AVERAGE(OFFSET($H$3,0,0,'Données projet'!$E$10+1,1))</f>
        <v>239.16843440041487</v>
      </c>
      <c r="AO42" s="62">
        <f t="shared" si="36"/>
        <v>241.82319822554194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0.86189920156960442</v>
      </c>
      <c r="AX42" s="23">
        <f t="shared" si="6"/>
        <v>0.86189920156960442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174.28571428571422</v>
      </c>
      <c r="BE42" s="14">
        <f>BD42*VLOOKUP('Données projet'!$B$11,Paramètres!$A$1:$I$89,3,0)*VLOOKUP('Données projet'!$B$11,Paramètres!$A$1:$I$89,5,0)</f>
        <v>135.94285714285709</v>
      </c>
      <c r="BF42" s="14">
        <f t="shared" si="37"/>
        <v>35.365986273808367</v>
      </c>
      <c r="BG42" s="22">
        <f t="shared" si="7"/>
        <v>298.36290228402567</v>
      </c>
      <c r="BH42" s="62">
        <f t="shared" si="8"/>
        <v>591.69623561735898</v>
      </c>
      <c r="BI42" s="62">
        <f ca="1">AVERAGE(OFFSET($BH$3,0,0,'Données projet'!$E$11+1,1))-AVERAGE(OFFSET($H$3,0,0,'Données projet'!$E$11+1,1))</f>
        <v>0</v>
      </c>
      <c r="BJ42" s="62">
        <f t="shared" si="38"/>
        <v>0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1.352738257678805</v>
      </c>
      <c r="BR42" s="23">
        <f>EXP(-LN(2)/2)*BR41+(1-EXP(-LN(2)/2))/(LN(2)/2)*BL42*BO42*VLOOKUP('Données projet'!$B$11,Paramètres!$A$1:$I$89,3,0)*0.475*44/12</f>
        <v>0.1501407146539521</v>
      </c>
      <c r="BS42" s="24">
        <f t="shared" si="9"/>
        <v>1.5028789723327571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439.06700232017681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6.9195800761216617</v>
      </c>
      <c r="AB43" s="23">
        <f>EXP(-LN(2)/2)*AB42+(1-EXP(-LN(2)/2))/(LN(2)/2)*V43*Y43*VLOOKUP('Données projet'!$B$9,Paramètres!$A$1:$I$89,3,0)*0.475*44/12</f>
        <v>0.46593045764242641</v>
      </c>
      <c r="AC43" s="24">
        <f t="shared" si="3"/>
        <v>7.3855105337640881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130</v>
      </c>
      <c r="AG43" s="13">
        <f>VLOOKUP(A43,'Données projet'!$A$61:$I$81,9,0)</f>
        <v>6.2</v>
      </c>
      <c r="AH43" s="13">
        <f t="array" ref="AH43">INDEX(AG:AG,MIN(IF(ISNUMBER(AG43:AG239),ROW(AG43:AG239),"")))</f>
        <v>6.2</v>
      </c>
      <c r="AI43" s="14">
        <f>IF('Données projet'!$A$62&gt;35,AI42+AH43-AQ42,IF(A43&lt;'Données projet'!$A$62,$AF$205^A43,IF(A43='Données projet'!$A$62,'Données projet'!$B$62,AI42+AH43-AQ42)))</f>
        <v>130.00000000000003</v>
      </c>
      <c r="AJ43" s="14">
        <f>AI43*VLOOKUP('Données projet'!$B$10,Paramètres!$A$1:$I$89,3,0)*VLOOKUP('Données projet'!$B$10,Paramètres!$A$1:$I$89,5,0)</f>
        <v>113.56800000000004</v>
      </c>
      <c r="AK43" s="14">
        <f t="shared" si="35"/>
        <v>30.17006506205821</v>
      </c>
      <c r="AL43" s="22">
        <f t="shared" si="4"/>
        <v>250.34379664975143</v>
      </c>
      <c r="AM43" s="62">
        <f t="shared" si="5"/>
        <v>543.6771299830848</v>
      </c>
      <c r="AN43" s="62">
        <f ca="1">AVERAGE(OFFSET($AM$3,0,0,'Données projet'!$E$10+1,1))-AVERAGE(OFFSET($H$3,0,0,'Données projet'!$E$10+1,1))</f>
        <v>239.16843440041487</v>
      </c>
      <c r="AO43" s="62">
        <f t="shared" si="36"/>
        <v>241.82319822554194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19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0.60945477012913829</v>
      </c>
      <c r="AX43" s="23">
        <f t="shared" si="6"/>
        <v>0.60945477012913829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185.42857142857136</v>
      </c>
      <c r="BE43" s="14">
        <f>BD43*VLOOKUP('Données projet'!$B$11,Paramètres!$A$1:$I$89,3,0)*VLOOKUP('Données projet'!$B$11,Paramètres!$A$1:$I$89,5,0)</f>
        <v>144.63428571428565</v>
      </c>
      <c r="BF43" s="14">
        <f t="shared" si="37"/>
        <v>37.356634728420524</v>
      </c>
      <c r="BG43" s="22">
        <f t="shared" si="7"/>
        <v>316.96751977104657</v>
      </c>
      <c r="BH43" s="62">
        <f t="shared" si="8"/>
        <v>610.30085310437994</v>
      </c>
      <c r="BI43" s="62">
        <f ca="1">AVERAGE(OFFSET($BH$3,0,0,'Données projet'!$E$11+1,1))-AVERAGE(OFFSET($H$3,0,0,'Données projet'!$E$11+1,1))</f>
        <v>0</v>
      </c>
      <c r="BJ43" s="62">
        <f t="shared" si="38"/>
        <v>0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1.3157475588851648</v>
      </c>
      <c r="BR43" s="23">
        <f>EXP(-LN(2)/2)*BR42+(1-EXP(-LN(2)/2))/(LN(2)/2)*BL43*BO43*VLOOKUP('Données projet'!$B$11,Paramètres!$A$1:$I$89,3,0)*0.475*44/12</f>
        <v>0.10616551746400398</v>
      </c>
      <c r="BS43" s="24">
        <f t="shared" si="9"/>
        <v>1.4219130763491687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439.06700232017681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6.7303637950552133</v>
      </c>
      <c r="AB44" s="23">
        <f>EXP(-LN(2)/2)*AB43+(1-EXP(-LN(2)/2))/(LN(2)/2)*V44*Y44*VLOOKUP('Données projet'!$B$9,Paramètres!$A$1:$I$89,3,0)*0.475*44/12</f>
        <v>0.32946258616031121</v>
      </c>
      <c r="AC44" s="24">
        <f t="shared" si="3"/>
        <v>7.0598263812155242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5.4</v>
      </c>
      <c r="AI44" s="14">
        <f>IF('Données projet'!$A$62&gt;35,AI43+AH44-AQ43,IF(A44&lt;'Données projet'!$A$62,$AF$205^A44,IF(A44='Données projet'!$A$62,'Données projet'!$B$62,AI43+AH44-AQ43)))</f>
        <v>116.40000000000003</v>
      </c>
      <c r="AJ44" s="14">
        <f>AI44*VLOOKUP('Données projet'!$B$10,Paramètres!$A$1:$I$89,3,0)*VLOOKUP('Données projet'!$B$10,Paramètres!$A$1:$I$89,5,0)</f>
        <v>101.68704000000004</v>
      </c>
      <c r="AK44" s="14">
        <f t="shared" si="35"/>
        <v>27.363519398004563</v>
      </c>
      <c r="AL44" s="22">
        <f t="shared" si="4"/>
        <v>224.76305761819131</v>
      </c>
      <c r="AM44" s="62">
        <f t="shared" si="5"/>
        <v>518.09639095152465</v>
      </c>
      <c r="AN44" s="62">
        <f ca="1">AVERAGE(OFFSET($AM$3,0,0,'Données projet'!$E$10+1,1))-AVERAGE(OFFSET($H$3,0,0,'Données projet'!$E$10+1,1))</f>
        <v>239.16843440041487</v>
      </c>
      <c r="AO44" s="62">
        <f t="shared" si="36"/>
        <v>241.82319822554194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0.43094960078480221</v>
      </c>
      <c r="AX44" s="23">
        <f t="shared" si="6"/>
        <v>0.43094960078480221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</v>
      </c>
      <c r="BE44" s="14">
        <f>BD44*VLOOKUP('Données projet'!$B$11,Paramètres!$A$1:$I$89,3,0)*VLOOKUP('Données projet'!$B$11,Paramètres!$A$1:$I$89,5,0)</f>
        <v>153.32571428571424</v>
      </c>
      <c r="BF44" s="14">
        <f t="shared" si="37"/>
        <v>39.333398837614155</v>
      </c>
      <c r="BG44" s="22">
        <f t="shared" si="7"/>
        <v>335.5479553564636</v>
      </c>
      <c r="BH44" s="62">
        <f t="shared" si="8"/>
        <v>628.88128868979697</v>
      </c>
      <c r="BI44" s="62">
        <f ca="1">AVERAGE(OFFSET($BH$3,0,0,'Données projet'!$E$11+1,1))-AVERAGE(OFFSET($H$3,0,0,'Données projet'!$E$11+1,1))</f>
        <v>0</v>
      </c>
      <c r="BJ44" s="62">
        <f t="shared" si="38"/>
        <v>0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1.2797683726952931</v>
      </c>
      <c r="BR44" s="23">
        <f>EXP(-LN(2)/2)*BR43+(1-EXP(-LN(2)/2))/(LN(2)/2)*BL44*BO44*VLOOKUP('Données projet'!$B$11,Paramètres!$A$1:$I$89,3,0)*0.475*44/12</f>
        <v>7.5070357326976048E-2</v>
      </c>
      <c r="BS44" s="24">
        <f t="shared" si="9"/>
        <v>1.3548387300222691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439.06700232017681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6.5463216431449789</v>
      </c>
      <c r="AB45" s="23">
        <f>EXP(-LN(2)/2)*AB44+(1-EXP(-LN(2)/2))/(LN(2)/2)*V45*Y45*VLOOKUP('Données projet'!$B$9,Paramètres!$A$1:$I$89,3,0)*0.475*44/12</f>
        <v>0.23296522882121326</v>
      </c>
      <c r="AC45" s="24">
        <f t="shared" si="3"/>
        <v>6.7792868719661925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5.4</v>
      </c>
      <c r="AI45" s="14">
        <f>IF('Données projet'!$A$62&gt;35,AI44+AH45-AQ44,IF(A45&lt;'Données projet'!$A$62,$AF$205^A45,IF(A45='Données projet'!$A$62,'Données projet'!$B$62,AI44+AH45-AQ44)))</f>
        <v>121.80000000000004</v>
      </c>
      <c r="AJ45" s="14">
        <f>AI45*VLOOKUP('Données projet'!$B$10,Paramètres!$A$1:$I$89,3,0)*VLOOKUP('Données projet'!$B$10,Paramètres!$A$1:$I$89,5,0)</f>
        <v>106.40448000000005</v>
      </c>
      <c r="AK45" s="14">
        <f t="shared" si="35"/>
        <v>28.482220519479547</v>
      </c>
      <c r="AL45" s="22">
        <f t="shared" si="4"/>
        <v>234.92767007142697</v>
      </c>
      <c r="AM45" s="62">
        <f t="shared" si="5"/>
        <v>528.26100340476023</v>
      </c>
      <c r="AN45" s="62">
        <f ca="1">AVERAGE(OFFSET($AM$3,0,0,'Données projet'!$E$10+1,1))-AVERAGE(OFFSET($H$3,0,0,'Données projet'!$E$10+1,1))</f>
        <v>239.16843440041487</v>
      </c>
      <c r="AO45" s="62">
        <f t="shared" si="36"/>
        <v>241.82319822554194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0.30472738506456915</v>
      </c>
      <c r="AX45" s="23">
        <f t="shared" si="6"/>
        <v>0.30472738506456915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207.71428571428564</v>
      </c>
      <c r="BE45" s="14">
        <f>BD45*VLOOKUP('Données projet'!$B$11,Paramètres!$A$1:$I$89,3,0)*VLOOKUP('Données projet'!$B$11,Paramètres!$A$1:$I$89,5,0)</f>
        <v>162.0171428571428</v>
      </c>
      <c r="BF45" s="14">
        <f t="shared" si="37"/>
        <v>41.29715533509664</v>
      </c>
      <c r="BG45" s="22">
        <f t="shared" si="7"/>
        <v>354.10573601815037</v>
      </c>
      <c r="BH45" s="62">
        <f t="shared" si="8"/>
        <v>647.43906935148368</v>
      </c>
      <c r="BI45" s="62">
        <f ca="1">AVERAGE(OFFSET($BH$3,0,0,'Données projet'!$E$11+1,1))-AVERAGE(OFFSET($H$3,0,0,'Données projet'!$E$11+1,1))</f>
        <v>0</v>
      </c>
      <c r="BJ45" s="62">
        <f t="shared" si="38"/>
        <v>0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1.2447730392438465</v>
      </c>
      <c r="BR45" s="23">
        <f>EXP(-LN(2)/2)*BR44+(1-EXP(-LN(2)/2))/(LN(2)/2)*BL45*BO45*VLOOKUP('Données projet'!$B$11,Paramètres!$A$1:$I$89,3,0)*0.475*44/12</f>
        <v>5.3082758732001988E-2</v>
      </c>
      <c r="BS45" s="24">
        <f t="shared" si="9"/>
        <v>1.2978557979758485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439.06700232017681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6.3673121335570864</v>
      </c>
      <c r="AB46" s="23">
        <f>EXP(-LN(2)/2)*AB45+(1-EXP(-LN(2)/2))/(LN(2)/2)*V46*Y46*VLOOKUP('Données projet'!$B$9,Paramètres!$A$1:$I$89,3,0)*0.475*44/12</f>
        <v>0.16473129308015563</v>
      </c>
      <c r="AC46" s="24">
        <f t="shared" si="3"/>
        <v>6.5320434266372418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5.4</v>
      </c>
      <c r="AI46" s="14">
        <f>IF('Données projet'!$A$62&gt;35,AI45+AH46-AQ45,IF(A46&lt;'Données projet'!$A$62,$AF$205^A46,IF(A46='Données projet'!$A$62,'Données projet'!$B$62,AI45+AH46-AQ45)))</f>
        <v>127.20000000000005</v>
      </c>
      <c r="AJ46" s="14">
        <f>AI46*VLOOKUP('Données projet'!$B$10,Paramètres!$A$1:$I$89,3,0)*VLOOKUP('Données projet'!$B$10,Paramètres!$A$1:$I$89,5,0)</f>
        <v>111.12192000000005</v>
      </c>
      <c r="AK46" s="14">
        <f t="shared" si="35"/>
        <v>29.595161360044589</v>
      </c>
      <c r="AL46" s="22">
        <f t="shared" si="4"/>
        <v>245.08225003541108</v>
      </c>
      <c r="AM46" s="62">
        <f t="shared" si="5"/>
        <v>538.41558336874436</v>
      </c>
      <c r="AN46" s="62">
        <f ca="1">AVERAGE(OFFSET($AM$3,0,0,'Données projet'!$E$10+1,1))-AVERAGE(OFFSET($H$3,0,0,'Données projet'!$E$10+1,1))</f>
        <v>239.16843440041487</v>
      </c>
      <c r="AO46" s="62">
        <f t="shared" si="36"/>
        <v>241.82319822554194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0.21547480039240111</v>
      </c>
      <c r="AX46" s="23">
        <f t="shared" si="6"/>
        <v>0.21547480039240111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218.85714285714278</v>
      </c>
      <c r="BE46" s="14">
        <f>BD46*VLOOKUP('Données projet'!$B$11,Paramètres!$A$1:$I$89,3,0)*VLOOKUP('Données projet'!$B$11,Paramètres!$A$1:$I$89,5,0)</f>
        <v>170.70857142857136</v>
      </c>
      <c r="BF46" s="14">
        <f t="shared" si="37"/>
        <v>43.248681576985376</v>
      </c>
      <c r="BG46" s="22">
        <f t="shared" si="7"/>
        <v>372.64221565134466</v>
      </c>
      <c r="BH46" s="62">
        <f t="shared" si="8"/>
        <v>665.97554898467797</v>
      </c>
      <c r="BI46" s="62">
        <f ca="1">AVERAGE(OFFSET($BH$3,0,0,'Données projet'!$E$11+1,1))-AVERAGE(OFFSET($H$3,0,0,'Données projet'!$E$11+1,1))</f>
        <v>0</v>
      </c>
      <c r="BJ46" s="62">
        <f t="shared" si="38"/>
        <v>0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1.2107346550259543</v>
      </c>
      <c r="BR46" s="23">
        <f>EXP(-LN(2)/2)*BR45+(1-EXP(-LN(2)/2))/(LN(2)/2)*BL46*BO46*VLOOKUP('Données projet'!$B$11,Paramètres!$A$1:$I$89,3,0)*0.475*44/12</f>
        <v>3.7535178663488024E-2</v>
      </c>
      <c r="BS46" s="24">
        <f t="shared" si="9"/>
        <v>1.2482698336894424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439.06700232017681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6.1931976484225757</v>
      </c>
      <c r="AB47" s="23">
        <f>EXP(-LN(2)/2)*AB46+(1-EXP(-LN(2)/2))/(LN(2)/2)*V47*Y47*VLOOKUP('Données projet'!$B$9,Paramètres!$A$1:$I$89,3,0)*0.475*44/12</f>
        <v>0.11648261441060664</v>
      </c>
      <c r="AC47" s="24">
        <f t="shared" si="3"/>
        <v>6.3096802628331821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5.4</v>
      </c>
      <c r="AI47" s="14">
        <f>IF('Données projet'!$A$62&gt;35,AI46+AH47-AQ46,IF(A47&lt;'Données projet'!$A$62,$AF$205^A47,IF(A47='Données projet'!$A$62,'Données projet'!$B$62,AI46+AH47-AQ46)))</f>
        <v>132.60000000000005</v>
      </c>
      <c r="AJ47" s="14">
        <f>AI47*VLOOKUP('Données projet'!$B$10,Paramètres!$A$1:$I$89,3,0)*VLOOKUP('Données projet'!$B$10,Paramètres!$A$1:$I$89,5,0)</f>
        <v>115.83936000000004</v>
      </c>
      <c r="AK47" s="14">
        <f t="shared" si="35"/>
        <v>30.70261441799703</v>
      </c>
      <c r="AL47" s="22">
        <f t="shared" si="4"/>
        <v>255.22727211134486</v>
      </c>
      <c r="AM47" s="62">
        <f t="shared" si="5"/>
        <v>548.56060544467823</v>
      </c>
      <c r="AN47" s="62">
        <f ca="1">AVERAGE(OFFSET($AM$3,0,0,'Données projet'!$E$10+1,1))-AVERAGE(OFFSET($H$3,0,0,'Données projet'!$E$10+1,1))</f>
        <v>239.16843440041487</v>
      </c>
      <c r="AO47" s="62">
        <f t="shared" si="36"/>
        <v>241.82319822554194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0.15236369253228457</v>
      </c>
      <c r="AX47" s="23">
        <f t="shared" si="6"/>
        <v>0.15236369253228457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229.99999999999991</v>
      </c>
      <c r="BE47" s="14">
        <f>BD47*VLOOKUP('Données projet'!$B$11,Paramètres!$A$1:$I$89,3,0)*VLOOKUP('Données projet'!$B$11,Paramètres!$A$1:$I$89,5,0)</f>
        <v>179.39999999999995</v>
      </c>
      <c r="BF47" s="14">
        <f t="shared" si="37"/>
        <v>45.188671291872232</v>
      </c>
      <c r="BG47" s="22">
        <f t="shared" si="7"/>
        <v>391.15860250001066</v>
      </c>
      <c r="BH47" s="62">
        <f t="shared" si="8"/>
        <v>684.49193583334397</v>
      </c>
      <c r="BI47" s="62">
        <f ca="1">AVERAGE(OFFSET($BH$3,0,0,'Données projet'!$E$11+1,1))-AVERAGE(OFFSET($H$3,0,0,'Données projet'!$E$11+1,1))</f>
        <v>0</v>
      </c>
      <c r="BJ47" s="62">
        <f t="shared" si="38"/>
        <v>0</v>
      </c>
      <c r="BK47" s="16">
        <f>IF(ISNA(VLOOKUP(A47,'Données projet'!$A$87:$I$107,3,0)),0,VLOOKUP(A47,'Données projet'!$A$87:$I$107,3,0))</f>
        <v>6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1.1776270522145014</v>
      </c>
      <c r="BR47" s="23">
        <f>EXP(-LN(2)/2)*BR46+(1-EXP(-LN(2)/2))/(LN(2)/2)*BL47*BO47*VLOOKUP('Données projet'!$B$11,Paramètres!$A$1:$I$89,3,0)*0.475*44/12</f>
        <v>2.6541379366000994E-2</v>
      </c>
      <c r="BS47" s="24">
        <f t="shared" si="9"/>
        <v>1.2041684315805024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439.06700232017681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6.0238443330403504</v>
      </c>
      <c r="AB48" s="23">
        <f>EXP(-LN(2)/2)*AB47+(1-EXP(-LN(2)/2))/(LN(2)/2)*V48*Y48*VLOOKUP('Données projet'!$B$9,Paramètres!$A$1:$I$89,3,0)*0.475*44/12</f>
        <v>8.236564654007783E-2</v>
      </c>
      <c r="AC48" s="24">
        <f t="shared" si="3"/>
        <v>6.1062099795804281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138</v>
      </c>
      <c r="AG48" s="13">
        <f>VLOOKUP(A48,'Données projet'!$A$61:$I$81,9,0)</f>
        <v>5.4</v>
      </c>
      <c r="AH48" s="13">
        <f t="array" ref="AH48">INDEX(AG:AG,MIN(IF(ISNUMBER(AG48:AG244),ROW(AG48:AG244),"")))</f>
        <v>5.4</v>
      </c>
      <c r="AI48" s="14">
        <f>IF('Données projet'!$A$62&gt;35,AI47+AH48-AQ47,IF(A48&lt;'Données projet'!$A$62,$AF$205^A48,IF(A48='Données projet'!$A$62,'Données projet'!$B$62,AI47+AH48-AQ47)))</f>
        <v>138.00000000000006</v>
      </c>
      <c r="AJ48" s="14">
        <f>AI48*VLOOKUP('Données projet'!$B$10,Paramètres!$A$1:$I$89,3,0)*VLOOKUP('Données projet'!$B$10,Paramètres!$A$1:$I$89,5,0)</f>
        <v>120.55680000000007</v>
      </c>
      <c r="AK48" s="14">
        <f t="shared" si="35"/>
        <v>31.804828741198808</v>
      </c>
      <c r="AL48" s="22">
        <f t="shared" si="4"/>
        <v>265.36317005758804</v>
      </c>
      <c r="AM48" s="62">
        <f t="shared" si="5"/>
        <v>558.69650339092141</v>
      </c>
      <c r="AN48" s="62">
        <f ca="1">AVERAGE(OFFSET($AM$3,0,0,'Données projet'!$E$10+1,1))-AVERAGE(OFFSET($H$3,0,0,'Données projet'!$E$10+1,1))</f>
        <v>239.16843440041487</v>
      </c>
      <c r="AO48" s="62">
        <f t="shared" si="36"/>
        <v>241.82319822554194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17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0.10773740019620055</v>
      </c>
      <c r="AX48" s="23">
        <f t="shared" si="6"/>
        <v>0.10773740019620055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197.37499999999991</v>
      </c>
      <c r="BE48" s="14">
        <f>BD48*VLOOKUP('Données projet'!$B$11,Paramètres!$A$1:$I$89,3,0)*VLOOKUP('Données projet'!$B$11,Paramètres!$A$1:$I$89,5,0)</f>
        <v>153.95249999999993</v>
      </c>
      <c r="BF48" s="14">
        <f t="shared" si="37"/>
        <v>39.475441267837361</v>
      </c>
      <c r="BG48" s="22">
        <f t="shared" si="7"/>
        <v>336.88699770814992</v>
      </c>
      <c r="BH48" s="62">
        <f t="shared" si="8"/>
        <v>630.22033104148318</v>
      </c>
      <c r="BI48" s="62">
        <f ca="1">AVERAGE(OFFSET($BH$3,0,0,'Données projet'!$E$11+1,1))-AVERAGE(OFFSET($H$3,0,0,'Données projet'!$E$11+1,1))</f>
        <v>0</v>
      </c>
      <c r="BJ48" s="62">
        <f t="shared" si="38"/>
        <v>0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1.1454247785429807</v>
      </c>
      <c r="BR48" s="23">
        <f>EXP(-LN(2)/2)*BR47+(1-EXP(-LN(2)/2))/(LN(2)/2)*BL48*BO48*VLOOKUP('Données projet'!$B$11,Paramètres!$A$1:$I$89,3,0)*0.475*44/12</f>
        <v>1.8767589331744012E-2</v>
      </c>
      <c r="BS48" s="24">
        <f t="shared" si="9"/>
        <v>1.1641923678747248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439.06700232017681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5.8591219929731562</v>
      </c>
      <c r="AB49" s="23">
        <f>EXP(-LN(2)/2)*AB48+(1-EXP(-LN(2)/2))/(LN(2)/2)*V49*Y49*VLOOKUP('Données projet'!$B$9,Paramètres!$A$1:$I$89,3,0)*0.475*44/12</f>
        <v>5.8241307205303336E-2</v>
      </c>
      <c r="AC49" s="24">
        <f t="shared" si="3"/>
        <v>5.9173633001784598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4.8</v>
      </c>
      <c r="AI49" s="14">
        <f>IF('Données projet'!$A$62&gt;35,AI48+AH49-AQ48,IF(A49&lt;'Données projet'!$A$62,$AF$205^A49,IF(A49='Données projet'!$A$62,'Données projet'!$B$62,AI48+AH49-AQ48)))</f>
        <v>125.80000000000007</v>
      </c>
      <c r="AJ49" s="14">
        <f>AI49*VLOOKUP('Données projet'!$B$10,Paramètres!$A$1:$I$89,3,0)*VLOOKUP('Données projet'!$B$10,Paramètres!$A$1:$I$89,5,0)</f>
        <v>109.89888000000008</v>
      </c>
      <c r="AK49" s="14">
        <f t="shared" si="35"/>
        <v>29.307158636756728</v>
      </c>
      <c r="AL49" s="22">
        <f t="shared" si="4"/>
        <v>242.45051729235141</v>
      </c>
      <c r="AM49" s="62">
        <f t="shared" si="5"/>
        <v>535.78385062568475</v>
      </c>
      <c r="AN49" s="62">
        <f ca="1">AVERAGE(OFFSET($AM$3,0,0,'Données projet'!$E$10+1,1))-AVERAGE(OFFSET($H$3,0,0,'Données projet'!$E$10+1,1))</f>
        <v>239.16843440041487</v>
      </c>
      <c r="AO49" s="62">
        <f t="shared" si="36"/>
        <v>241.82319822554194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7.6181846266142286E-2</v>
      </c>
      <c r="AX49" s="23">
        <f t="shared" si="6"/>
        <v>7.6181846266142286E-2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207.74999999999991</v>
      </c>
      <c r="BE49" s="14">
        <f>BD49*VLOOKUP('Données projet'!$B$11,Paramètres!$A$1:$I$89,3,0)*VLOOKUP('Données projet'!$B$11,Paramètres!$A$1:$I$89,5,0)</f>
        <v>162.04499999999993</v>
      </c>
      <c r="BF49" s="14">
        <f t="shared" si="37"/>
        <v>41.303429372463391</v>
      </c>
      <c r="BG49" s="22">
        <f t="shared" si="7"/>
        <v>354.16518115704025</v>
      </c>
      <c r="BH49" s="62">
        <f t="shared" si="8"/>
        <v>647.49851449037351</v>
      </c>
      <c r="BI49" s="62">
        <f ca="1">AVERAGE(OFFSET($BH$3,0,0,'Données projet'!$E$11+1,1))-AVERAGE(OFFSET($H$3,0,0,'Données projet'!$E$11+1,1))</f>
        <v>0</v>
      </c>
      <c r="BJ49" s="62">
        <f t="shared" si="38"/>
        <v>0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1.1141030777384517</v>
      </c>
      <c r="BR49" s="23">
        <f>EXP(-LN(2)/2)*BR48+(1-EXP(-LN(2)/2))/(LN(2)/2)*BL49*BO49*VLOOKUP('Données projet'!$B$11,Paramètres!$A$1:$I$89,3,0)*0.475*44/12</f>
        <v>1.3270689683000497E-2</v>
      </c>
      <c r="BS49" s="24">
        <f t="shared" si="9"/>
        <v>1.1273737674214523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439.06700232017681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5.6989039939574706</v>
      </c>
      <c r="AB50" s="23">
        <f>EXP(-LN(2)/2)*AB49+(1-EXP(-LN(2)/2))/(LN(2)/2)*V50*Y50*VLOOKUP('Données projet'!$B$9,Paramètres!$A$1:$I$89,3,0)*0.475*44/12</f>
        <v>4.1182823270038922E-2</v>
      </c>
      <c r="AC50" s="24">
        <f t="shared" si="3"/>
        <v>5.7400868172275095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4.8</v>
      </c>
      <c r="AI50" s="14">
        <f>IF('Données projet'!$A$62&gt;35,AI49+AH50-AQ49,IF(A50&lt;'Données projet'!$A$62,$AF$205^A50,IF(A50='Données projet'!$A$62,'Données projet'!$B$62,AI49+AH50-AQ49)))</f>
        <v>130.60000000000008</v>
      </c>
      <c r="AJ50" s="14">
        <f>AI50*VLOOKUP('Données projet'!$B$10,Paramètres!$A$1:$I$89,3,0)*VLOOKUP('Données projet'!$B$10,Paramètres!$A$1:$I$89,5,0)</f>
        <v>114.09216000000009</v>
      </c>
      <c r="AK50" s="14">
        <f t="shared" si="35"/>
        <v>30.293070235611612</v>
      </c>
      <c r="AL50" s="22">
        <f t="shared" si="4"/>
        <v>251.47094266035708</v>
      </c>
      <c r="AM50" s="62">
        <f t="shared" si="5"/>
        <v>544.80427599369045</v>
      </c>
      <c r="AN50" s="62">
        <f ca="1">AVERAGE(OFFSET($AM$3,0,0,'Données projet'!$E$10+1,1))-AVERAGE(OFFSET($H$3,0,0,'Données projet'!$E$10+1,1))</f>
        <v>239.16843440041487</v>
      </c>
      <c r="AO50" s="62">
        <f t="shared" si="36"/>
        <v>241.82319822554194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5.3868700098100276E-2</v>
      </c>
      <c r="AX50" s="23">
        <f t="shared" si="6"/>
        <v>5.3868700098100276E-2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218.12499999999991</v>
      </c>
      <c r="BE50" s="14">
        <f>BD50*VLOOKUP('Données projet'!$B$11,Paramètres!$A$1:$I$89,3,0)*VLOOKUP('Données projet'!$B$11,Paramètres!$A$1:$I$89,5,0)</f>
        <v>170.13749999999993</v>
      </c>
      <c r="BF50" s="14">
        <f t="shared" si="37"/>
        <v>43.120817562072375</v>
      </c>
      <c r="BG50" s="22">
        <f t="shared" si="7"/>
        <v>371.42490308727588</v>
      </c>
      <c r="BH50" s="62">
        <f t="shared" si="8"/>
        <v>664.75823642060914</v>
      </c>
      <c r="BI50" s="62">
        <f ca="1">AVERAGE(OFFSET($BH$3,0,0,'Données projet'!$E$11+1,1))-AVERAGE(OFFSET($H$3,0,0,'Données projet'!$E$11+1,1))</f>
        <v>0</v>
      </c>
      <c r="BJ50" s="62">
        <f t="shared" si="38"/>
        <v>0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1.0836378704895593</v>
      </c>
      <c r="BR50" s="23">
        <f>EXP(-LN(2)/2)*BR49+(1-EXP(-LN(2)/2))/(LN(2)/2)*BL50*BO50*VLOOKUP('Données projet'!$B$11,Paramètres!$A$1:$I$89,3,0)*0.475*44/12</f>
        <v>9.383794665872006E-3</v>
      </c>
      <c r="BS50" s="24">
        <f t="shared" si="9"/>
        <v>1.0930216651554312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439.06700232017681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5.5430671645503677</v>
      </c>
      <c r="AB51" s="23">
        <f>EXP(-LN(2)/2)*AB50+(1-EXP(-LN(2)/2))/(LN(2)/2)*V51*Y51*VLOOKUP('Données projet'!$B$9,Paramètres!$A$1:$I$89,3,0)*0.475*44/12</f>
        <v>2.9120653602651671E-2</v>
      </c>
      <c r="AC51" s="24">
        <f t="shared" si="3"/>
        <v>5.5721878181530196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4.8</v>
      </c>
      <c r="AI51" s="14">
        <f>IF('Données projet'!$A$62&gt;35,AI50+AH51-AQ50,IF(A51&lt;'Données projet'!$A$62,$AF$205^A51,IF(A51='Données projet'!$A$62,'Données projet'!$B$62,AI50+AH51-AQ50)))</f>
        <v>135.40000000000009</v>
      </c>
      <c r="AJ51" s="14">
        <f>AI51*VLOOKUP('Données projet'!$B$10,Paramètres!$A$1:$I$89,3,0)*VLOOKUP('Données projet'!$B$10,Paramètres!$A$1:$I$89,5,0)</f>
        <v>118.28544000000009</v>
      </c>
      <c r="AK51" s="14">
        <f t="shared" si="35"/>
        <v>31.274772013169596</v>
      </c>
      <c r="AL51" s="22">
        <f t="shared" si="4"/>
        <v>260.48403592293721</v>
      </c>
      <c r="AM51" s="62">
        <f t="shared" si="5"/>
        <v>553.81736925627047</v>
      </c>
      <c r="AN51" s="62">
        <f ca="1">AVERAGE(OFFSET($AM$3,0,0,'Données projet'!$E$10+1,1))-AVERAGE(OFFSET($H$3,0,0,'Données projet'!$E$10+1,1))</f>
        <v>239.16843440041487</v>
      </c>
      <c r="AO51" s="62">
        <f t="shared" si="36"/>
        <v>241.82319822554194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3.8090923133071143E-2</v>
      </c>
      <c r="AX51" s="23">
        <f t="shared" si="6"/>
        <v>3.8090923133071143E-2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228.49999999999991</v>
      </c>
      <c r="BE51" s="14">
        <f>BD51*VLOOKUP('Données projet'!$B$11,Paramètres!$A$1:$I$89,3,0)*VLOOKUP('Données projet'!$B$11,Paramètres!$A$1:$I$89,5,0)</f>
        <v>178.22999999999993</v>
      </c>
      <c r="BF51" s="14">
        <f t="shared" si="37"/>
        <v>44.928167580487852</v>
      </c>
      <c r="BG51" s="22">
        <f t="shared" si="7"/>
        <v>388.66714186934951</v>
      </c>
      <c r="BH51" s="62">
        <f t="shared" si="8"/>
        <v>682.00047520268276</v>
      </c>
      <c r="BI51" s="62">
        <f ca="1">AVERAGE(OFFSET($BH$3,0,0,'Données projet'!$E$11+1,1))-AVERAGE(OFFSET($H$3,0,0,'Données projet'!$E$11+1,1))</f>
        <v>0</v>
      </c>
      <c r="BJ51" s="62">
        <f t="shared" si="38"/>
        <v>0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1.0540057359349833</v>
      </c>
      <c r="BR51" s="23">
        <f>EXP(-LN(2)/2)*BR50+(1-EXP(-LN(2)/2))/(LN(2)/2)*BL51*BO51*VLOOKUP('Données projet'!$B$11,Paramètres!$A$1:$I$89,3,0)*0.475*44/12</f>
        <v>6.6353448415002484E-3</v>
      </c>
      <c r="BS51" s="24">
        <f t="shared" si="9"/>
        <v>1.0606410807764834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439.06700232017681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5.3914917014385049</v>
      </c>
      <c r="AB52" s="23">
        <f>EXP(-LN(2)/2)*AB51+(1-EXP(-LN(2)/2))/(LN(2)/2)*V52*Y52*VLOOKUP('Données projet'!$B$9,Paramètres!$A$1:$I$89,3,0)*0.475*44/12</f>
        <v>2.0591411635019465E-2</v>
      </c>
      <c r="AC52" s="24">
        <f t="shared" si="3"/>
        <v>5.4120831130735247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4.8</v>
      </c>
      <c r="AI52" s="14">
        <f>IF('Données projet'!$A$62&gt;35,AI51+AH52-AQ51,IF(A52&lt;'Données projet'!$A$62,$AF$205^A52,IF(A52='Données projet'!$A$62,'Données projet'!$B$62,AI51+AH52-AQ51)))</f>
        <v>140.2000000000001</v>
      </c>
      <c r="AJ52" s="14">
        <f>AI52*VLOOKUP('Données projet'!$B$10,Paramètres!$A$1:$I$89,3,0)*VLOOKUP('Données projet'!$B$10,Paramètres!$A$1:$I$89,5,0)</f>
        <v>122.47872000000011</v>
      </c>
      <c r="AK52" s="14">
        <f t="shared" si="35"/>
        <v>32.252430308904032</v>
      </c>
      <c r="AL52" s="22">
        <f t="shared" si="4"/>
        <v>269.49008678800806</v>
      </c>
      <c r="AM52" s="62">
        <f t="shared" si="5"/>
        <v>562.82342012134131</v>
      </c>
      <c r="AN52" s="62">
        <f ca="1">AVERAGE(OFFSET($AM$3,0,0,'Données projet'!$E$10+1,1))-AVERAGE(OFFSET($H$3,0,0,'Données projet'!$E$10+1,1))</f>
        <v>239.16843440041487</v>
      </c>
      <c r="AO52" s="62">
        <f t="shared" si="36"/>
        <v>241.82319822554194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2.6934350049050138E-2</v>
      </c>
      <c r="AX52" s="23">
        <f t="shared" si="6"/>
        <v>2.6934350049050138E-2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238.87499999999991</v>
      </c>
      <c r="BE52" s="14">
        <f>BD52*VLOOKUP('Données projet'!$B$11,Paramètres!$A$1:$I$89,3,0)*VLOOKUP('Données projet'!$B$11,Paramètres!$A$1:$I$89,5,0)</f>
        <v>186.32249999999993</v>
      </c>
      <c r="BF52" s="14">
        <f t="shared" si="37"/>
        <v>46.725987276254116</v>
      </c>
      <c r="BG52" s="22">
        <f t="shared" si="7"/>
        <v>405.8927820061424</v>
      </c>
      <c r="BH52" s="62">
        <f t="shared" si="8"/>
        <v>699.22611533947565</v>
      </c>
      <c r="BI52" s="62">
        <f ca="1">AVERAGE(OFFSET($BH$3,0,0,'Données projet'!$E$11+1,1))-AVERAGE(OFFSET($H$3,0,0,'Données projet'!$E$11+1,1))</f>
        <v>0</v>
      </c>
      <c r="BJ52" s="62">
        <f t="shared" si="38"/>
        <v>0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1.0251838936580884</v>
      </c>
      <c r="BR52" s="23">
        <f>EXP(-LN(2)/2)*BR51+(1-EXP(-LN(2)/2))/(LN(2)/2)*BL52*BO52*VLOOKUP('Données projet'!$B$11,Paramètres!$A$1:$I$89,3,0)*0.475*44/12</f>
        <v>4.691897332936003E-3</v>
      </c>
      <c r="BS52" s="24">
        <f t="shared" si="9"/>
        <v>1.0298757909910243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439.06700232017681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5.2440610773364424</v>
      </c>
      <c r="AB53" s="23">
        <f>EXP(-LN(2)/2)*AB52+(1-EXP(-LN(2)/2))/(LN(2)/2)*V53*Y53*VLOOKUP('Données projet'!$B$9,Paramètres!$A$1:$I$89,3,0)*0.475*44/12</f>
        <v>1.4560326801325837E-2</v>
      </c>
      <c r="AC53" s="24">
        <f t="shared" si="3"/>
        <v>5.2586214041377684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145</v>
      </c>
      <c r="AG53" s="13">
        <f>VLOOKUP(A53,'Données projet'!$A$61:$I$81,9,0)</f>
        <v>4.8</v>
      </c>
      <c r="AH53" s="13">
        <f t="array" ref="AH53">INDEX(AG:AG,MIN(IF(ISNUMBER(AG53:AG249),ROW(AG53:AG249),"")))</f>
        <v>4.8</v>
      </c>
      <c r="AI53" s="14">
        <f>IF('Données projet'!$A$62&gt;35,AI52+AH53-AQ52,IF(A53&lt;'Données projet'!$A$62,$AF$205^A53,IF(A53='Données projet'!$A$62,'Données projet'!$B$62,AI52+AH53-AQ52)))</f>
        <v>145.00000000000011</v>
      </c>
      <c r="AJ53" s="14">
        <f>AI53*VLOOKUP('Données projet'!$B$10,Paramètres!$A$1:$I$89,3,0)*VLOOKUP('Données projet'!$B$10,Paramètres!$A$1:$I$89,5,0)</f>
        <v>126.67200000000012</v>
      </c>
      <c r="AK53" s="14">
        <f t="shared" si="35"/>
        <v>33.226199426361376</v>
      </c>
      <c r="AL53" s="22">
        <f t="shared" si="4"/>
        <v>278.48936400091287</v>
      </c>
      <c r="AM53" s="62">
        <f t="shared" si="5"/>
        <v>571.82269733424619</v>
      </c>
      <c r="AN53" s="62">
        <f ca="1">AVERAGE(OFFSET($AM$3,0,0,'Données projet'!$E$10+1,1))-AVERAGE(OFFSET($H$3,0,0,'Données projet'!$E$10+1,1))</f>
        <v>239.16843440041487</v>
      </c>
      <c r="AO53" s="62">
        <f t="shared" si="36"/>
        <v>241.82319822554194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16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1.9045461566535572E-2</v>
      </c>
      <c r="AX53" s="23">
        <f t="shared" si="6"/>
        <v>1.9045461566535572E-2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249.24999999999991</v>
      </c>
      <c r="BE53" s="14">
        <f>BD53*VLOOKUP('Données projet'!$B$11,Paramètres!$A$1:$I$89,3,0)*VLOOKUP('Données projet'!$B$11,Paramètres!$A$1:$I$89,5,0)</f>
        <v>194.41499999999994</v>
      </c>
      <c r="BF53" s="14">
        <f t="shared" si="37"/>
        <v>48.514737888684927</v>
      </c>
      <c r="BG53" s="22">
        <f t="shared" si="7"/>
        <v>423.10262682279273</v>
      </c>
      <c r="BH53" s="62">
        <f t="shared" si="8"/>
        <v>716.43596015612604</v>
      </c>
      <c r="BI53" s="62">
        <f ca="1">AVERAGE(OFFSET($BH$3,0,0,'Données projet'!$E$11+1,1))-AVERAGE(OFFSET($H$3,0,0,'Données projet'!$E$11+1,1))</f>
        <v>0</v>
      </c>
      <c r="BJ53" s="62">
        <f t="shared" si="38"/>
        <v>0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0.99715018617393003</v>
      </c>
      <c r="BR53" s="23">
        <f>EXP(-LN(2)/2)*BR52+(1-EXP(-LN(2)/2))/(LN(2)/2)*BL53*BO53*VLOOKUP('Données projet'!$B$11,Paramètres!$A$1:$I$89,3,0)*0.475*44/12</f>
        <v>3.3176724207501242E-3</v>
      </c>
      <c r="BS53" s="24">
        <f t="shared" si="9"/>
        <v>1.0004678585946802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439.06700232017681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5.1006619514034908</v>
      </c>
      <c r="AB54" s="23">
        <f>EXP(-LN(2)/2)*AB53+(1-EXP(-LN(2)/2))/(LN(2)/2)*V54*Y54*VLOOKUP('Données projet'!$B$9,Paramètres!$A$1:$I$89,3,0)*0.475*44/12</f>
        <v>1.0295705817509732E-2</v>
      </c>
      <c r="AC54" s="24">
        <f t="shared" si="3"/>
        <v>5.1109576572210003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4.4000000000000004</v>
      </c>
      <c r="AI54" s="14">
        <f>IF('Données projet'!$A$62&gt;35,AI53+AH54-AQ53,IF(A54&lt;'Données projet'!$A$62,$AF$205^A54,IF(A54='Données projet'!$A$62,'Données projet'!$B$62,AI53+AH54-AQ53)))</f>
        <v>133.40000000000012</v>
      </c>
      <c r="AJ54" s="14">
        <f>AI54*VLOOKUP('Données projet'!$B$10,Paramètres!$A$1:$I$89,3,0)*VLOOKUP('Données projet'!$B$10,Paramètres!$A$1:$I$89,5,0)</f>
        <v>116.53824000000013</v>
      </c>
      <c r="AK54" s="14">
        <f t="shared" si="35"/>
        <v>30.866230258957888</v>
      </c>
      <c r="AL54" s="22">
        <f t="shared" si="4"/>
        <v>256.72945236768516</v>
      </c>
      <c r="AM54" s="62">
        <f t="shared" si="5"/>
        <v>550.06278570101847</v>
      </c>
      <c r="AN54" s="62">
        <f ca="1">AVERAGE(OFFSET($AM$3,0,0,'Données projet'!$E$10+1,1))-AVERAGE(OFFSET($H$3,0,0,'Données projet'!$E$10+1,1))</f>
        <v>239.16843440041487</v>
      </c>
      <c r="AO54" s="62">
        <f t="shared" si="36"/>
        <v>241.82319822554194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1.3467175024525069E-2</v>
      </c>
      <c r="AX54" s="23">
        <f t="shared" si="6"/>
        <v>1.3467175024525069E-2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259.62499999999989</v>
      </c>
      <c r="BE54" s="14">
        <f>BD54*VLOOKUP('Données projet'!$B$11,Paramètres!$A$1:$I$89,3,0)*VLOOKUP('Données projet'!$B$11,Paramètres!$A$1:$I$89,5,0)</f>
        <v>202.50749999999991</v>
      </c>
      <c r="BF54" s="14">
        <f t="shared" si="37"/>
        <v>50.294840086606349</v>
      </c>
      <c r="BG54" s="22">
        <f t="shared" si="7"/>
        <v>440.29740898417253</v>
      </c>
      <c r="BH54" s="62">
        <f t="shared" si="8"/>
        <v>733.63074231750579</v>
      </c>
      <c r="BI54" s="62">
        <f ca="1">AVERAGE(OFFSET($BH$3,0,0,'Données projet'!$E$11+1,1))-AVERAGE(OFFSET($H$3,0,0,'Données projet'!$E$11+1,1))</f>
        <v>0</v>
      </c>
      <c r="BJ54" s="62">
        <f t="shared" si="38"/>
        <v>0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0.96988306189515461</v>
      </c>
      <c r="BR54" s="23">
        <f>EXP(-LN(2)/2)*BR53+(1-EXP(-LN(2)/2))/(LN(2)/2)*BL54*BO54*VLOOKUP('Données projet'!$B$11,Paramètres!$A$1:$I$89,3,0)*0.475*44/12</f>
        <v>2.3459486664680015E-3</v>
      </c>
      <c r="BS54" s="24">
        <f t="shared" si="9"/>
        <v>0.97222901056162259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439.06700232017681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4.9611840821102078</v>
      </c>
      <c r="AB55" s="23">
        <f>EXP(-LN(2)/2)*AB54+(1-EXP(-LN(2)/2))/(LN(2)/2)*V55*Y55*VLOOKUP('Données projet'!$B$9,Paramètres!$A$1:$I$89,3,0)*0.475*44/12</f>
        <v>7.2801634006629187E-3</v>
      </c>
      <c r="AC55" s="24">
        <f t="shared" si="3"/>
        <v>4.9684642455108703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4.4000000000000004</v>
      </c>
      <c r="AI55" s="14">
        <f>IF('Données projet'!$A$62&gt;35,AI54+AH55-AQ54,IF(A55&lt;'Données projet'!$A$62,$AF$205^A55,IF(A55='Données projet'!$A$62,'Données projet'!$B$62,AI54+AH55-AQ54)))</f>
        <v>137.80000000000013</v>
      </c>
      <c r="AJ55" s="14">
        <f>AI55*VLOOKUP('Données projet'!$B$10,Paramètres!$A$1:$I$89,3,0)*VLOOKUP('Données projet'!$B$10,Paramètres!$A$1:$I$89,5,0)</f>
        <v>120.38208000000013</v>
      </c>
      <c r="AK55" s="14">
        <f t="shared" si="35"/>
        <v>31.76409668560358</v>
      </c>
      <c r="AL55" s="22">
        <f t="shared" si="4"/>
        <v>264.98792439409311</v>
      </c>
      <c r="AM55" s="62">
        <f t="shared" si="5"/>
        <v>558.32125772742643</v>
      </c>
      <c r="AN55" s="62">
        <f ca="1">AVERAGE(OFFSET($AM$3,0,0,'Données projet'!$E$10+1,1))-AVERAGE(OFFSET($H$3,0,0,'Données projet'!$E$10+1,1))</f>
        <v>239.16843440041487</v>
      </c>
      <c r="AO55" s="62">
        <f t="shared" si="36"/>
        <v>241.82319822554194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9.5227307832677858E-3</v>
      </c>
      <c r="AX55" s="23">
        <f t="shared" si="6"/>
        <v>9.5227307832677858E-3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269.99999999999989</v>
      </c>
      <c r="BE55" s="14">
        <f>BD55*VLOOKUP('Données projet'!$B$11,Paramètres!$A$1:$I$89,3,0)*VLOOKUP('Données projet'!$B$11,Paramètres!$A$1:$I$89,5,0)</f>
        <v>210.59999999999991</v>
      </c>
      <c r="BF55" s="14">
        <f t="shared" si="37"/>
        <v>52.066679014659961</v>
      </c>
      <c r="BG55" s="22">
        <f t="shared" si="7"/>
        <v>457.47779928386586</v>
      </c>
      <c r="BH55" s="62">
        <f t="shared" si="8"/>
        <v>750.81113261719918</v>
      </c>
      <c r="BI55" s="62">
        <f ca="1">AVERAGE(OFFSET($BH$3,0,0,'Données projet'!$E$11+1,1))-AVERAGE(OFFSET($H$3,0,0,'Données projet'!$E$11+1,1))</f>
        <v>0</v>
      </c>
      <c r="BJ55" s="62">
        <f t="shared" si="38"/>
        <v>0</v>
      </c>
      <c r="BK55" s="16">
        <f>IF(ISNA(VLOOKUP(A55,'Données projet'!$A$87:$I$107,3,0)),0,VLOOKUP(A55,'Données projet'!$A$87:$I$107,3,0))</f>
        <v>7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0.94336155856369808</v>
      </c>
      <c r="BR55" s="23">
        <f>EXP(-LN(2)/2)*BR54+(1-EXP(-LN(2)/2))/(LN(2)/2)*BL55*BO55*VLOOKUP('Données projet'!$B$11,Paramètres!$A$1:$I$89,3,0)*0.475*44/12</f>
        <v>1.6588362103750621E-3</v>
      </c>
      <c r="BS55" s="24">
        <f t="shared" si="9"/>
        <v>0.94502039477407318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439.06700232017681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4.8255202424875723</v>
      </c>
      <c r="AB56" s="23">
        <f>EXP(-LN(2)/2)*AB55+(1-EXP(-LN(2)/2))/(LN(2)/2)*V56*Y56*VLOOKUP('Données projet'!$B$9,Paramètres!$A$1:$I$89,3,0)*0.475*44/12</f>
        <v>5.1478529087548661E-3</v>
      </c>
      <c r="AC56" s="24">
        <f t="shared" si="3"/>
        <v>4.8306680953963275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4.4000000000000004</v>
      </c>
      <c r="AI56" s="14">
        <f>IF('Données projet'!$A$62&gt;35,AI55+AH56-AQ55,IF(A56&lt;'Données projet'!$A$62,$AF$205^A56,IF(A56='Données projet'!$A$62,'Données projet'!$B$62,AI55+AH56-AQ55)))</f>
        <v>142.20000000000013</v>
      </c>
      <c r="AJ56" s="14">
        <f>AI56*VLOOKUP('Données projet'!$B$10,Paramètres!$A$1:$I$89,3,0)*VLOOKUP('Données projet'!$B$10,Paramètres!$A$1:$I$89,5,0)</f>
        <v>124.22592000000012</v>
      </c>
      <c r="AK56" s="14">
        <f t="shared" si="35"/>
        <v>32.658631616020024</v>
      </c>
      <c r="AL56" s="22">
        <f t="shared" si="4"/>
        <v>273.24059406456837</v>
      </c>
      <c r="AM56" s="62">
        <f t="shared" si="5"/>
        <v>566.57392739790168</v>
      </c>
      <c r="AN56" s="62">
        <f ca="1">AVERAGE(OFFSET($AM$3,0,0,'Données projet'!$E$10+1,1))-AVERAGE(OFFSET($H$3,0,0,'Données projet'!$E$10+1,1))</f>
        <v>239.16843440041487</v>
      </c>
      <c r="AO56" s="62">
        <f t="shared" si="36"/>
        <v>241.82319822554194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6.7335875122625346E-3</v>
      </c>
      <c r="AX56" s="23">
        <f t="shared" si="6"/>
        <v>6.7335875122625346E-3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231.37499999999989</v>
      </c>
      <c r="BE56" s="14">
        <f>BD56*VLOOKUP('Données projet'!$B$11,Paramètres!$A$1:$I$89,3,0)*VLOOKUP('Données projet'!$B$11,Paramètres!$A$1:$I$89,5,0)</f>
        <v>180.47249999999991</v>
      </c>
      <c r="BF56" s="14">
        <f t="shared" si="37"/>
        <v>45.427292666837829</v>
      </c>
      <c r="BG56" s="22">
        <f t="shared" si="7"/>
        <v>393.44213889474241</v>
      </c>
      <c r="BH56" s="62">
        <f t="shared" si="8"/>
        <v>686.77547222807573</v>
      </c>
      <c r="BI56" s="62">
        <f ca="1">AVERAGE(OFFSET($BH$3,0,0,'Données projet'!$E$11+1,1))-AVERAGE(OFFSET($H$3,0,0,'Données projet'!$E$11+1,1))</f>
        <v>0</v>
      </c>
      <c r="BJ56" s="62">
        <f t="shared" si="38"/>
        <v>0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0.91756528713554542</v>
      </c>
      <c r="BR56" s="23">
        <f>EXP(-LN(2)/2)*BR55+(1-EXP(-LN(2)/2))/(LN(2)/2)*BL56*BO56*VLOOKUP('Données projet'!$B$11,Paramètres!$A$1:$I$89,3,0)*0.475*44/12</f>
        <v>1.1729743332340007E-3</v>
      </c>
      <c r="BS56" s="24">
        <f t="shared" si="9"/>
        <v>0.91873826146877946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439.06700232017681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4.6935661376936686</v>
      </c>
      <c r="AB57" s="23">
        <f>EXP(-LN(2)/2)*AB56+(1-EXP(-LN(2)/2))/(LN(2)/2)*V57*Y57*VLOOKUP('Données projet'!$B$9,Paramètres!$A$1:$I$89,3,0)*0.475*44/12</f>
        <v>3.6400817003314594E-3</v>
      </c>
      <c r="AC57" s="24">
        <f t="shared" si="3"/>
        <v>4.6972062193940003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4.4000000000000004</v>
      </c>
      <c r="AI57" s="14">
        <f>IF('Données projet'!$A$62&gt;35,AI56+AH57-AQ56,IF(A57&lt;'Données projet'!$A$62,$AF$205^A57,IF(A57='Données projet'!$A$62,'Données projet'!$B$62,AI56+AH57-AQ56)))</f>
        <v>146.60000000000014</v>
      </c>
      <c r="AJ57" s="14">
        <f>AI57*VLOOKUP('Données projet'!$B$10,Paramètres!$A$1:$I$89,3,0)*VLOOKUP('Données projet'!$B$10,Paramètres!$A$1:$I$89,5,0)</f>
        <v>128.06976000000014</v>
      </c>
      <c r="AK57" s="14">
        <f t="shared" si="35"/>
        <v>33.54994996369139</v>
      </c>
      <c r="AL57" s="22">
        <f t="shared" si="4"/>
        <v>281.48766152009608</v>
      </c>
      <c r="AM57" s="62">
        <f t="shared" si="5"/>
        <v>574.8209948534294</v>
      </c>
      <c r="AN57" s="62">
        <f ca="1">AVERAGE(OFFSET($AM$3,0,0,'Données projet'!$E$10+1,1))-AVERAGE(OFFSET($H$3,0,0,'Données projet'!$E$10+1,1))</f>
        <v>239.16843440041487</v>
      </c>
      <c r="AO57" s="62">
        <f t="shared" si="36"/>
        <v>241.82319822554194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4.7613653916338929E-3</v>
      </c>
      <c r="AX57" s="23">
        <f t="shared" si="6"/>
        <v>4.7613653916338929E-3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240.74999999999989</v>
      </c>
      <c r="BE57" s="14">
        <f>BD57*VLOOKUP('Données projet'!$B$11,Paramètres!$A$1:$I$89,3,0)*VLOOKUP('Données projet'!$B$11,Paramètres!$A$1:$I$89,5,0)</f>
        <v>187.78499999999991</v>
      </c>
      <c r="BF57" s="14">
        <f t="shared" si="37"/>
        <v>47.049914090154054</v>
      </c>
      <c r="BG57" s="22">
        <f t="shared" si="7"/>
        <v>409.0041420403515</v>
      </c>
      <c r="BH57" s="62">
        <f t="shared" si="8"/>
        <v>702.33747537368481</v>
      </c>
      <c r="BI57" s="62">
        <f ca="1">AVERAGE(OFFSET($BH$3,0,0,'Données projet'!$E$11+1,1))-AVERAGE(OFFSET($H$3,0,0,'Données projet'!$E$11+1,1))</f>
        <v>0</v>
      </c>
      <c r="BJ57" s="62">
        <f t="shared" si="38"/>
        <v>0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0.89247441610616263</v>
      </c>
      <c r="BR57" s="23">
        <f>EXP(-LN(2)/2)*BR56+(1-EXP(-LN(2)/2))/(LN(2)/2)*BL57*BO57*VLOOKUP('Données projet'!$B$11,Paramètres!$A$1:$I$89,3,0)*0.475*44/12</f>
        <v>8.2941810518753106E-4</v>
      </c>
      <c r="BS57" s="24">
        <f t="shared" si="9"/>
        <v>0.89330383421135018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439.06700232017681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4.5652203248345193</v>
      </c>
      <c r="AB58" s="23">
        <f>EXP(-LN(2)/2)*AB57+(1-EXP(-LN(2)/2))/(LN(2)/2)*V58*Y58*VLOOKUP('Données projet'!$B$9,Paramètres!$A$1:$I$89,3,0)*0.475*44/12</f>
        <v>2.5739264543774331E-3</v>
      </c>
      <c r="AC58" s="24">
        <f t="shared" si="3"/>
        <v>4.5677942512888965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151</v>
      </c>
      <c r="AG58" s="13">
        <f>VLOOKUP(A58,'Données projet'!$A$61:$I$81,9,0)</f>
        <v>4.4000000000000004</v>
      </c>
      <c r="AH58" s="13">
        <f t="array" ref="AH58">INDEX(AG:AG,MIN(IF(ISNUMBER(AG58:AG254),ROW(AG58:AG254),"")))</f>
        <v>4.4000000000000004</v>
      </c>
      <c r="AI58" s="14">
        <f>IF('Données projet'!$A$62&gt;35,AI57+AH58-AQ57,IF(A58&lt;'Données projet'!$A$62,$AF$205^A58,IF(A58='Données projet'!$A$62,'Données projet'!$B$62,AI57+AH58-AQ57)))</f>
        <v>151.00000000000014</v>
      </c>
      <c r="AJ58" s="14">
        <f>AI58*VLOOKUP('Données projet'!$B$10,Paramètres!$A$1:$I$89,3,0)*VLOOKUP('Données projet'!$B$10,Paramètres!$A$1:$I$89,5,0)</f>
        <v>131.91360000000014</v>
      </c>
      <c r="AK58" s="14">
        <f t="shared" si="35"/>
        <v>34.438159352116038</v>
      </c>
      <c r="AL58" s="22">
        <f t="shared" si="4"/>
        <v>289.72931420493563</v>
      </c>
      <c r="AM58" s="62">
        <f t="shared" si="5"/>
        <v>583.06264753826895</v>
      </c>
      <c r="AN58" s="62">
        <f ca="1">AVERAGE(OFFSET($AM$3,0,0,'Données projet'!$E$10+1,1))-AVERAGE(OFFSET($H$3,0,0,'Données projet'!$E$10+1,1))</f>
        <v>239.16843440041487</v>
      </c>
      <c r="AO58" s="62">
        <f t="shared" si="36"/>
        <v>241.82319822554194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3.3667937561312673E-3</v>
      </c>
      <c r="AX58" s="23">
        <f t="shared" si="6"/>
        <v>3.3667937561312673E-3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250.12499999999989</v>
      </c>
      <c r="BE58" s="14">
        <f>BD58*VLOOKUP('Données projet'!$B$11,Paramètres!$A$1:$I$89,3,0)*VLOOKUP('Données projet'!$B$11,Paramètres!$A$1:$I$89,5,0)</f>
        <v>195.09749999999991</v>
      </c>
      <c r="BF58" s="14">
        <f t="shared" si="37"/>
        <v>48.66519532492579</v>
      </c>
      <c r="BG58" s="22">
        <f t="shared" si="7"/>
        <v>424.55336102424553</v>
      </c>
      <c r="BH58" s="62">
        <f t="shared" si="8"/>
        <v>717.88669435757879</v>
      </c>
      <c r="BI58" s="62">
        <f ca="1">AVERAGE(OFFSET($BH$3,0,0,'Données projet'!$E$11+1,1))-AVERAGE(OFFSET($H$3,0,0,'Données projet'!$E$11+1,1))</f>
        <v>0</v>
      </c>
      <c r="BJ58" s="62">
        <f t="shared" si="38"/>
        <v>0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0.86806965626454979</v>
      </c>
      <c r="BR58" s="23">
        <f>EXP(-LN(2)/2)*BR57+(1-EXP(-LN(2)/2))/(LN(2)/2)*BL58*BO58*VLOOKUP('Données projet'!$B$11,Paramètres!$A$1:$I$89,3,0)*0.475*44/12</f>
        <v>5.8648716661700037E-4</v>
      </c>
      <c r="BS58" s="24">
        <f t="shared" si="9"/>
        <v>0.86865614343116682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439.06700232017681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4.4403841349774167</v>
      </c>
      <c r="AB59" s="23">
        <f>EXP(-LN(2)/2)*AB58+(1-EXP(-LN(2)/2))/(LN(2)/2)*V59*Y59*VLOOKUP('Données projet'!$B$9,Paramètres!$A$1:$I$89,3,0)*0.475*44/12</f>
        <v>1.8200408501657297E-3</v>
      </c>
      <c r="AC59" s="24">
        <f t="shared" si="3"/>
        <v>4.4422041758275821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3.8</v>
      </c>
      <c r="AI59" s="14">
        <f>IF('Données projet'!$A$62&gt;35,AI58+AH59-AQ58,IF(A59&lt;'Données projet'!$A$62,$AF$205^A59,IF(A59='Données projet'!$A$62,'Données projet'!$B$62,AI58+AH59-AQ58)))</f>
        <v>140.80000000000015</v>
      </c>
      <c r="AJ59" s="14">
        <f>AI59*VLOOKUP('Données projet'!$B$10,Paramètres!$A$1:$I$89,3,0)*VLOOKUP('Données projet'!$B$10,Paramètres!$A$1:$I$89,5,0)</f>
        <v>123.00288000000016</v>
      </c>
      <c r="AK59" s="14">
        <f t="shared" si="35"/>
        <v>32.374361095906195</v>
      </c>
      <c r="AL59" s="22">
        <f t="shared" si="4"/>
        <v>270.61536157537017</v>
      </c>
      <c r="AM59" s="62">
        <f t="shared" si="5"/>
        <v>563.94869490870349</v>
      </c>
      <c r="AN59" s="62">
        <f ca="1">AVERAGE(OFFSET($AM$3,0,0,'Données projet'!$E$10+1,1))-AVERAGE(OFFSET($H$3,0,0,'Données projet'!$E$10+1,1))</f>
        <v>239.16843440041487</v>
      </c>
      <c r="AO59" s="62">
        <f t="shared" si="36"/>
        <v>241.82319822554194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2.3806826958169464E-3</v>
      </c>
      <c r="AX59" s="23">
        <f t="shared" si="6"/>
        <v>2.3806826958169464E-3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259.49999999999989</v>
      </c>
      <c r="BE59" s="14">
        <f>BD59*VLOOKUP('Données projet'!$B$11,Paramètres!$A$1:$I$89,3,0)*VLOOKUP('Données projet'!$B$11,Paramètres!$A$1:$I$89,5,0)</f>
        <v>202.40999999999991</v>
      </c>
      <c r="BF59" s="14">
        <f t="shared" si="37"/>
        <v>50.273442991661817</v>
      </c>
      <c r="BG59" s="22">
        <f t="shared" si="7"/>
        <v>440.09032987714414</v>
      </c>
      <c r="BH59" s="62">
        <f t="shared" si="8"/>
        <v>733.42366321047746</v>
      </c>
      <c r="BI59" s="62">
        <f ca="1">AVERAGE(OFFSET($BH$3,0,0,'Données projet'!$E$11+1,1))-AVERAGE(OFFSET($H$3,0,0,'Données projet'!$E$11+1,1))</f>
        <v>0</v>
      </c>
      <c r="BJ59" s="62">
        <f t="shared" si="38"/>
        <v>0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0.84433224586419642</v>
      </c>
      <c r="BR59" s="23">
        <f>EXP(-LN(2)/2)*BR58+(1-EXP(-LN(2)/2))/(LN(2)/2)*BL59*BO59*VLOOKUP('Données projet'!$B$11,Paramètres!$A$1:$I$89,3,0)*0.475*44/12</f>
        <v>4.1470905259376553E-4</v>
      </c>
      <c r="BS59" s="24">
        <f t="shared" si="9"/>
        <v>0.84474695491679019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439.06700232017681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4.3189615972968065</v>
      </c>
      <c r="AB60" s="23">
        <f>EXP(-LN(2)/2)*AB59+(1-EXP(-LN(2)/2))/(LN(2)/2)*V60*Y60*VLOOKUP('Données projet'!$B$9,Paramètres!$A$1:$I$89,3,0)*0.475*44/12</f>
        <v>1.2869632271887165E-3</v>
      </c>
      <c r="AC60" s="24">
        <f t="shared" si="3"/>
        <v>4.3202485605239955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3.8</v>
      </c>
      <c r="AI60" s="14">
        <f>IF('Données projet'!$A$62&gt;35,AI59+AH60-AQ59,IF(A60&lt;'Données projet'!$A$62,$AF$205^A60,IF(A60='Données projet'!$A$62,'Données projet'!$B$62,AI59+AH60-AQ59)))</f>
        <v>144.60000000000016</v>
      </c>
      <c r="AJ60" s="14">
        <f>AI60*VLOOKUP('Données projet'!$B$10,Paramètres!$A$1:$I$89,3,0)*VLOOKUP('Données projet'!$B$10,Paramètres!$A$1:$I$89,5,0)</f>
        <v>126.32256000000015</v>
      </c>
      <c r="AK60" s="14">
        <f t="shared" si="35"/>
        <v>33.145196976032793</v>
      </c>
      <c r="AL60" s="22">
        <f t="shared" si="4"/>
        <v>277.73967673325734</v>
      </c>
      <c r="AM60" s="62">
        <f t="shared" si="5"/>
        <v>571.07301006659065</v>
      </c>
      <c r="AN60" s="62">
        <f ca="1">AVERAGE(OFFSET($AM$3,0,0,'Données projet'!$E$10+1,1))-AVERAGE(OFFSET($H$3,0,0,'Données projet'!$E$10+1,1))</f>
        <v>239.16843440041487</v>
      </c>
      <c r="AO60" s="62">
        <f t="shared" si="36"/>
        <v>241.82319822554194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1.6833968780656336E-3</v>
      </c>
      <c r="AX60" s="23">
        <f t="shared" si="6"/>
        <v>1.6833968780656336E-3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268.87499999999989</v>
      </c>
      <c r="BE60" s="14">
        <f>BD60*VLOOKUP('Données projet'!$B$11,Paramètres!$A$1:$I$89,3,0)*VLOOKUP('Données projet'!$B$11,Paramètres!$A$1:$I$89,5,0)</f>
        <v>209.72249999999991</v>
      </c>
      <c r="BF60" s="14">
        <f t="shared" si="37"/>
        <v>51.874940300502246</v>
      </c>
      <c r="BG60" s="22">
        <f t="shared" si="7"/>
        <v>455.61554185670792</v>
      </c>
      <c r="BH60" s="62">
        <f t="shared" si="8"/>
        <v>748.94887519004124</v>
      </c>
      <c r="BI60" s="62">
        <f ca="1">AVERAGE(OFFSET($BH$3,0,0,'Données projet'!$E$11+1,1))-AVERAGE(OFFSET($H$3,0,0,'Données projet'!$E$11+1,1))</f>
        <v>0</v>
      </c>
      <c r="BJ60" s="62">
        <f t="shared" si="38"/>
        <v>0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0.82124393619953695</v>
      </c>
      <c r="BR60" s="23">
        <f>EXP(-LN(2)/2)*BR59+(1-EXP(-LN(2)/2))/(LN(2)/2)*BL60*BO60*VLOOKUP('Données projet'!$B$11,Paramètres!$A$1:$I$89,3,0)*0.475*44/12</f>
        <v>2.9324358330850019E-4</v>
      </c>
      <c r="BS60" s="24">
        <f t="shared" si="9"/>
        <v>0.82153717978284546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439.06700232017681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4.2008593652944057</v>
      </c>
      <c r="AB61" s="23">
        <f>EXP(-LN(2)/2)*AB60+(1-EXP(-LN(2)/2))/(LN(2)/2)*V61*Y61*VLOOKUP('Données projet'!$B$9,Paramètres!$A$1:$I$89,3,0)*0.475*44/12</f>
        <v>9.1002042508286484E-4</v>
      </c>
      <c r="AC61" s="24">
        <f t="shared" si="3"/>
        <v>4.2017693857194889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3.8</v>
      </c>
      <c r="AI61" s="14">
        <f>IF('Données projet'!$A$62&gt;35,AI60+AH61-AQ60,IF(A61&lt;'Données projet'!$A$62,$AF$205^A61,IF(A61='Données projet'!$A$62,'Données projet'!$B$62,AI60+AH61-AQ60)))</f>
        <v>148.40000000000018</v>
      </c>
      <c r="AJ61" s="14">
        <f>AI61*VLOOKUP('Données projet'!$B$10,Paramètres!$A$1:$I$89,3,0)*VLOOKUP('Données projet'!$B$10,Paramètres!$A$1:$I$89,5,0)</f>
        <v>129.64224000000019</v>
      </c>
      <c r="AK61" s="14">
        <f t="shared" si="35"/>
        <v>33.913678246253248</v>
      </c>
      <c r="AL61" s="22">
        <f t="shared" si="4"/>
        <v>284.85989094555805</v>
      </c>
      <c r="AM61" s="62">
        <f t="shared" si="5"/>
        <v>578.19322427889142</v>
      </c>
      <c r="AN61" s="62">
        <f ca="1">AVERAGE(OFFSET($AM$3,0,0,'Données projet'!$E$10+1,1))-AVERAGE(OFFSET($H$3,0,0,'Données projet'!$E$10+1,1))</f>
        <v>239.16843440041487</v>
      </c>
      <c r="AO61" s="62">
        <f t="shared" si="36"/>
        <v>241.82319822554194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1.1903413479084732E-3</v>
      </c>
      <c r="AX61" s="23">
        <f t="shared" si="6"/>
        <v>1.1903413479084732E-3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278.24999999999989</v>
      </c>
      <c r="BE61" s="14">
        <f>BD61*VLOOKUP('Données projet'!$B$11,Paramètres!$A$1:$I$89,3,0)*VLOOKUP('Données projet'!$B$11,Paramètres!$A$1:$I$89,5,0)</f>
        <v>217.03499999999991</v>
      </c>
      <c r="BF61" s="14">
        <f t="shared" si="37"/>
        <v>53.469949591969474</v>
      </c>
      <c r="BG61" s="22">
        <f t="shared" si="7"/>
        <v>471.12945387267996</v>
      </c>
      <c r="BH61" s="62">
        <f t="shared" si="8"/>
        <v>764.46278720601322</v>
      </c>
      <c r="BI61" s="62">
        <f ca="1">AVERAGE(OFFSET($BH$3,0,0,'Données projet'!$E$11+1,1))-AVERAGE(OFFSET($H$3,0,0,'Données projet'!$E$11+1,1))</f>
        <v>0</v>
      </c>
      <c r="BJ61" s="62">
        <f t="shared" si="38"/>
        <v>0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0.79878697757681894</v>
      </c>
      <c r="BR61" s="23">
        <f>EXP(-LN(2)/2)*BR60+(1-EXP(-LN(2)/2))/(LN(2)/2)*BL61*BO61*VLOOKUP('Données projet'!$B$11,Paramètres!$A$1:$I$89,3,0)*0.475*44/12</f>
        <v>2.0735452629688276E-4</v>
      </c>
      <c r="BS61" s="24">
        <f t="shared" si="9"/>
        <v>0.79899433210311577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439.06700232017681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4.0859866450368374</v>
      </c>
      <c r="AB62" s="23">
        <f>EXP(-LN(2)/2)*AB61+(1-EXP(-LN(2)/2))/(LN(2)/2)*V62*Y62*VLOOKUP('Données projet'!$B$9,Paramètres!$A$1:$I$89,3,0)*0.475*44/12</f>
        <v>6.4348161359435827E-4</v>
      </c>
      <c r="AC62" s="24">
        <f t="shared" si="3"/>
        <v>4.0866301266504319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3.8</v>
      </c>
      <c r="AI62" s="14">
        <f>IF('Données projet'!$A$62&gt;35,AI61+AH62-AQ61,IF(A62&lt;'Données projet'!$A$62,$AF$205^A62,IF(A62='Données projet'!$A$62,'Données projet'!$B$62,AI61+AH62-AQ61)))</f>
        <v>152.20000000000019</v>
      </c>
      <c r="AJ62" s="14">
        <f>AI62*VLOOKUP('Données projet'!$B$10,Paramètres!$A$1:$I$89,3,0)*VLOOKUP('Données projet'!$B$10,Paramètres!$A$1:$I$89,5,0)</f>
        <v>132.96192000000019</v>
      </c>
      <c r="AK62" s="14">
        <f t="shared" si="35"/>
        <v>34.679872132599179</v>
      </c>
      <c r="AL62" s="22">
        <f t="shared" si="4"/>
        <v>291.97612129761052</v>
      </c>
      <c r="AM62" s="62">
        <f t="shared" si="5"/>
        <v>585.30945463094383</v>
      </c>
      <c r="AN62" s="62">
        <f ca="1">AVERAGE(OFFSET($AM$3,0,0,'Données projet'!$E$10+1,1))-AVERAGE(OFFSET($H$3,0,0,'Données projet'!$E$10+1,1))</f>
        <v>239.16843440041487</v>
      </c>
      <c r="AO62" s="62">
        <f t="shared" si="36"/>
        <v>241.82319822554194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8.4169843903281682E-4</v>
      </c>
      <c r="AX62" s="23">
        <f t="shared" si="6"/>
        <v>8.4169843903281682E-4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287.62499999999989</v>
      </c>
      <c r="BE62" s="14">
        <f>BD62*VLOOKUP('Données projet'!$B$11,Paramètres!$A$1:$I$89,3,0)*VLOOKUP('Données projet'!$B$11,Paramètres!$A$1:$I$89,5,0)</f>
        <v>224.34749999999991</v>
      </c>
      <c r="BF62" s="14">
        <f t="shared" si="37"/>
        <v>55.058714525680429</v>
      </c>
      <c r="BG62" s="22">
        <f t="shared" si="7"/>
        <v>486.63249029889329</v>
      </c>
      <c r="BH62" s="62">
        <f t="shared" si="8"/>
        <v>779.9658236322266</v>
      </c>
      <c r="BI62" s="62">
        <f ca="1">AVERAGE(OFFSET($BH$3,0,0,'Données projet'!$E$11+1,1))-AVERAGE(OFFSET($H$3,0,0,'Données projet'!$E$11+1,1))</f>
        <v>0</v>
      </c>
      <c r="BJ62" s="62">
        <f t="shared" si="38"/>
        <v>0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0.77694410566859928</v>
      </c>
      <c r="BR62" s="23">
        <f>EXP(-LN(2)/2)*BR61+(1-EXP(-LN(2)/2))/(LN(2)/2)*BL62*BO62*VLOOKUP('Données projet'!$B$11,Paramètres!$A$1:$I$89,3,0)*0.475*44/12</f>
        <v>1.4662179165425009E-4</v>
      </c>
      <c r="BS62" s="24">
        <f t="shared" si="9"/>
        <v>0.77709072746025354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439.06700232017681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3.9742551253556062</v>
      </c>
      <c r="AB63" s="23">
        <f>EXP(-LN(2)/2)*AB62+(1-EXP(-LN(2)/2))/(LN(2)/2)*V63*Y63*VLOOKUP('Données projet'!$B$9,Paramètres!$A$1:$I$89,3,0)*0.475*44/12</f>
        <v>4.5501021254143242E-4</v>
      </c>
      <c r="AC63" s="24">
        <f t="shared" si="3"/>
        <v>3.9747101355681478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156</v>
      </c>
      <c r="AG63" s="13">
        <f>VLOOKUP(A63,'Données projet'!$A$61:$I$81,9,0)</f>
        <v>3.8</v>
      </c>
      <c r="AH63" s="13">
        <f t="array" ref="AH63">INDEX(AG:AG,MIN(IF(ISNUMBER(AG63:AG259),ROW(AG63:AG259),"")))</f>
        <v>3.8</v>
      </c>
      <c r="AI63" s="14">
        <f>IF('Données projet'!$A$62&gt;35,AI62+AH63-AQ62,IF(A63&lt;'Données projet'!$A$62,$AF$205^A63,IF(A63='Données projet'!$A$62,'Données projet'!$B$62,AI62+AH63-AQ62)))</f>
        <v>156.0000000000002</v>
      </c>
      <c r="AJ63" s="14">
        <f>AI63*VLOOKUP('Données projet'!$B$10,Paramètres!$A$1:$I$89,3,0)*VLOOKUP('Données projet'!$B$10,Paramètres!$A$1:$I$89,5,0)</f>
        <v>136.28160000000017</v>
      </c>
      <c r="AK63" s="14">
        <f t="shared" si="35"/>
        <v>35.443842312892308</v>
      </c>
      <c r="AL63" s="22">
        <f t="shared" si="4"/>
        <v>299.0884786949544</v>
      </c>
      <c r="AM63" s="62">
        <f t="shared" si="5"/>
        <v>592.42181202828772</v>
      </c>
      <c r="AN63" s="62">
        <f ca="1">AVERAGE(OFFSET($AM$3,0,0,'Données projet'!$E$10+1,1))-AVERAGE(OFFSET($H$3,0,0,'Données projet'!$E$10+1,1))</f>
        <v>239.16843440041487</v>
      </c>
      <c r="AO63" s="62">
        <f t="shared" si="36"/>
        <v>241.82319822554194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13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5.9517067395423661E-4</v>
      </c>
      <c r="AX63" s="23">
        <f t="shared" si="6"/>
        <v>5.9517067395423661E-4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296.99999999999989</v>
      </c>
      <c r="BE63" s="14">
        <f>BD63*VLOOKUP('Données projet'!$B$11,Paramètres!$A$1:$I$89,3,0)*VLOOKUP('Données projet'!$B$11,Paramètres!$A$1:$I$89,5,0)</f>
        <v>231.65999999999991</v>
      </c>
      <c r="BF63" s="14">
        <f t="shared" si="37"/>
        <v>56.641461975682766</v>
      </c>
      <c r="BG63" s="22">
        <f t="shared" si="7"/>
        <v>502.125046274314</v>
      </c>
      <c r="BH63" s="62">
        <f t="shared" si="8"/>
        <v>795.45837960764732</v>
      </c>
      <c r="BI63" s="62">
        <f ca="1">AVERAGE(OFFSET($BH$3,0,0,'Données projet'!$E$11+1,1))-AVERAGE(OFFSET($H$3,0,0,'Données projet'!$E$11+1,1))</f>
        <v>0</v>
      </c>
      <c r="BJ63" s="62">
        <f t="shared" si="38"/>
        <v>0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0.75569852824137662</v>
      </c>
      <c r="BR63" s="23">
        <f>EXP(-LN(2)/2)*BR62+(1-EXP(-LN(2)/2))/(LN(2)/2)*BL63*BO63*VLOOKUP('Données projet'!$B$11,Paramètres!$A$1:$I$89,3,0)*0.475*44/12</f>
        <v>1.0367726314844138E-4</v>
      </c>
      <c r="BS63" s="24">
        <f t="shared" si="9"/>
        <v>0.75580220550452504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439.06700232017681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3.8655789099557634</v>
      </c>
      <c r="AB64" s="23">
        <f>EXP(-LN(2)/2)*AB63+(1-EXP(-LN(2)/2))/(LN(2)/2)*V64*Y64*VLOOKUP('Données projet'!$B$9,Paramètres!$A$1:$I$89,3,0)*0.475*44/12</f>
        <v>3.2174080679717913E-4</v>
      </c>
      <c r="AC64" s="24">
        <f t="shared" si="3"/>
        <v>3.8659006507625606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3.4</v>
      </c>
      <c r="AI64" s="14">
        <f>IF('Données projet'!$A$62&gt;35,AI63+AH64-AQ63,IF(A64&lt;'Données projet'!$A$62,$AF$205^A64,IF(A64='Données projet'!$A$62,'Données projet'!$B$62,AI63+AH64-AQ63)))</f>
        <v>146.4000000000002</v>
      </c>
      <c r="AJ64" s="14">
        <f>AI64*VLOOKUP('Données projet'!$B$10,Paramètres!$A$1:$I$89,3,0)*VLOOKUP('Données projet'!$B$10,Paramètres!$A$1:$I$89,5,0)</f>
        <v>127.89504000000019</v>
      </c>
      <c r="AK64" s="14">
        <f t="shared" si="35"/>
        <v>33.509503727991941</v>
      </c>
      <c r="AL64" s="22">
        <f t="shared" si="4"/>
        <v>281.11291365958624</v>
      </c>
      <c r="AM64" s="62">
        <f t="shared" si="5"/>
        <v>574.44624699291955</v>
      </c>
      <c r="AN64" s="62">
        <f ca="1">AVERAGE(OFFSET($AM$3,0,0,'Données projet'!$E$10+1,1))-AVERAGE(OFFSET($H$3,0,0,'Données projet'!$E$10+1,1))</f>
        <v>239.16843440041487</v>
      </c>
      <c r="AO64" s="62">
        <f t="shared" si="36"/>
        <v>241.82319822554194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4.2084921951640841E-4</v>
      </c>
      <c r="AX64" s="23">
        <f t="shared" si="6"/>
        <v>4.2084921951640841E-4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8.6666666666666661</v>
      </c>
      <c r="BD64" s="13">
        <f>IF('Données projet'!$A$88&gt;35,BD63+BC64-BL63,IF(A64&lt;'Données projet'!$A$88,$BA$205^A64,IF(A64='Données projet'!$A$88,'Données projet'!$B$88,BD63+BC64-BL63)))</f>
        <v>258.66666666666657</v>
      </c>
      <c r="BE64" s="14">
        <f>BD64*VLOOKUP('Données projet'!$B$11,Paramètres!$A$1:$I$89,3,0)*VLOOKUP('Données projet'!$B$11,Paramètres!$A$1:$I$89,5,0)</f>
        <v>201.75999999999993</v>
      </c>
      <c r="BF64" s="14">
        <f t="shared" si="37"/>
        <v>50.130765000424169</v>
      </c>
      <c r="BG64" s="22">
        <f t="shared" si="7"/>
        <v>438.70974904240529</v>
      </c>
      <c r="BH64" s="62">
        <f t="shared" si="8"/>
        <v>732.04308237573855</v>
      </c>
      <c r="BI64" s="62">
        <f ca="1">AVERAGE(OFFSET($BH$3,0,0,'Données projet'!$E$11+1,1))-AVERAGE(OFFSET($H$3,0,0,'Données projet'!$E$11+1,1))</f>
        <v>0</v>
      </c>
      <c r="BJ64" s="62">
        <f t="shared" si="38"/>
        <v>0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0.73503391224615777</v>
      </c>
      <c r="BR64" s="23">
        <f>EXP(-LN(2)/2)*BR63+(1-EXP(-LN(2)/2))/(LN(2)/2)*BL64*BO64*VLOOKUP('Données projet'!$B$11,Paramètres!$A$1:$I$89,3,0)*0.475*44/12</f>
        <v>7.3310895827125047E-5</v>
      </c>
      <c r="BS64" s="24">
        <f t="shared" si="9"/>
        <v>0.73510722314198484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439.06700232017681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3.7598744513810631</v>
      </c>
      <c r="AB65" s="23">
        <f>EXP(-LN(2)/2)*AB64+(1-EXP(-LN(2)/2))/(LN(2)/2)*V65*Y65*VLOOKUP('Données projet'!$B$9,Paramètres!$A$1:$I$89,3,0)*0.475*44/12</f>
        <v>2.2750510627071621E-4</v>
      </c>
      <c r="AC65" s="24">
        <f t="shared" si="3"/>
        <v>3.7601019564873339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3.4</v>
      </c>
      <c r="AI65" s="14">
        <f>IF('Données projet'!$A$62&gt;35,AI64+AH65-AQ64,IF(A65&lt;'Données projet'!$A$62,$AF$205^A65,IF(A65='Données projet'!$A$62,'Données projet'!$B$62,AI64+AH65-AQ64)))</f>
        <v>149.80000000000021</v>
      </c>
      <c r="AJ65" s="14">
        <f>AI65*VLOOKUP('Données projet'!$B$10,Paramètres!$A$1:$I$89,3,0)*VLOOKUP('Données projet'!$B$10,Paramètres!$A$1:$I$89,5,0)</f>
        <v>130.86528000000018</v>
      </c>
      <c r="AK65" s="14">
        <f t="shared" si="35"/>
        <v>34.196222873367319</v>
      </c>
      <c r="AL65" s="22">
        <f t="shared" si="4"/>
        <v>287.48211750444835</v>
      </c>
      <c r="AM65" s="62">
        <f t="shared" si="5"/>
        <v>580.81545083778167</v>
      </c>
      <c r="AN65" s="62">
        <f ca="1">AVERAGE(OFFSET($AM$3,0,0,'Données projet'!$E$10+1,1))-AVERAGE(OFFSET($H$3,0,0,'Données projet'!$E$10+1,1))</f>
        <v>239.16843440041487</v>
      </c>
      <c r="AO65" s="62">
        <f t="shared" si="36"/>
        <v>241.82319822554194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2.9758533697711831E-4</v>
      </c>
      <c r="AX65" s="23">
        <f t="shared" si="6"/>
        <v>2.9758533697711831E-4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8.6666666666666661</v>
      </c>
      <c r="BD65" s="13">
        <f>IF('Données projet'!$A$88&gt;35,BD64+BC65-BL64,IF(A65&lt;'Données projet'!$A$88,$BA$205^A65,IF(A65='Données projet'!$A$88,'Données projet'!$B$88,BD64+BC65-BL64)))</f>
        <v>267.33333333333326</v>
      </c>
      <c r="BE65" s="14">
        <f>BD65*VLOOKUP('Données projet'!$B$11,Paramètres!$A$1:$I$89,3,0)*VLOOKUP('Données projet'!$B$11,Paramètres!$A$1:$I$89,5,0)</f>
        <v>208.51999999999995</v>
      </c>
      <c r="BF65" s="14">
        <f t="shared" si="37"/>
        <v>51.612035456318459</v>
      </c>
      <c r="BG65" s="22">
        <f t="shared" si="7"/>
        <v>453.06329508642119</v>
      </c>
      <c r="BH65" s="62">
        <f t="shared" si="8"/>
        <v>746.39662841975451</v>
      </c>
      <c r="BI65" s="62">
        <f ca="1">AVERAGE(OFFSET($BH$3,0,0,'Données projet'!$E$11+1,1))-AVERAGE(OFFSET($H$3,0,0,'Données projet'!$E$11+1,1))</f>
        <v>0</v>
      </c>
      <c r="BJ65" s="62">
        <f t="shared" si="38"/>
        <v>0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0.71493437126203307</v>
      </c>
      <c r="BR65" s="23">
        <f>EXP(-LN(2)/2)*BR64+(1-EXP(-LN(2)/2))/(LN(2)/2)*BL65*BO65*VLOOKUP('Données projet'!$B$11,Paramètres!$A$1:$I$89,3,0)*0.475*44/12</f>
        <v>5.1838631574220691E-5</v>
      </c>
      <c r="BS65" s="24">
        <f t="shared" si="9"/>
        <v>0.71498620989360728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439.06700232017681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3.657060486784844</v>
      </c>
      <c r="AB66" s="23">
        <f>EXP(-LN(2)/2)*AB65+(1-EXP(-LN(2)/2))/(LN(2)/2)*V66*Y66*VLOOKUP('Données projet'!$B$9,Paramètres!$A$1:$I$89,3,0)*0.475*44/12</f>
        <v>1.6087040339858957E-4</v>
      </c>
      <c r="AC66" s="24">
        <f t="shared" si="3"/>
        <v>3.6572213571882424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3.4</v>
      </c>
      <c r="AI66" s="14">
        <f>IF('Données projet'!$A$62&gt;35,AI65+AH66-AQ65,IF(A66&lt;'Données projet'!$A$62,$AF$205^A66,IF(A66='Données projet'!$A$62,'Données projet'!$B$62,AI65+AH66-AQ65)))</f>
        <v>153.20000000000022</v>
      </c>
      <c r="AJ66" s="14">
        <f>AI66*VLOOKUP('Données projet'!$B$10,Paramètres!$A$1:$I$89,3,0)*VLOOKUP('Données projet'!$B$10,Paramètres!$A$1:$I$89,5,0)</f>
        <v>133.8355200000002</v>
      </c>
      <c r="AK66" s="14">
        <f t="shared" si="35"/>
        <v>34.881129989958623</v>
      </c>
      <c r="AL66" s="22">
        <f t="shared" si="4"/>
        <v>293.84816539917824</v>
      </c>
      <c r="AM66" s="62">
        <f t="shared" si="5"/>
        <v>587.1814987325115</v>
      </c>
      <c r="AN66" s="62">
        <f ca="1">AVERAGE(OFFSET($AM$3,0,0,'Données projet'!$E$10+1,1))-AVERAGE(OFFSET($H$3,0,0,'Données projet'!$E$10+1,1))</f>
        <v>239.16843440041487</v>
      </c>
      <c r="AO66" s="62">
        <f t="shared" si="36"/>
        <v>241.82319822554194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2.104246097582042E-4</v>
      </c>
      <c r="AX66" s="23">
        <f t="shared" si="6"/>
        <v>2.104246097582042E-4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8.6666666666666661</v>
      </c>
      <c r="BD66" s="13">
        <f>IF('Données projet'!$A$88&gt;35,BD65+BC66-BL65,IF(A66&lt;'Données projet'!$A$88,$BA$205^A66,IF(A66='Données projet'!$A$88,'Données projet'!$B$88,BD65+BC66-BL65)))</f>
        <v>275.99999999999994</v>
      </c>
      <c r="BE66" s="14">
        <f>BD66*VLOOKUP('Données projet'!$B$11,Paramètres!$A$1:$I$89,3,0)*VLOOKUP('Données projet'!$B$11,Paramètres!$A$1:$I$89,5,0)</f>
        <v>215.27999999999997</v>
      </c>
      <c r="BF66" s="14">
        <f t="shared" si="37"/>
        <v>53.087725740853138</v>
      </c>
      <c r="BG66" s="22">
        <f t="shared" si="7"/>
        <v>467.40712233198587</v>
      </c>
      <c r="BH66" s="62">
        <f t="shared" si="8"/>
        <v>760.74045566531913</v>
      </c>
      <c r="BI66" s="62">
        <f ca="1">AVERAGE(OFFSET($BH$3,0,0,'Données projet'!$E$11+1,1))-AVERAGE(OFFSET($H$3,0,0,'Données projet'!$E$11+1,1))</f>
        <v>0</v>
      </c>
      <c r="BJ66" s="62">
        <f t="shared" si="38"/>
        <v>0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0.69538445328310816</v>
      </c>
      <c r="BR66" s="23">
        <f>EXP(-LN(2)/2)*BR65+(1-EXP(-LN(2)/2))/(LN(2)/2)*BL66*BO66*VLOOKUP('Données projet'!$B$11,Paramètres!$A$1:$I$89,3,0)*0.475*44/12</f>
        <v>3.6655447913562523E-5</v>
      </c>
      <c r="BS66" s="24">
        <f t="shared" si="9"/>
        <v>0.6954211087310217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439.06700232017681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3.5570579754572598</v>
      </c>
      <c r="AB67" s="23">
        <f>EXP(-LN(2)/2)*AB66+(1-EXP(-LN(2)/2))/(LN(2)/2)*V67*Y67*VLOOKUP('Données projet'!$B$9,Paramètres!$A$1:$I$89,3,0)*0.475*44/12</f>
        <v>1.1375255313535811E-4</v>
      </c>
      <c r="AC67" s="24">
        <f t="shared" si="3"/>
        <v>3.5571717280103949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3.4</v>
      </c>
      <c r="AI67" s="14">
        <f>IF('Données projet'!$A$62&gt;35,AI66+AH67-AQ66,IF(A67&lt;'Données projet'!$A$62,$AF$205^A67,IF(A67='Données projet'!$A$62,'Données projet'!$B$62,AI66+AH67-AQ66)))</f>
        <v>156.60000000000022</v>
      </c>
      <c r="AJ67" s="14">
        <f>AI67*VLOOKUP('Données projet'!$B$10,Paramètres!$A$1:$I$89,3,0)*VLOOKUP('Données projet'!$B$10,Paramètres!$A$1:$I$89,5,0)</f>
        <v>136.80576000000019</v>
      </c>
      <c r="AK67" s="14">
        <f t="shared" si="35"/>
        <v>35.56426992299734</v>
      </c>
      <c r="AL67" s="22">
        <f t="shared" si="4"/>
        <v>300.21113544922065</v>
      </c>
      <c r="AM67" s="62">
        <f t="shared" si="5"/>
        <v>593.54446878255396</v>
      </c>
      <c r="AN67" s="62">
        <f ca="1">AVERAGE(OFFSET($AM$3,0,0,'Données projet'!$E$10+1,1))-AVERAGE(OFFSET($H$3,0,0,'Données projet'!$E$10+1,1))</f>
        <v>239.16843440041487</v>
      </c>
      <c r="AO67" s="62">
        <f t="shared" si="36"/>
        <v>241.82319822554194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1.4879266848855915E-4</v>
      </c>
      <c r="AX67" s="23">
        <f t="shared" si="6"/>
        <v>1.4879266848855915E-4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8.6666666666666661</v>
      </c>
      <c r="BD67" s="13">
        <f>IF('Données projet'!$A$88&gt;35,BD66+BC67-BL66,IF(A67&lt;'Données projet'!$A$88,$BA$205^A67,IF(A67='Données projet'!$A$88,'Données projet'!$B$88,BD66+BC67-BL66)))</f>
        <v>284.66666666666663</v>
      </c>
      <c r="BE67" s="14">
        <f>BD67*VLOOKUP('Données projet'!$B$11,Paramètres!$A$1:$I$89,3,0)*VLOOKUP('Données projet'!$B$11,Paramètres!$A$1:$I$89,5,0)</f>
        <v>222.04</v>
      </c>
      <c r="BF67" s="14">
        <f t="shared" si="37"/>
        <v>54.558031180803546</v>
      </c>
      <c r="BG67" s="22">
        <f t="shared" si="7"/>
        <v>481.74157097323285</v>
      </c>
      <c r="BH67" s="62">
        <f t="shared" si="8"/>
        <v>775.07490430656617</v>
      </c>
      <c r="BI67" s="62">
        <f ca="1">AVERAGE(OFFSET($BH$3,0,0,'Données projet'!$E$11+1,1))-AVERAGE(OFFSET($H$3,0,0,'Données projet'!$E$11+1,1))</f>
        <v>0</v>
      </c>
      <c r="BJ67" s="62">
        <f t="shared" si="38"/>
        <v>0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0.67636912883940248</v>
      </c>
      <c r="BR67" s="23">
        <f>EXP(-LN(2)/2)*BR66+(1-EXP(-LN(2)/2))/(LN(2)/2)*BL67*BO67*VLOOKUP('Données projet'!$B$11,Paramètres!$A$1:$I$89,3,0)*0.475*44/12</f>
        <v>2.5919315787110345E-5</v>
      </c>
      <c r="BS67" s="24">
        <f t="shared" si="9"/>
        <v>0.67639504815518958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439.06700232017681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3.4597900380608317</v>
      </c>
      <c r="AB68" s="23">
        <f>EXP(-LN(2)/2)*AB67+(1-EXP(-LN(2)/2))/(LN(2)/2)*V68*Y68*VLOOKUP('Données projet'!$B$9,Paramètres!$A$1:$I$89,3,0)*0.475*44/12</f>
        <v>8.0435201699294783E-5</v>
      </c>
      <c r="AC68" s="24">
        <f t="shared" ref="AC68:AC131" si="57">SUM(Z68:AB68)</f>
        <v>3.4598704732625309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160</v>
      </c>
      <c r="AG68" s="13">
        <f>VLOOKUP(A68,'Données projet'!$A$61:$I$81,9,0)</f>
        <v>3.4</v>
      </c>
      <c r="AH68" s="13">
        <f t="array" ref="AH68">INDEX(AG:AG,MIN(IF(ISNUMBER(AG68:AG264),ROW(AG68:AG264),"")))</f>
        <v>3.4</v>
      </c>
      <c r="AI68" s="14">
        <f>IF('Données projet'!$A$62&gt;35,AI67+AH68-AQ67,IF(A68&lt;'Données projet'!$A$62,$AF$205^A68,IF(A68='Données projet'!$A$62,'Données projet'!$B$62,AI67+AH68-AQ67)))</f>
        <v>160.00000000000023</v>
      </c>
      <c r="AJ68" s="14">
        <f>AI68*VLOOKUP('Données projet'!$B$10,Paramètres!$A$1:$I$89,3,0)*VLOOKUP('Données projet'!$B$10,Paramètres!$A$1:$I$89,5,0)</f>
        <v>139.77600000000021</v>
      </c>
      <c r="AK68" s="14">
        <f t="shared" si="35"/>
        <v>36.245685459195357</v>
      </c>
      <c r="AL68" s="22">
        <f t="shared" ref="AL68:AL131" si="58">(AJ68+AK68)*0.475*44/12</f>
        <v>306.5711021747656</v>
      </c>
      <c r="AM68" s="62">
        <f t="shared" ref="AM68:AM131" si="59">AL68+(AD68+AE68)*44/12</f>
        <v>599.90443550809891</v>
      </c>
      <c r="AN68" s="62">
        <f ca="1">AVERAGE(OFFSET($AM$3,0,0,'Données projet'!$E$10+1,1))-AVERAGE(OFFSET($H$3,0,0,'Données projet'!$E$10+1,1))</f>
        <v>239.16843440041487</v>
      </c>
      <c r="AO68" s="62">
        <f t="shared" si="36"/>
        <v>241.82319822554194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11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1.052123048791021E-4</v>
      </c>
      <c r="AX68" s="23">
        <f t="shared" ref="AX68:AX131" si="60">SUM(AU68:AW68)</f>
        <v>1.052123048791021E-4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8.6666666666666661</v>
      </c>
      <c r="BD68" s="13">
        <f>IF('Données projet'!$A$88&gt;35,BD67+BC68-BL67,IF(A68&lt;'Données projet'!$A$88,$BA$205^A68,IF(A68='Données projet'!$A$88,'Données projet'!$B$88,BD67+BC68-BL67)))</f>
        <v>293.33333333333331</v>
      </c>
      <c r="BE68" s="14">
        <f>BD68*VLOOKUP('Données projet'!$B$11,Paramètres!$A$1:$I$89,3,0)*VLOOKUP('Données projet'!$B$11,Paramètres!$A$1:$I$89,5,0)</f>
        <v>228.79999999999998</v>
      </c>
      <c r="BF68" s="14">
        <f t="shared" si="37"/>
        <v>56.023134533701196</v>
      </c>
      <c r="BG68" s="22">
        <f t="shared" ref="BG68:BG131" si="61">(BE68+BF68)*0.475*44/12</f>
        <v>496.06695931286293</v>
      </c>
      <c r="BH68" s="62">
        <f t="shared" ref="BH68:BH131" si="62">BG68+(AY68+AZ68)*44/12</f>
        <v>789.40029264619625</v>
      </c>
      <c r="BI68" s="62">
        <f ca="1">AVERAGE(OFFSET($BH$3,0,0,'Données projet'!$E$11+1,1))-AVERAGE(OFFSET($H$3,0,0,'Données projet'!$E$11+1,1))</f>
        <v>0</v>
      </c>
      <c r="BJ68" s="62">
        <f t="shared" si="38"/>
        <v>0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0.65787377944258241</v>
      </c>
      <c r="BR68" s="23">
        <f>EXP(-LN(2)/2)*BR67+(1-EXP(-LN(2)/2))/(LN(2)/2)*BL68*BO68*VLOOKUP('Données projet'!$B$11,Paramètres!$A$1:$I$89,3,0)*0.475*44/12</f>
        <v>1.8327723956781262E-5</v>
      </c>
      <c r="BS68" s="24">
        <f t="shared" ref="BS68:BS131" si="63">SUM(BP68:BR68)</f>
        <v>0.65789210716653923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439.06700232017681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3.3651818975276075</v>
      </c>
      <c r="AB69" s="23">
        <f>EXP(-LN(2)/2)*AB68+(1-EXP(-LN(2)/2))/(LN(2)/2)*V69*Y69*VLOOKUP('Données projet'!$B$9,Paramètres!$A$1:$I$89,3,0)*0.475*44/12</f>
        <v>5.6876276567679053E-5</v>
      </c>
      <c r="AC69" s="24">
        <f t="shared" si="57"/>
        <v>3.3652387738041751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2.8</v>
      </c>
      <c r="AI69" s="14">
        <f>IF('Données projet'!$A$62&gt;35,AI68+AH69-AQ68,IF(A69&lt;'Données projet'!$A$62,$AF$205^A69,IF(A69='Données projet'!$A$62,'Données projet'!$B$62,AI68+AH69-AQ68)))</f>
        <v>151.80000000000024</v>
      </c>
      <c r="AJ69" s="14">
        <f>AI69*VLOOKUP('Données projet'!$B$10,Paramètres!$A$1:$I$89,3,0)*VLOOKUP('Données projet'!$B$10,Paramètres!$A$1:$I$89,5,0)</f>
        <v>132.61248000000023</v>
      </c>
      <c r="AK69" s="14">
        <f t="shared" ref="AK69:AK132" si="89">EXP(-1.0587+0.8836*LN(AJ69)+0.284)</f>
        <v>34.599325938965521</v>
      </c>
      <c r="AL69" s="22">
        <f t="shared" si="58"/>
        <v>291.22722867703203</v>
      </c>
      <c r="AM69" s="62">
        <f t="shared" si="59"/>
        <v>584.5605620103654</v>
      </c>
      <c r="AN69" s="62">
        <f ca="1">AVERAGE(OFFSET($AM$3,0,0,'Données projet'!$E$10+1,1))-AVERAGE(OFFSET($H$3,0,0,'Données projet'!$E$10+1,1))</f>
        <v>239.16843440041487</v>
      </c>
      <c r="AO69" s="62">
        <f t="shared" ref="AO69:AO132" si="90">$AO$3</f>
        <v>241.82319822554194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7.4396334244279576E-5</v>
      </c>
      <c r="AX69" s="23">
        <f t="shared" si="60"/>
        <v>7.4396334244279576E-5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8.6666666666666661</v>
      </c>
      <c r="BD69" s="13">
        <f>IF('Données projet'!$A$88&gt;35,BD68+BC69-BL68,IF(A69&lt;'Données projet'!$A$88,$BA$205^A69,IF(A69='Données projet'!$A$88,'Données projet'!$B$88,BD68+BC69-BL68)))</f>
        <v>302</v>
      </c>
      <c r="BE69" s="14">
        <f>BD69*VLOOKUP('Données projet'!$B$11,Paramètres!$A$1:$I$89,3,0)*VLOOKUP('Données projet'!$B$11,Paramètres!$A$1:$I$89,5,0)</f>
        <v>235.56</v>
      </c>
      <c r="BF69" s="14">
        <f t="shared" ref="BF69:BF132" si="91">EXP(-1.0587+0.8836*LN(BE69)+0.284)</f>
        <v>57.483207143847721</v>
      </c>
      <c r="BG69" s="22">
        <f t="shared" si="61"/>
        <v>510.38358577553481</v>
      </c>
      <c r="BH69" s="62">
        <f t="shared" si="62"/>
        <v>803.71691910886807</v>
      </c>
      <c r="BI69" s="62">
        <f ca="1">AVERAGE(OFFSET($BH$3,0,0,'Données projet'!$E$11+1,1))-AVERAGE(OFFSET($H$3,0,0,'Données projet'!$E$11+1,1))</f>
        <v>0</v>
      </c>
      <c r="BJ69" s="62">
        <f t="shared" ref="BJ69:BJ132" si="92">$BJ$3</f>
        <v>0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0.63988418634764654</v>
      </c>
      <c r="BR69" s="23">
        <f>EXP(-LN(2)/2)*BR68+(1-EXP(-LN(2)/2))/(LN(2)/2)*BL69*BO69*VLOOKUP('Données projet'!$B$11,Paramètres!$A$1:$I$89,3,0)*0.475*44/12</f>
        <v>1.2959657893555173E-5</v>
      </c>
      <c r="BS69" s="24">
        <f t="shared" si="63"/>
        <v>0.63989714600554015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439.06700232017681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3.2731608215724903</v>
      </c>
      <c r="AB70" s="23">
        <f>EXP(-LN(2)/2)*AB69+(1-EXP(-LN(2)/2))/(LN(2)/2)*V70*Y70*VLOOKUP('Données projet'!$B$9,Paramètres!$A$1:$I$89,3,0)*0.475*44/12</f>
        <v>4.0217600849647392E-5</v>
      </c>
      <c r="AC70" s="24">
        <f t="shared" si="57"/>
        <v>3.2732010391733399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2.8</v>
      </c>
      <c r="AI70" s="14">
        <f>IF('Données projet'!$A$62&gt;35,AI69+AH70-AQ69,IF(A70&lt;'Données projet'!$A$62,$AF$205^A70,IF(A70='Données projet'!$A$62,'Données projet'!$B$62,AI69+AH70-AQ69)))</f>
        <v>154.60000000000025</v>
      </c>
      <c r="AJ70" s="14">
        <f>AI70*VLOOKUP('Données projet'!$B$10,Paramètres!$A$1:$I$89,3,0)*VLOOKUP('Données projet'!$B$10,Paramètres!$A$1:$I$89,5,0)</f>
        <v>135.05856000000023</v>
      </c>
      <c r="AK70" s="14">
        <f t="shared" si="89"/>
        <v>35.162634438808944</v>
      </c>
      <c r="AL70" s="22">
        <f t="shared" si="58"/>
        <v>296.46858031425933</v>
      </c>
      <c r="AM70" s="62">
        <f t="shared" si="59"/>
        <v>589.80191364759264</v>
      </c>
      <c r="AN70" s="62">
        <f ca="1">AVERAGE(OFFSET($AM$3,0,0,'Données projet'!$E$10+1,1))-AVERAGE(OFFSET($H$3,0,0,'Données projet'!$E$10+1,1))</f>
        <v>239.16843440041487</v>
      </c>
      <c r="AO70" s="62">
        <f t="shared" si="90"/>
        <v>241.82319822554194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5.2606152439551051E-5</v>
      </c>
      <c r="AX70" s="23">
        <f t="shared" si="60"/>
        <v>5.2606152439551051E-5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8.6666666666666661</v>
      </c>
      <c r="BD70" s="13">
        <f>IF('Données projet'!$A$88&gt;35,BD69+BC70-BL69,IF(A70&lt;'Données projet'!$A$88,$BA$205^A70,IF(A70='Données projet'!$A$88,'Données projet'!$B$88,BD69+BC70-BL69)))</f>
        <v>310.66666666666669</v>
      </c>
      <c r="BE70" s="14">
        <f>BD70*VLOOKUP('Données projet'!$B$11,Paramètres!$A$1:$I$89,3,0)*VLOOKUP('Données projet'!$B$11,Paramètres!$A$1:$I$89,5,0)</f>
        <v>242.32000000000002</v>
      </c>
      <c r="BF70" s="14">
        <f t="shared" si="91"/>
        <v>58.938409961900859</v>
      </c>
      <c r="BG70" s="22">
        <f t="shared" si="61"/>
        <v>524.69173068364398</v>
      </c>
      <c r="BH70" s="62">
        <f t="shared" si="62"/>
        <v>818.02506401697724</v>
      </c>
      <c r="BI70" s="62">
        <f ca="1">AVERAGE(OFFSET($BH$3,0,0,'Données projet'!$E$11+1,1))-AVERAGE(OFFSET($H$3,0,0,'Données projet'!$E$11+1,1))</f>
        <v>0</v>
      </c>
      <c r="BJ70" s="62">
        <f t="shared" si="92"/>
        <v>0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0.62238651962192326</v>
      </c>
      <c r="BR70" s="23">
        <f>EXP(-LN(2)/2)*BR69+(1-EXP(-LN(2)/2))/(LN(2)/2)*BL70*BO70*VLOOKUP('Données projet'!$B$11,Paramètres!$A$1:$I$89,3,0)*0.475*44/12</f>
        <v>9.1638619783906308E-6</v>
      </c>
      <c r="BS70" s="24">
        <f t="shared" si="63"/>
        <v>0.62239568348390162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439.06700232017681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3.1836560667785441</v>
      </c>
      <c r="AB71" s="23">
        <f>EXP(-LN(2)/2)*AB70+(1-EXP(-LN(2)/2))/(LN(2)/2)*V71*Y71*VLOOKUP('Données projet'!$B$9,Paramètres!$A$1:$I$89,3,0)*0.475*44/12</f>
        <v>2.8438138283839526E-5</v>
      </c>
      <c r="AC71" s="24">
        <f t="shared" si="57"/>
        <v>3.1836845049168279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2.8</v>
      </c>
      <c r="AI71" s="14">
        <f>IF('Données projet'!$A$62&gt;35,AI70+AH71-AQ70,IF(A71&lt;'Données projet'!$A$62,$AF$205^A71,IF(A71='Données projet'!$A$62,'Données projet'!$B$62,AI70+AH71-AQ70)))</f>
        <v>157.40000000000026</v>
      </c>
      <c r="AJ71" s="14">
        <f>AI71*VLOOKUP('Données projet'!$B$10,Paramètres!$A$1:$I$89,3,0)*VLOOKUP('Données projet'!$B$10,Paramètres!$A$1:$I$89,5,0)</f>
        <v>137.50464000000025</v>
      </c>
      <c r="AK71" s="14">
        <f t="shared" si="89"/>
        <v>35.724756582112391</v>
      </c>
      <c r="AL71" s="22">
        <f t="shared" si="58"/>
        <v>301.70786571384616</v>
      </c>
      <c r="AM71" s="62">
        <f t="shared" si="59"/>
        <v>595.04119904717948</v>
      </c>
      <c r="AN71" s="62">
        <f ca="1">AVERAGE(OFFSET($AM$3,0,0,'Données projet'!$E$10+1,1))-AVERAGE(OFFSET($H$3,0,0,'Données projet'!$E$10+1,1))</f>
        <v>239.16843440041487</v>
      </c>
      <c r="AO71" s="62">
        <f t="shared" si="90"/>
        <v>241.82319822554194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3.7198167122139788E-5</v>
      </c>
      <c r="AX71" s="23">
        <f t="shared" si="60"/>
        <v>3.7198167122139788E-5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8.6666666666666661</v>
      </c>
      <c r="BD71" s="13">
        <f>IF('Données projet'!$A$88&gt;35,BD70+BC71-BL70,IF(A71&lt;'Données projet'!$A$88,$BA$205^A71,IF(A71='Données projet'!$A$88,'Données projet'!$B$88,BD70+BC71-BL70)))</f>
        <v>319.33333333333337</v>
      </c>
      <c r="BE71" s="14">
        <f>BD71*VLOOKUP('Données projet'!$B$11,Paramètres!$A$1:$I$89,3,0)*VLOOKUP('Données projet'!$B$11,Paramètres!$A$1:$I$89,5,0)</f>
        <v>249.08000000000004</v>
      </c>
      <c r="BF71" s="14">
        <f t="shared" si="91"/>
        <v>60.388894447487807</v>
      </c>
      <c r="BG71" s="22">
        <f t="shared" si="61"/>
        <v>538.99165782937473</v>
      </c>
      <c r="BH71" s="62">
        <f t="shared" si="62"/>
        <v>832.3249911627081</v>
      </c>
      <c r="BI71" s="62">
        <f ca="1">AVERAGE(OFFSET($BH$3,0,0,'Données projet'!$E$11+1,1))-AVERAGE(OFFSET($H$3,0,0,'Données projet'!$E$11+1,1))</f>
        <v>0</v>
      </c>
      <c r="BJ71" s="62">
        <f t="shared" si="92"/>
        <v>0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0.60536732751297717</v>
      </c>
      <c r="BR71" s="23">
        <f>EXP(-LN(2)/2)*BR70+(1-EXP(-LN(2)/2))/(LN(2)/2)*BL71*BO71*VLOOKUP('Données projet'!$B$11,Paramètres!$A$1:$I$89,3,0)*0.475*44/12</f>
        <v>6.4798289467775864E-6</v>
      </c>
      <c r="BS71" s="24">
        <f t="shared" si="63"/>
        <v>0.60537380734192392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439.06700232017681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3.0965988242112887</v>
      </c>
      <c r="AB72" s="23">
        <f>EXP(-LN(2)/2)*AB71+(1-EXP(-LN(2)/2))/(LN(2)/2)*V72*Y72*VLOOKUP('Données projet'!$B$9,Paramètres!$A$1:$I$89,3,0)*0.475*44/12</f>
        <v>2.0108800424823696E-5</v>
      </c>
      <c r="AC72" s="24">
        <f t="shared" si="57"/>
        <v>3.0966189330117135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2.8</v>
      </c>
      <c r="AI72" s="14">
        <f>IF('Données projet'!$A$62&gt;35,AI71+AH72-AQ71,IF(A72&lt;'Données projet'!$A$62,$AF$205^A72,IF(A72='Données projet'!$A$62,'Données projet'!$B$62,AI71+AH72-AQ71)))</f>
        <v>160.20000000000027</v>
      </c>
      <c r="AJ72" s="14">
        <f>AI72*VLOOKUP('Données projet'!$B$10,Paramètres!$A$1:$I$89,3,0)*VLOOKUP('Données projet'!$B$10,Paramètres!$A$1:$I$89,5,0)</f>
        <v>139.95072000000025</v>
      </c>
      <c r="AK72" s="14">
        <f t="shared" si="89"/>
        <v>36.285715907711982</v>
      </c>
      <c r="AL72" s="22">
        <f t="shared" si="58"/>
        <v>306.94512587259879</v>
      </c>
      <c r="AM72" s="62">
        <f t="shared" si="59"/>
        <v>600.27845920593211</v>
      </c>
      <c r="AN72" s="62">
        <f ca="1">AVERAGE(OFFSET($AM$3,0,0,'Données projet'!$E$10+1,1))-AVERAGE(OFFSET($H$3,0,0,'Données projet'!$E$10+1,1))</f>
        <v>239.16843440041487</v>
      </c>
      <c r="AO72" s="62">
        <f t="shared" si="90"/>
        <v>241.82319822554194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2.6303076219775526E-5</v>
      </c>
      <c r="AX72" s="23">
        <f t="shared" si="60"/>
        <v>2.6303076219775526E-5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328</v>
      </c>
      <c r="BB72" s="13">
        <f>VLOOKUP(A72,'Données projet'!$A$87:$I$107,9,0)</f>
        <v>8.6666666666666661</v>
      </c>
      <c r="BC72" s="13">
        <f t="array" ref="BC72">INDEX(BB:BB,MIN(IF(ISNUMBER(BB72:BB268),ROW(BB72:BB268),"")))</f>
        <v>8.6666666666666661</v>
      </c>
      <c r="BD72" s="13">
        <f>IF('Données projet'!$A$88&gt;35,BD71+BC72-BL71,IF(A72&lt;'Données projet'!$A$88,$BA$205^A72,IF(A72='Données projet'!$A$88,'Données projet'!$B$88,BD71+BC72-BL71)))</f>
        <v>328.00000000000006</v>
      </c>
      <c r="BE72" s="14">
        <f>BD72*VLOOKUP('Données projet'!$B$11,Paramètres!$A$1:$I$89,3,0)*VLOOKUP('Données projet'!$B$11,Paramètres!$A$1:$I$89,5,0)</f>
        <v>255.84000000000006</v>
      </c>
      <c r="BF72" s="14">
        <f t="shared" si="91"/>
        <v>61.834803371075836</v>
      </c>
      <c r="BG72" s="22">
        <f t="shared" si="61"/>
        <v>553.28361587129041</v>
      </c>
      <c r="BH72" s="62">
        <f t="shared" si="62"/>
        <v>846.61694920462378</v>
      </c>
      <c r="BI72" s="62">
        <f ca="1">AVERAGE(OFFSET($BH$3,0,0,'Données projet'!$E$11+1,1))-AVERAGE(OFFSET($H$3,0,0,'Données projet'!$E$11+1,1))</f>
        <v>0</v>
      </c>
      <c r="BJ72" s="62">
        <f t="shared" si="92"/>
        <v>0</v>
      </c>
      <c r="BK72" s="16">
        <f>IF(ISNA(VLOOKUP(A72,'Données projet'!$A$87:$I$107,3,0)),0,VLOOKUP(A72,'Données projet'!$A$87:$I$107,3,0))</f>
        <v>9</v>
      </c>
      <c r="BL72" s="16">
        <f>IF(ISNA(VLOOKUP(A72,'Données projet'!$A$87:$I$107,4,0)),0,VLOOKUP(A72,'Données projet'!$A$87:$I$107,4,0))</f>
        <v>328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0.58881352610725068</v>
      </c>
      <c r="BR72" s="23">
        <f>EXP(-LN(2)/2)*BR71+(1-EXP(-LN(2)/2))/(LN(2)/2)*BL72*BO72*VLOOKUP('Données projet'!$B$11,Paramètres!$A$1:$I$89,3,0)*0.475*44/12</f>
        <v>4.5819309891953154E-6</v>
      </c>
      <c r="BS72" s="24">
        <f t="shared" si="63"/>
        <v>0.58881810803823986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439.06700232017681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3.0119221665201761</v>
      </c>
      <c r="AB73" s="23">
        <f>EXP(-LN(2)/2)*AB72+(1-EXP(-LN(2)/2))/(LN(2)/2)*V73*Y73*VLOOKUP('Données projet'!$B$9,Paramètres!$A$1:$I$89,3,0)*0.475*44/12</f>
        <v>1.4219069141919763E-5</v>
      </c>
      <c r="AC73" s="24">
        <f t="shared" si="57"/>
        <v>3.0119363855893182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163</v>
      </c>
      <c r="AG73" s="13">
        <f>VLOOKUP(A73,'Données projet'!$A$61:$I$81,9,0)</f>
        <v>2.8</v>
      </c>
      <c r="AH73" s="13">
        <f t="array" ref="AH73">INDEX(AG:AG,MIN(IF(ISNUMBER(AG73:AG269),ROW(AG73:AG269),"")))</f>
        <v>2.8</v>
      </c>
      <c r="AI73" s="14">
        <f>IF('Données projet'!$A$62&gt;35,AI72+AH73-AQ72,IF(A73&lt;'Données projet'!$A$62,$AF$205^A73,IF(A73='Données projet'!$A$62,'Données projet'!$B$62,AI72+AH73-AQ72)))</f>
        <v>163.00000000000028</v>
      </c>
      <c r="AJ73" s="14">
        <f>AI73*VLOOKUP('Données projet'!$B$10,Paramètres!$A$1:$I$89,3,0)*VLOOKUP('Données projet'!$B$10,Paramètres!$A$1:$I$89,5,0)</f>
        <v>142.39680000000027</v>
      </c>
      <c r="AK73" s="14">
        <f t="shared" si="89"/>
        <v>36.845535084477049</v>
      </c>
      <c r="AL73" s="22">
        <f t="shared" si="58"/>
        <v>312.18040027213129</v>
      </c>
      <c r="AM73" s="62">
        <f t="shared" si="59"/>
        <v>605.51373360546461</v>
      </c>
      <c r="AN73" s="62">
        <f ca="1">AVERAGE(OFFSET($AM$3,0,0,'Données projet'!$E$10+1,1))-AVERAGE(OFFSET($H$3,0,0,'Données projet'!$E$10+1,1))</f>
        <v>239.16843440041487</v>
      </c>
      <c r="AO73" s="62">
        <f t="shared" si="90"/>
        <v>241.82319822554194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1.8599083561069894E-5</v>
      </c>
      <c r="AX73" s="23">
        <f t="shared" si="60"/>
        <v>1.8599083561069894E-5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4.4337866711430253E-14</v>
      </c>
      <c r="BF73" s="14">
        <f t="shared" si="91"/>
        <v>7.3222115536967035E-13</v>
      </c>
      <c r="BG73" s="22">
        <f t="shared" si="61"/>
        <v>1.3525069634579169E-12</v>
      </c>
      <c r="BH73" s="62">
        <f t="shared" si="62"/>
        <v>293.33333333333468</v>
      </c>
      <c r="BI73" s="62">
        <f ca="1">AVERAGE(OFFSET($BH$3,0,0,'Données projet'!$E$11+1,1))-AVERAGE(OFFSET($H$3,0,0,'Données projet'!$E$11+1,1))</f>
        <v>0</v>
      </c>
      <c r="BJ73" s="62">
        <f t="shared" si="92"/>
        <v>0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0.57271238927149037</v>
      </c>
      <c r="BR73" s="23">
        <f>EXP(-LN(2)/2)*BR72+(1-EXP(-LN(2)/2))/(LN(2)/2)*BL73*BO73*VLOOKUP('Données projet'!$B$11,Paramètres!$A$1:$I$89,3,0)*0.475*44/12</f>
        <v>3.2399144733887932E-6</v>
      </c>
      <c r="BS73" s="24">
        <f t="shared" si="63"/>
        <v>0.57271562918596375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439.06700232017681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2.929560996486579</v>
      </c>
      <c r="AB74" s="23">
        <f>EXP(-LN(2)/2)*AB73+(1-EXP(-LN(2)/2))/(LN(2)/2)*V74*Y74*VLOOKUP('Données projet'!$B$9,Paramètres!$A$1:$I$89,3,0)*0.475*44/12</f>
        <v>1.0054400212411848E-5</v>
      </c>
      <c r="AC74" s="24">
        <f t="shared" si="57"/>
        <v>2.9295710508867914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2.6</v>
      </c>
      <c r="AI74" s="14">
        <f>IF('Données projet'!$A$62&gt;35,AI73+AH74-AQ73,IF(A74&lt;'Données projet'!$A$62,$AF$205^A74,IF(A74='Données projet'!$A$62,'Données projet'!$B$62,AI73+AH74-AQ73)))</f>
        <v>155.60000000000028</v>
      </c>
      <c r="AJ74" s="14">
        <f>AI74*VLOOKUP('Données projet'!$B$10,Paramètres!$A$1:$I$89,3,0)*VLOOKUP('Données projet'!$B$10,Paramètres!$A$1:$I$89,5,0)</f>
        <v>135.93216000000027</v>
      </c>
      <c r="AK74" s="14">
        <f t="shared" si="89"/>
        <v>35.363527294509744</v>
      </c>
      <c r="AL74" s="22">
        <f t="shared" si="58"/>
        <v>298.33998870460488</v>
      </c>
      <c r="AM74" s="62">
        <f t="shared" si="59"/>
        <v>591.67332203793819</v>
      </c>
      <c r="AN74" s="62">
        <f ca="1">AVERAGE(OFFSET($AM$3,0,0,'Données projet'!$E$10+1,1))-AVERAGE(OFFSET($H$3,0,0,'Données projet'!$E$10+1,1))</f>
        <v>239.16843440041487</v>
      </c>
      <c r="AO74" s="62">
        <f t="shared" si="90"/>
        <v>241.82319822554194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1.3151538109887763E-5</v>
      </c>
      <c r="AX74" s="23">
        <f t="shared" si="60"/>
        <v>1.3151538109887763E-5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4.4337866711430253E-14</v>
      </c>
      <c r="BF74" s="14">
        <f t="shared" si="91"/>
        <v>7.3222115536967035E-13</v>
      </c>
      <c r="BG74" s="22">
        <f t="shared" si="61"/>
        <v>1.3525069634579169E-12</v>
      </c>
      <c r="BH74" s="62">
        <f t="shared" si="62"/>
        <v>293.33333333333468</v>
      </c>
      <c r="BI74" s="62">
        <f ca="1">AVERAGE(OFFSET($BH$3,0,0,'Données projet'!$E$11+1,1))-AVERAGE(OFFSET($H$3,0,0,'Données projet'!$E$11+1,1))</f>
        <v>0</v>
      </c>
      <c r="BJ74" s="62">
        <f t="shared" si="92"/>
        <v>0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0.55705153886922587</v>
      </c>
      <c r="BR74" s="23">
        <f>EXP(-LN(2)/2)*BR73+(1-EXP(-LN(2)/2))/(LN(2)/2)*BL74*BO74*VLOOKUP('Données projet'!$B$11,Paramètres!$A$1:$I$89,3,0)*0.475*44/12</f>
        <v>2.2909654945976577E-6</v>
      </c>
      <c r="BS74" s="24">
        <f t="shared" si="63"/>
        <v>0.55705382983472052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439.06700232017681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2.8494519969787362</v>
      </c>
      <c r="AB75" s="23">
        <f>EXP(-LN(2)/2)*AB74+(1-EXP(-LN(2)/2))/(LN(2)/2)*V75*Y75*VLOOKUP('Données projet'!$B$9,Paramètres!$A$1:$I$89,3,0)*0.475*44/12</f>
        <v>7.1095345709598816E-6</v>
      </c>
      <c r="AC75" s="24">
        <f t="shared" si="57"/>
        <v>2.849459106513307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2.6</v>
      </c>
      <c r="AI75" s="14">
        <f>IF('Données projet'!$A$62&gt;35,AI74+AH75-AQ74,IF(A75&lt;'Données projet'!$A$62,$AF$205^A75,IF(A75='Données projet'!$A$62,'Données projet'!$B$62,AI74+AH75-AQ74)))</f>
        <v>158.20000000000027</v>
      </c>
      <c r="AJ75" s="14">
        <f>AI75*VLOOKUP('Données projet'!$B$10,Paramètres!$A$1:$I$89,3,0)*VLOOKUP('Données projet'!$B$10,Paramètres!$A$1:$I$89,5,0)</f>
        <v>138.20352000000025</v>
      </c>
      <c r="AK75" s="14">
        <f t="shared" si="89"/>
        <v>35.885148322765353</v>
      </c>
      <c r="AL75" s="22">
        <f t="shared" si="58"/>
        <v>303.20443066215006</v>
      </c>
      <c r="AM75" s="62">
        <f t="shared" si="59"/>
        <v>596.53776399548337</v>
      </c>
      <c r="AN75" s="62">
        <f ca="1">AVERAGE(OFFSET($AM$3,0,0,'Données projet'!$E$10+1,1))-AVERAGE(OFFSET($H$3,0,0,'Données projet'!$E$10+1,1))</f>
        <v>239.16843440041487</v>
      </c>
      <c r="AO75" s="62">
        <f t="shared" si="90"/>
        <v>241.82319822554194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9.2995417805349471E-6</v>
      </c>
      <c r="AX75" s="23">
        <f t="shared" si="60"/>
        <v>9.2995417805349471E-6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4.4337866711430253E-14</v>
      </c>
      <c r="BF75" s="14">
        <f t="shared" si="91"/>
        <v>7.3222115536967035E-13</v>
      </c>
      <c r="BG75" s="22">
        <f t="shared" si="61"/>
        <v>1.3525069634579169E-12</v>
      </c>
      <c r="BH75" s="62">
        <f t="shared" si="62"/>
        <v>293.33333333333468</v>
      </c>
      <c r="BI75" s="62">
        <f ca="1">AVERAGE(OFFSET($BH$3,0,0,'Données projet'!$E$11+1,1))-AVERAGE(OFFSET($H$3,0,0,'Données projet'!$E$11+1,1))</f>
        <v>0</v>
      </c>
      <c r="BJ75" s="62">
        <f t="shared" si="92"/>
        <v>0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0.54181893524477964</v>
      </c>
      <c r="BR75" s="23">
        <f>EXP(-LN(2)/2)*BR74+(1-EXP(-LN(2)/2))/(LN(2)/2)*BL75*BO75*VLOOKUP('Données projet'!$B$11,Paramètres!$A$1:$I$89,3,0)*0.475*44/12</f>
        <v>1.6199572366943966E-6</v>
      </c>
      <c r="BS75" s="24">
        <f t="shared" si="63"/>
        <v>0.54182055520201633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439.06700232017681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2.7715335822751848</v>
      </c>
      <c r="AB76" s="23">
        <f>EXP(-LN(2)/2)*AB75+(1-EXP(-LN(2)/2))/(LN(2)/2)*V76*Y76*VLOOKUP('Données projet'!$B$9,Paramètres!$A$1:$I$89,3,0)*0.475*44/12</f>
        <v>5.027200106205924E-6</v>
      </c>
      <c r="AC76" s="24">
        <f t="shared" si="57"/>
        <v>2.7715386094752912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2.6</v>
      </c>
      <c r="AI76" s="14">
        <f>IF('Données projet'!$A$62&gt;35,AI75+AH76-AQ75,IF(A76&lt;'Données projet'!$A$62,$AF$205^A76,IF(A76='Données projet'!$A$62,'Données projet'!$B$62,AI75+AH76-AQ75)))</f>
        <v>160.80000000000027</v>
      </c>
      <c r="AJ76" s="14">
        <f>AI76*VLOOKUP('Données projet'!$B$10,Paramètres!$A$1:$I$89,3,0)*VLOOKUP('Données projet'!$B$10,Paramètres!$A$1:$I$89,5,0)</f>
        <v>140.47488000000024</v>
      </c>
      <c r="AK76" s="14">
        <f t="shared" si="89"/>
        <v>36.405772385199718</v>
      </c>
      <c r="AL76" s="22">
        <f t="shared" si="58"/>
        <v>308.06713623755655</v>
      </c>
      <c r="AM76" s="62">
        <f t="shared" si="59"/>
        <v>601.40046957088987</v>
      </c>
      <c r="AN76" s="62">
        <f ca="1">AVERAGE(OFFSET($AM$3,0,0,'Données projet'!$E$10+1,1))-AVERAGE(OFFSET($H$3,0,0,'Données projet'!$E$10+1,1))</f>
        <v>239.16843440041487</v>
      </c>
      <c r="AO76" s="62">
        <f t="shared" si="90"/>
        <v>241.82319822554194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6.5757690549438814E-6</v>
      </c>
      <c r="AX76" s="23">
        <f t="shared" si="60"/>
        <v>6.5757690549438814E-6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4.4337866711430253E-14</v>
      </c>
      <c r="BF76" s="14">
        <f t="shared" si="91"/>
        <v>7.3222115536967035E-13</v>
      </c>
      <c r="BG76" s="22">
        <f t="shared" si="61"/>
        <v>1.3525069634579169E-12</v>
      </c>
      <c r="BH76" s="62">
        <f t="shared" si="62"/>
        <v>293.33333333333468</v>
      </c>
      <c r="BI76" s="62">
        <f ca="1">AVERAGE(OFFSET($BH$3,0,0,'Données projet'!$E$11+1,1))-AVERAGE(OFFSET($H$3,0,0,'Données projet'!$E$11+1,1))</f>
        <v>0</v>
      </c>
      <c r="BJ76" s="62">
        <f t="shared" si="92"/>
        <v>0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0.52700286796749163</v>
      </c>
      <c r="BR76" s="23">
        <f>EXP(-LN(2)/2)*BR75+(1-EXP(-LN(2)/2))/(LN(2)/2)*BL76*BO76*VLOOKUP('Données projet'!$B$11,Paramètres!$A$1:$I$89,3,0)*0.475*44/12</f>
        <v>1.1454827472988289E-6</v>
      </c>
      <c r="BS76" s="24">
        <f t="shared" si="63"/>
        <v>0.52700401345023895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439.06700232017681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2.6957458507192533</v>
      </c>
      <c r="AB77" s="23">
        <f>EXP(-LN(2)/2)*AB76+(1-EXP(-LN(2)/2))/(LN(2)/2)*V77*Y77*VLOOKUP('Données projet'!$B$9,Paramètres!$A$1:$I$89,3,0)*0.475*44/12</f>
        <v>3.5547672854799408E-6</v>
      </c>
      <c r="AC77" s="24">
        <f t="shared" si="57"/>
        <v>2.6957494054865387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2.6</v>
      </c>
      <c r="AI77" s="14">
        <f>IF('Données projet'!$A$62&gt;35,AI76+AH77-AQ76,IF(A77&lt;'Données projet'!$A$62,$AF$205^A77,IF(A77='Données projet'!$A$62,'Données projet'!$B$62,AI76+AH77-AQ76)))</f>
        <v>163.40000000000026</v>
      </c>
      <c r="AJ77" s="14">
        <f>AI77*VLOOKUP('Données projet'!$B$10,Paramètres!$A$1:$I$89,3,0)*VLOOKUP('Données projet'!$B$10,Paramètres!$A$1:$I$89,5,0)</f>
        <v>142.74624000000026</v>
      </c>
      <c r="AK77" s="14">
        <f t="shared" si="89"/>
        <v>36.925417462939578</v>
      </c>
      <c r="AL77" s="22">
        <f t="shared" si="58"/>
        <v>312.92813674795354</v>
      </c>
      <c r="AM77" s="62">
        <f t="shared" si="59"/>
        <v>606.26147008128692</v>
      </c>
      <c r="AN77" s="62">
        <f ca="1">AVERAGE(OFFSET($AM$3,0,0,'Données projet'!$E$10+1,1))-AVERAGE(OFFSET($H$3,0,0,'Données projet'!$E$10+1,1))</f>
        <v>239.16843440041487</v>
      </c>
      <c r="AO77" s="62">
        <f t="shared" si="90"/>
        <v>241.82319822554194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4.6497708902674735E-6</v>
      </c>
      <c r="AX77" s="23">
        <f t="shared" si="60"/>
        <v>4.6497708902674735E-6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4.4337866711430253E-14</v>
      </c>
      <c r="BF77" s="14">
        <f t="shared" si="91"/>
        <v>7.3222115536967035E-13</v>
      </c>
      <c r="BG77" s="22">
        <f t="shared" si="61"/>
        <v>1.3525069634579169E-12</v>
      </c>
      <c r="BH77" s="62">
        <f t="shared" si="62"/>
        <v>293.33333333333468</v>
      </c>
      <c r="BI77" s="62">
        <f ca="1">AVERAGE(OFFSET($BH$3,0,0,'Données projet'!$E$11+1,1))-AVERAGE(OFFSET($H$3,0,0,'Données projet'!$E$11+1,1))</f>
        <v>0</v>
      </c>
      <c r="BJ77" s="62">
        <f t="shared" si="92"/>
        <v>0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0.51259194682904419</v>
      </c>
      <c r="BR77" s="23">
        <f>EXP(-LN(2)/2)*BR76+(1-EXP(-LN(2)/2))/(LN(2)/2)*BL77*BO77*VLOOKUP('Données projet'!$B$11,Paramètres!$A$1:$I$89,3,0)*0.475*44/12</f>
        <v>8.099786183471983E-7</v>
      </c>
      <c r="BS77" s="24">
        <f t="shared" si="63"/>
        <v>0.51259275680766259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439.06700232017681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2.6220305386682221</v>
      </c>
      <c r="AB78" s="23">
        <f>EXP(-LN(2)/2)*AB77+(1-EXP(-LN(2)/2))/(LN(2)/2)*V78*Y78*VLOOKUP('Données projet'!$B$9,Paramètres!$A$1:$I$89,3,0)*0.475*44/12</f>
        <v>2.513600053102962E-6</v>
      </c>
      <c r="AC78" s="24">
        <f t="shared" si="57"/>
        <v>2.6220330522682751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166</v>
      </c>
      <c r="AG78" s="13">
        <f>VLOOKUP(A78,'Données projet'!$A$61:$I$81,9,0)</f>
        <v>2.6</v>
      </c>
      <c r="AH78" s="13">
        <f t="array" ref="AH78">INDEX(AG:AG,MIN(IF(ISNUMBER(AG78:AG274),ROW(AG78:AG274),"")))</f>
        <v>2.6</v>
      </c>
      <c r="AI78" s="14">
        <f>IF('Données projet'!$A$62&gt;35,AI77+AH78-AQ77,IF(A78&lt;'Données projet'!$A$62,$AF$205^A78,IF(A78='Données projet'!$A$62,'Données projet'!$B$62,AI77+AH78-AQ77)))</f>
        <v>166.00000000000026</v>
      </c>
      <c r="AJ78" s="14">
        <f>AI78*VLOOKUP('Données projet'!$B$10,Paramètres!$A$1:$I$89,3,0)*VLOOKUP('Données projet'!$B$10,Paramètres!$A$1:$I$89,5,0)</f>
        <v>145.01760000000024</v>
      </c>
      <c r="AK78" s="14">
        <f t="shared" si="89"/>
        <v>37.444100932065297</v>
      </c>
      <c r="AL78" s="22">
        <f t="shared" si="58"/>
        <v>317.78746245668077</v>
      </c>
      <c r="AM78" s="62">
        <f t="shared" si="59"/>
        <v>611.12079579001409</v>
      </c>
      <c r="AN78" s="62">
        <f ca="1">AVERAGE(OFFSET($AM$3,0,0,'Données projet'!$E$10+1,1))-AVERAGE(OFFSET($H$3,0,0,'Données projet'!$E$10+1,1))</f>
        <v>239.16843440041487</v>
      </c>
      <c r="AO78" s="62">
        <f t="shared" si="90"/>
        <v>241.82319822554194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9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3.2878845274719407E-6</v>
      </c>
      <c r="AX78" s="23">
        <f t="shared" si="60"/>
        <v>3.2878845274719407E-6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4.4337866711430253E-14</v>
      </c>
      <c r="BF78" s="14">
        <f t="shared" si="91"/>
        <v>7.3222115536967035E-13</v>
      </c>
      <c r="BG78" s="22">
        <f t="shared" si="61"/>
        <v>1.3525069634579169E-12</v>
      </c>
      <c r="BH78" s="62">
        <f t="shared" si="62"/>
        <v>293.33333333333468</v>
      </c>
      <c r="BI78" s="62">
        <f ca="1">AVERAGE(OFFSET($BH$3,0,0,'Données projet'!$E$11+1,1))-AVERAGE(OFFSET($H$3,0,0,'Données projet'!$E$11+1,1))</f>
        <v>0</v>
      </c>
      <c r="BJ78" s="62">
        <f t="shared" si="92"/>
        <v>0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0.49857509308696502</v>
      </c>
      <c r="BR78" s="23">
        <f>EXP(-LN(2)/2)*BR77+(1-EXP(-LN(2)/2))/(LN(2)/2)*BL78*BO78*VLOOKUP('Données projet'!$B$11,Paramètres!$A$1:$I$89,3,0)*0.475*44/12</f>
        <v>5.7274137364941443E-7</v>
      </c>
      <c r="BS78" s="24">
        <f t="shared" si="63"/>
        <v>0.49857566582833868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439.06700232017681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2.5503309757017463</v>
      </c>
      <c r="AB79" s="23">
        <f>EXP(-LN(2)/2)*AB78+(1-EXP(-LN(2)/2))/(LN(2)/2)*V79*Y79*VLOOKUP('Données projet'!$B$9,Paramètres!$A$1:$I$89,3,0)*0.475*44/12</f>
        <v>1.7773836427399704E-6</v>
      </c>
      <c r="AC79" s="24">
        <f t="shared" si="57"/>
        <v>2.5503327530853892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2.2000000000000002</v>
      </c>
      <c r="AI79" s="14">
        <f>IF('Données projet'!$A$62&gt;35,AI78+AH79-AQ78,IF(A79&lt;'Données projet'!$A$62,$AF$205^A79,IF(A79='Données projet'!$A$62,'Données projet'!$B$62,AI78+AH79-AQ78)))</f>
        <v>159.20000000000024</v>
      </c>
      <c r="AJ79" s="14">
        <f>AI79*VLOOKUP('Données projet'!$B$10,Paramètres!$A$1:$I$89,3,0)*VLOOKUP('Données projet'!$B$10,Paramètres!$A$1:$I$89,5,0)</f>
        <v>139.07712000000024</v>
      </c>
      <c r="AK79" s="14">
        <f t="shared" si="89"/>
        <v>36.085505335071055</v>
      </c>
      <c r="AL79" s="22">
        <f t="shared" si="58"/>
        <v>305.0749057919158</v>
      </c>
      <c r="AM79" s="62">
        <f t="shared" si="59"/>
        <v>598.40823912524911</v>
      </c>
      <c r="AN79" s="62">
        <f ca="1">AVERAGE(OFFSET($AM$3,0,0,'Données projet'!$E$10+1,1))-AVERAGE(OFFSET($H$3,0,0,'Données projet'!$E$10+1,1))</f>
        <v>239.16843440041487</v>
      </c>
      <c r="AO79" s="62">
        <f t="shared" si="90"/>
        <v>241.82319822554194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2.3248854451337368E-6</v>
      </c>
      <c r="AX79" s="23">
        <f t="shared" si="60"/>
        <v>2.3248854451337368E-6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4.4337866711430253E-14</v>
      </c>
      <c r="BF79" s="14">
        <f t="shared" si="91"/>
        <v>7.3222115536967035E-13</v>
      </c>
      <c r="BG79" s="22">
        <f t="shared" si="61"/>
        <v>1.3525069634579169E-12</v>
      </c>
      <c r="BH79" s="62">
        <f t="shared" si="62"/>
        <v>293.33333333333468</v>
      </c>
      <c r="BI79" s="62">
        <f ca="1">AVERAGE(OFFSET($BH$3,0,0,'Données projet'!$E$11+1,1))-AVERAGE(OFFSET($H$3,0,0,'Données projet'!$E$11+1,1))</f>
        <v>0</v>
      </c>
      <c r="BJ79" s="62">
        <f t="shared" si="92"/>
        <v>0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0.4849415309475773</v>
      </c>
      <c r="BR79" s="23">
        <f>EXP(-LN(2)/2)*BR78+(1-EXP(-LN(2)/2))/(LN(2)/2)*BL79*BO79*VLOOKUP('Données projet'!$B$11,Paramètres!$A$1:$I$89,3,0)*0.475*44/12</f>
        <v>4.0498930917359915E-7</v>
      </c>
      <c r="BS79" s="24">
        <f t="shared" si="63"/>
        <v>0.4849419359368865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439.06700232017681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2.4805920410551048</v>
      </c>
      <c r="AB80" s="23">
        <f>EXP(-LN(2)/2)*AB79+(1-EXP(-LN(2)/2))/(LN(2)/2)*V80*Y80*VLOOKUP('Données projet'!$B$9,Paramètres!$A$1:$I$89,3,0)*0.475*44/12</f>
        <v>1.256800026551481E-6</v>
      </c>
      <c r="AC80" s="24">
        <f t="shared" si="57"/>
        <v>2.4805932978551315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2.2000000000000002</v>
      </c>
      <c r="AI80" s="14">
        <f>IF('Données projet'!$A$62&gt;35,AI79+AH80-AQ79,IF(A80&lt;'Données projet'!$A$62,$AF$205^A80,IF(A80='Données projet'!$A$62,'Données projet'!$B$62,AI79+AH80-AQ79)))</f>
        <v>161.40000000000023</v>
      </c>
      <c r="AJ80" s="14">
        <f>AI80*VLOOKUP('Données projet'!$B$10,Paramètres!$A$1:$I$89,3,0)*VLOOKUP('Données projet'!$B$10,Paramètres!$A$1:$I$89,5,0)</f>
        <v>140.99904000000024</v>
      </c>
      <c r="AK80" s="14">
        <f t="shared" si="89"/>
        <v>36.525776729948888</v>
      </c>
      <c r="AL80" s="22">
        <f t="shared" si="58"/>
        <v>309.18905580466139</v>
      </c>
      <c r="AM80" s="62">
        <f t="shared" si="59"/>
        <v>602.52238913799465</v>
      </c>
      <c r="AN80" s="62">
        <f ca="1">AVERAGE(OFFSET($AM$3,0,0,'Données projet'!$E$10+1,1))-AVERAGE(OFFSET($H$3,0,0,'Données projet'!$E$10+1,1))</f>
        <v>239.16843440041487</v>
      </c>
      <c r="AO80" s="62">
        <f t="shared" si="90"/>
        <v>241.82319822554194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1.6439422637359704E-6</v>
      </c>
      <c r="AX80" s="23">
        <f t="shared" si="60"/>
        <v>1.6439422637359704E-6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4.4337866711430253E-14</v>
      </c>
      <c r="BF80" s="14">
        <f t="shared" si="91"/>
        <v>7.3222115536967035E-13</v>
      </c>
      <c r="BG80" s="22">
        <f t="shared" si="61"/>
        <v>1.3525069634579169E-12</v>
      </c>
      <c r="BH80" s="62">
        <f t="shared" si="62"/>
        <v>293.33333333333468</v>
      </c>
      <c r="BI80" s="62">
        <f ca="1">AVERAGE(OFFSET($BH$3,0,0,'Données projet'!$E$11+1,1))-AVERAGE(OFFSET($H$3,0,0,'Données projet'!$E$11+1,1))</f>
        <v>0</v>
      </c>
      <c r="BJ80" s="62">
        <f t="shared" si="92"/>
        <v>0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0.47168077928184904</v>
      </c>
      <c r="BR80" s="23">
        <f>EXP(-LN(2)/2)*BR79+(1-EXP(-LN(2)/2))/(LN(2)/2)*BL80*BO80*VLOOKUP('Données projet'!$B$11,Paramètres!$A$1:$I$89,3,0)*0.475*44/12</f>
        <v>2.8637068682470721E-7</v>
      </c>
      <c r="BS80" s="24">
        <f t="shared" si="63"/>
        <v>0.47168106565253587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439.06700232017681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2.412760121243787</v>
      </c>
      <c r="AB81" s="23">
        <f>EXP(-LN(2)/2)*AB80+(1-EXP(-LN(2)/2))/(LN(2)/2)*V81*Y81*VLOOKUP('Données projet'!$B$9,Paramètres!$A$1:$I$89,3,0)*0.475*44/12</f>
        <v>8.886918213699852E-7</v>
      </c>
      <c r="AC81" s="24">
        <f t="shared" si="57"/>
        <v>2.4127610099356085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2.2000000000000002</v>
      </c>
      <c r="AI81" s="14">
        <f>IF('Données projet'!$A$62&gt;35,AI80+AH81-AQ80,IF(A81&lt;'Données projet'!$A$62,$AF$205^A81,IF(A81='Données projet'!$A$62,'Données projet'!$B$62,AI80+AH81-AQ80)))</f>
        <v>163.60000000000022</v>
      </c>
      <c r="AJ81" s="14">
        <f>AI81*VLOOKUP('Données projet'!$B$10,Paramètres!$A$1:$I$89,3,0)*VLOOKUP('Données projet'!$B$10,Paramètres!$A$1:$I$89,5,0)</f>
        <v>142.92096000000021</v>
      </c>
      <c r="AK81" s="14">
        <f t="shared" si="89"/>
        <v>36.96535011371369</v>
      </c>
      <c r="AL81" s="22">
        <f t="shared" si="58"/>
        <v>313.30199011471836</v>
      </c>
      <c r="AM81" s="62">
        <f t="shared" si="59"/>
        <v>606.63532344805162</v>
      </c>
      <c r="AN81" s="62">
        <f ca="1">AVERAGE(OFFSET($AM$3,0,0,'Données projet'!$E$10+1,1))-AVERAGE(OFFSET($H$3,0,0,'Données projet'!$E$10+1,1))</f>
        <v>239.16843440041487</v>
      </c>
      <c r="AO81" s="62">
        <f t="shared" si="90"/>
        <v>241.82319822554194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1.1624427225668684E-6</v>
      </c>
      <c r="AX81" s="23">
        <f t="shared" si="60"/>
        <v>1.1624427225668684E-6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4.4337866711430253E-14</v>
      </c>
      <c r="BF81" s="14">
        <f t="shared" si="91"/>
        <v>7.3222115536967035E-13</v>
      </c>
      <c r="BG81" s="22">
        <f t="shared" si="61"/>
        <v>1.3525069634579169E-12</v>
      </c>
      <c r="BH81" s="62">
        <f t="shared" si="62"/>
        <v>293.33333333333468</v>
      </c>
      <c r="BI81" s="62">
        <f ca="1">AVERAGE(OFFSET($BH$3,0,0,'Données projet'!$E$11+1,1))-AVERAGE(OFFSET($H$3,0,0,'Données projet'!$E$11+1,1))</f>
        <v>0</v>
      </c>
      <c r="BJ81" s="62">
        <f t="shared" si="92"/>
        <v>0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0.45878264356777271</v>
      </c>
      <c r="BR81" s="23">
        <f>EXP(-LN(2)/2)*BR80+(1-EXP(-LN(2)/2))/(LN(2)/2)*BL81*BO81*VLOOKUP('Données projet'!$B$11,Paramètres!$A$1:$I$89,3,0)*0.475*44/12</f>
        <v>2.0249465458679957E-7</v>
      </c>
      <c r="BS81" s="24">
        <f t="shared" si="63"/>
        <v>0.45878284606242731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439.06700232017681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2.3467830688468352</v>
      </c>
      <c r="AB82" s="23">
        <f>EXP(-LN(2)/2)*AB81+(1-EXP(-LN(2)/2))/(LN(2)/2)*V82*Y82*VLOOKUP('Données projet'!$B$9,Paramètres!$A$1:$I$89,3,0)*0.475*44/12</f>
        <v>6.2840001327574049E-7</v>
      </c>
      <c r="AC82" s="24">
        <f t="shared" si="57"/>
        <v>2.3467836972468485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2.2000000000000002</v>
      </c>
      <c r="AI82" s="14">
        <f>IF('Données projet'!$A$62&gt;35,AI81+AH82-AQ81,IF(A82&lt;'Données projet'!$A$62,$AF$205^A82,IF(A82='Données projet'!$A$62,'Données projet'!$B$62,AI81+AH82-AQ81)))</f>
        <v>165.80000000000021</v>
      </c>
      <c r="AJ82" s="14">
        <f>AI82*VLOOKUP('Données projet'!$B$10,Paramètres!$A$1:$I$89,3,0)*VLOOKUP('Données projet'!$B$10,Paramètres!$A$1:$I$89,5,0)</f>
        <v>144.84288000000021</v>
      </c>
      <c r="AK82" s="14">
        <f t="shared" si="89"/>
        <v>37.404235957844634</v>
      </c>
      <c r="AL82" s="22">
        <f t="shared" si="58"/>
        <v>317.41372695991305</v>
      </c>
      <c r="AM82" s="62">
        <f t="shared" si="59"/>
        <v>610.74706029324636</v>
      </c>
      <c r="AN82" s="62">
        <f ca="1">AVERAGE(OFFSET($AM$3,0,0,'Données projet'!$E$10+1,1))-AVERAGE(OFFSET($H$3,0,0,'Données projet'!$E$10+1,1))</f>
        <v>239.16843440041487</v>
      </c>
      <c r="AO82" s="62">
        <f t="shared" si="90"/>
        <v>241.82319822554194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8.2197113186798518E-7</v>
      </c>
      <c r="AX82" s="23">
        <f t="shared" si="60"/>
        <v>8.2197113186798518E-7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4.4337866711430253E-14</v>
      </c>
      <c r="BF82" s="14">
        <f t="shared" si="91"/>
        <v>7.3222115536967035E-13</v>
      </c>
      <c r="BG82" s="22">
        <f t="shared" si="61"/>
        <v>1.3525069634579169E-12</v>
      </c>
      <c r="BH82" s="62">
        <f t="shared" si="62"/>
        <v>293.33333333333468</v>
      </c>
      <c r="BI82" s="62">
        <f ca="1">AVERAGE(OFFSET($BH$3,0,0,'Données projet'!$E$11+1,1))-AVERAGE(OFFSET($H$3,0,0,'Données projet'!$E$11+1,1))</f>
        <v>0</v>
      </c>
      <c r="BJ82" s="62">
        <f t="shared" si="92"/>
        <v>0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0.44623720805308131</v>
      </c>
      <c r="BR82" s="23">
        <f>EXP(-LN(2)/2)*BR81+(1-EXP(-LN(2)/2))/(LN(2)/2)*BL82*BO82*VLOOKUP('Données projet'!$B$11,Paramètres!$A$1:$I$89,3,0)*0.475*44/12</f>
        <v>1.4318534341235361E-7</v>
      </c>
      <c r="BS82" s="24">
        <f t="shared" si="63"/>
        <v>0.44623735123842473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439.06700232017681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2.2826101624172606</v>
      </c>
      <c r="AB83" s="23">
        <f>EXP(-LN(2)/2)*AB82+(1-EXP(-LN(2)/2))/(LN(2)/2)*V83*Y83*VLOOKUP('Données projet'!$B$9,Paramètres!$A$1:$I$89,3,0)*0.475*44/12</f>
        <v>4.443459106849926E-7</v>
      </c>
      <c r="AC83" s="24">
        <f t="shared" si="57"/>
        <v>2.2826106067631713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168</v>
      </c>
      <c r="AG83" s="13">
        <f>VLOOKUP(A83,'Données projet'!$A$61:$I$81,9,0)</f>
        <v>2.2000000000000002</v>
      </c>
      <c r="AH83" s="13">
        <f t="array" ref="AH83">INDEX(AG:AG,MIN(IF(ISNUMBER(AG83:AG279),ROW(AG83:AG279),"")))</f>
        <v>2.2000000000000002</v>
      </c>
      <c r="AI83" s="14">
        <f>IF('Données projet'!$A$62&gt;35,AI82+AH83-AQ82,IF(A83&lt;'Données projet'!$A$62,$AF$205^A83,IF(A83='Données projet'!$A$62,'Données projet'!$B$62,AI82+AH83-AQ82)))</f>
        <v>168.0000000000002</v>
      </c>
      <c r="AJ83" s="14">
        <f>AI83*VLOOKUP('Données projet'!$B$10,Paramètres!$A$1:$I$89,3,0)*VLOOKUP('Données projet'!$B$10,Paramètres!$A$1:$I$89,5,0)</f>
        <v>146.76480000000021</v>
      </c>
      <c r="AK83" s="14">
        <f t="shared" si="89"/>
        <v>37.842444439956701</v>
      </c>
      <c r="AL83" s="22">
        <f t="shared" si="58"/>
        <v>321.52428406625825</v>
      </c>
      <c r="AM83" s="62">
        <f t="shared" si="59"/>
        <v>614.85761739959162</v>
      </c>
      <c r="AN83" s="62">
        <f ca="1">AVERAGE(OFFSET($AM$3,0,0,'Données projet'!$E$10+1,1))-AVERAGE(OFFSET($H$3,0,0,'Données projet'!$E$10+1,1))</f>
        <v>239.16843440041487</v>
      </c>
      <c r="AO83" s="62">
        <f t="shared" si="90"/>
        <v>241.82319822554194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5.8122136128343419E-7</v>
      </c>
      <c r="AX83" s="23">
        <f t="shared" si="60"/>
        <v>5.8122136128343419E-7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4.4337866711430253E-14</v>
      </c>
      <c r="BF83" s="14">
        <f t="shared" si="91"/>
        <v>7.3222115536967035E-13</v>
      </c>
      <c r="BG83" s="22">
        <f t="shared" si="61"/>
        <v>1.3525069634579169E-12</v>
      </c>
      <c r="BH83" s="62">
        <f t="shared" si="62"/>
        <v>293.33333333333468</v>
      </c>
      <c r="BI83" s="62">
        <f ca="1">AVERAGE(OFFSET($BH$3,0,0,'Données projet'!$E$11+1,1))-AVERAGE(OFFSET($H$3,0,0,'Données projet'!$E$11+1,1))</f>
        <v>0</v>
      </c>
      <c r="BJ83" s="62">
        <f t="shared" si="92"/>
        <v>0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0.4340348281322749</v>
      </c>
      <c r="BR83" s="23">
        <f>EXP(-LN(2)/2)*BR82+(1-EXP(-LN(2)/2))/(LN(2)/2)*BL83*BO83*VLOOKUP('Données projet'!$B$11,Paramètres!$A$1:$I$89,3,0)*0.475*44/12</f>
        <v>1.0124732729339979E-7</v>
      </c>
      <c r="BS83" s="24">
        <f t="shared" si="63"/>
        <v>0.4340349293796022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439.06700232017681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2.2201920674887092</v>
      </c>
      <c r="AB84" s="23">
        <f>EXP(-LN(2)/2)*AB83+(1-EXP(-LN(2)/2))/(LN(2)/2)*V84*Y84*VLOOKUP('Données projet'!$B$9,Paramètres!$A$1:$I$89,3,0)*0.475*44/12</f>
        <v>3.1420000663787025E-7</v>
      </c>
      <c r="AC84" s="24">
        <f t="shared" si="57"/>
        <v>2.2201923816887157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</v>
      </c>
      <c r="AI84" s="14">
        <f>IF('Données projet'!$A$62&gt;35,AI83+AH84-AQ83,IF(A84&lt;'Données projet'!$A$62,$AF$205^A84,IF(A84='Données projet'!$A$62,'Données projet'!$B$62,AI83+AH84-AQ83)))</f>
        <v>162.0000000000002</v>
      </c>
      <c r="AJ84" s="14">
        <f>AI84*VLOOKUP('Données projet'!$B$10,Paramètres!$A$1:$I$89,3,0)*VLOOKUP('Données projet'!$B$10,Paramètres!$A$1:$I$89,5,0)</f>
        <v>141.5232000000002</v>
      </c>
      <c r="AK84" s="14">
        <f t="shared" si="89"/>
        <v>36.645729158274222</v>
      </c>
      <c r="AL84" s="22">
        <f t="shared" si="58"/>
        <v>310.31088495066126</v>
      </c>
      <c r="AM84" s="62">
        <f t="shared" si="59"/>
        <v>603.64421828399463</v>
      </c>
      <c r="AN84" s="62">
        <f ca="1">AVERAGE(OFFSET($AM$3,0,0,'Données projet'!$E$10+1,1))-AVERAGE(OFFSET($H$3,0,0,'Données projet'!$E$10+1,1))</f>
        <v>239.16843440041487</v>
      </c>
      <c r="AO84" s="62">
        <f t="shared" si="90"/>
        <v>241.82319822554194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4.1098556593399259E-7</v>
      </c>
      <c r="AX84" s="23">
        <f t="shared" si="60"/>
        <v>4.1098556593399259E-7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4.4337866711430253E-14</v>
      </c>
      <c r="BF84" s="14">
        <f t="shared" si="91"/>
        <v>7.3222115536967035E-13</v>
      </c>
      <c r="BG84" s="22">
        <f t="shared" si="61"/>
        <v>1.3525069634579169E-12</v>
      </c>
      <c r="BH84" s="62">
        <f t="shared" si="62"/>
        <v>293.33333333333468</v>
      </c>
      <c r="BI84" s="62">
        <f ca="1">AVERAGE(OFFSET($BH$3,0,0,'Données projet'!$E$11+1,1))-AVERAGE(OFFSET($H$3,0,0,'Données projet'!$E$11+1,1))</f>
        <v>0</v>
      </c>
      <c r="BJ84" s="62">
        <f t="shared" si="92"/>
        <v>0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0.42216612293209821</v>
      </c>
      <c r="BR84" s="23">
        <f>EXP(-LN(2)/2)*BR83+(1-EXP(-LN(2)/2))/(LN(2)/2)*BL84*BO84*VLOOKUP('Données projet'!$B$11,Paramètres!$A$1:$I$89,3,0)*0.475*44/12</f>
        <v>7.1592671706176803E-8</v>
      </c>
      <c r="BS84" s="24">
        <f t="shared" si="63"/>
        <v>0.42216619452476989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439.06700232017681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2.1594807986484041</v>
      </c>
      <c r="AB85" s="23">
        <f>EXP(-LN(2)/2)*AB84+(1-EXP(-LN(2)/2))/(LN(2)/2)*V85*Y85*VLOOKUP('Données projet'!$B$9,Paramètres!$A$1:$I$89,3,0)*0.475*44/12</f>
        <v>2.221729553424963E-7</v>
      </c>
      <c r="AC85" s="24">
        <f t="shared" si="57"/>
        <v>2.1594810208213593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</v>
      </c>
      <c r="AI85" s="14">
        <f>IF('Données projet'!$A$62&gt;35,AI84+AH85-AQ84,IF(A85&lt;'Données projet'!$A$62,$AF$205^A85,IF(A85='Données projet'!$A$62,'Données projet'!$B$62,AI84+AH85-AQ84)))</f>
        <v>164.0000000000002</v>
      </c>
      <c r="AJ85" s="14">
        <f>AI85*VLOOKUP('Données projet'!$B$10,Paramètres!$A$1:$I$89,3,0)*VLOOKUP('Données projet'!$B$10,Paramètres!$A$1:$I$89,5,0)</f>
        <v>143.27040000000019</v>
      </c>
      <c r="AK85" s="14">
        <f t="shared" si="89"/>
        <v>37.045198377171367</v>
      </c>
      <c r="AL85" s="22">
        <f t="shared" si="58"/>
        <v>314.04966717357382</v>
      </c>
      <c r="AM85" s="62">
        <f t="shared" si="59"/>
        <v>607.38300050690714</v>
      </c>
      <c r="AN85" s="62">
        <f ca="1">AVERAGE(OFFSET($AM$3,0,0,'Données projet'!$E$10+1,1))-AVERAGE(OFFSET($H$3,0,0,'Données projet'!$E$10+1,1))</f>
        <v>239.16843440041487</v>
      </c>
      <c r="AO85" s="62">
        <f t="shared" si="90"/>
        <v>241.82319822554194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2.906106806417171E-7</v>
      </c>
      <c r="AX85" s="23">
        <f t="shared" si="60"/>
        <v>2.906106806417171E-7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4.4337866711430253E-14</v>
      </c>
      <c r="BF85" s="14">
        <f t="shared" si="91"/>
        <v>7.3222115536967035E-13</v>
      </c>
      <c r="BG85" s="22">
        <f t="shared" si="61"/>
        <v>1.3525069634579169E-12</v>
      </c>
      <c r="BH85" s="62">
        <f t="shared" si="62"/>
        <v>293.33333333333468</v>
      </c>
      <c r="BI85" s="62">
        <f ca="1">AVERAGE(OFFSET($BH$3,0,0,'Données projet'!$E$11+1,1))-AVERAGE(OFFSET($H$3,0,0,'Données projet'!$E$11+1,1))</f>
        <v>0</v>
      </c>
      <c r="BJ85" s="62">
        <f t="shared" si="92"/>
        <v>0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0.41062196809976848</v>
      </c>
      <c r="BR85" s="23">
        <f>EXP(-LN(2)/2)*BR84+(1-EXP(-LN(2)/2))/(LN(2)/2)*BL85*BO85*VLOOKUP('Données projet'!$B$11,Paramètres!$A$1:$I$89,3,0)*0.475*44/12</f>
        <v>5.0623663646699893E-8</v>
      </c>
      <c r="BS85" s="24">
        <f t="shared" si="63"/>
        <v>0.41062201872343213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439.06700232017681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2.1004296826472038</v>
      </c>
      <c r="AB86" s="23">
        <f>EXP(-LN(2)/2)*AB85+(1-EXP(-LN(2)/2))/(LN(2)/2)*V86*Y86*VLOOKUP('Données projet'!$B$9,Paramètres!$A$1:$I$89,3,0)*0.475*44/12</f>
        <v>1.5710000331893512E-7</v>
      </c>
      <c r="AC86" s="24">
        <f t="shared" si="57"/>
        <v>2.100429839747207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</v>
      </c>
      <c r="AI86" s="14">
        <f>IF('Données projet'!$A$62&gt;35,AI85+AH86-AQ85,IF(A86&lt;'Données projet'!$A$62,$AF$205^A86,IF(A86='Données projet'!$A$62,'Données projet'!$B$62,AI85+AH86-AQ85)))</f>
        <v>166.0000000000002</v>
      </c>
      <c r="AJ86" s="14">
        <f>AI86*VLOOKUP('Données projet'!$B$10,Paramètres!$A$1:$I$89,3,0)*VLOOKUP('Données projet'!$B$10,Paramètres!$A$1:$I$89,5,0)</f>
        <v>145.01760000000019</v>
      </c>
      <c r="AK86" s="14">
        <f t="shared" si="89"/>
        <v>37.444100932065268</v>
      </c>
      <c r="AL86" s="22">
        <f t="shared" si="58"/>
        <v>317.78746245668066</v>
      </c>
      <c r="AM86" s="62">
        <f t="shared" si="59"/>
        <v>611.12079579001397</v>
      </c>
      <c r="AN86" s="62">
        <f ca="1">AVERAGE(OFFSET($AM$3,0,0,'Données projet'!$E$10+1,1))-AVERAGE(OFFSET($H$3,0,0,'Données projet'!$E$10+1,1))</f>
        <v>239.16843440041487</v>
      </c>
      <c r="AO86" s="62">
        <f t="shared" si="90"/>
        <v>241.82319822554194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2.0549278296699629E-7</v>
      </c>
      <c r="AX86" s="23">
        <f t="shared" si="60"/>
        <v>2.0549278296699629E-7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4.4337866711430253E-14</v>
      </c>
      <c r="BF86" s="14">
        <f t="shared" si="91"/>
        <v>7.3222115536967035E-13</v>
      </c>
      <c r="BG86" s="22">
        <f t="shared" si="61"/>
        <v>1.3525069634579169E-12</v>
      </c>
      <c r="BH86" s="62">
        <f t="shared" si="62"/>
        <v>293.33333333333468</v>
      </c>
      <c r="BI86" s="62">
        <f ca="1">AVERAGE(OFFSET($BH$3,0,0,'Données projet'!$E$11+1,1))-AVERAGE(OFFSET($H$3,0,0,'Données projet'!$E$11+1,1))</f>
        <v>0</v>
      </c>
      <c r="BJ86" s="62">
        <f t="shared" si="92"/>
        <v>0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0.39939348878840947</v>
      </c>
      <c r="BR86" s="23">
        <f>EXP(-LN(2)/2)*BR85+(1-EXP(-LN(2)/2))/(LN(2)/2)*BL86*BO86*VLOOKUP('Données projet'!$B$11,Paramètres!$A$1:$I$89,3,0)*0.475*44/12</f>
        <v>3.5796335853088402E-8</v>
      </c>
      <c r="BS86" s="24">
        <f t="shared" si="63"/>
        <v>0.39939352458474531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439.06700232017681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2.0429933225184196</v>
      </c>
      <c r="AB87" s="23">
        <f>EXP(-LN(2)/2)*AB86+(1-EXP(-LN(2)/2))/(LN(2)/2)*V87*Y87*VLOOKUP('Données projet'!$B$9,Paramètres!$A$1:$I$89,3,0)*0.475*44/12</f>
        <v>1.1108647767124815E-7</v>
      </c>
      <c r="AC87" s="24">
        <f t="shared" si="57"/>
        <v>2.0429934336048974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</v>
      </c>
      <c r="AI87" s="14">
        <f>IF('Données projet'!$A$62&gt;35,AI86+AH87-AQ86,IF(A87&lt;'Données projet'!$A$62,$AF$205^A87,IF(A87='Données projet'!$A$62,'Données projet'!$B$62,AI86+AH87-AQ86)))</f>
        <v>168.0000000000002</v>
      </c>
      <c r="AJ87" s="14">
        <f>AI87*VLOOKUP('Données projet'!$B$10,Paramètres!$A$1:$I$89,3,0)*VLOOKUP('Données projet'!$B$10,Paramètres!$A$1:$I$89,5,0)</f>
        <v>146.76480000000021</v>
      </c>
      <c r="AK87" s="14">
        <f t="shared" si="89"/>
        <v>37.842444439956701</v>
      </c>
      <c r="AL87" s="22">
        <f t="shared" si="58"/>
        <v>321.52428406625825</v>
      </c>
      <c r="AM87" s="62">
        <f t="shared" si="59"/>
        <v>614.85761739959162</v>
      </c>
      <c r="AN87" s="62">
        <f ca="1">AVERAGE(OFFSET($AM$3,0,0,'Données projet'!$E$10+1,1))-AVERAGE(OFFSET($H$3,0,0,'Données projet'!$E$10+1,1))</f>
        <v>239.16843440041487</v>
      </c>
      <c r="AO87" s="62">
        <f t="shared" si="90"/>
        <v>241.82319822554194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1.4530534032085855E-7</v>
      </c>
      <c r="AX87" s="23">
        <f t="shared" si="60"/>
        <v>1.4530534032085855E-7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4.4337866711430253E-14</v>
      </c>
      <c r="BF87" s="14">
        <f t="shared" si="91"/>
        <v>7.3222115536967035E-13</v>
      </c>
      <c r="BG87" s="22">
        <f t="shared" si="61"/>
        <v>1.3525069634579169E-12</v>
      </c>
      <c r="BH87" s="62">
        <f t="shared" si="62"/>
        <v>293.33333333333468</v>
      </c>
      <c r="BI87" s="62">
        <f ca="1">AVERAGE(OFFSET($BH$3,0,0,'Données projet'!$E$11+1,1))-AVERAGE(OFFSET($H$3,0,0,'Données projet'!$E$11+1,1))</f>
        <v>0</v>
      </c>
      <c r="BJ87" s="62">
        <f t="shared" si="92"/>
        <v>0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0.38847205283429964</v>
      </c>
      <c r="BR87" s="23">
        <f>EXP(-LN(2)/2)*BR86+(1-EXP(-LN(2)/2))/(LN(2)/2)*BL87*BO87*VLOOKUP('Données projet'!$B$11,Paramètres!$A$1:$I$89,3,0)*0.475*44/12</f>
        <v>2.5311831823349947E-8</v>
      </c>
      <c r="BS87" s="24">
        <f t="shared" si="63"/>
        <v>0.38847207814613144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439.06700232017681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1.987127562677804</v>
      </c>
      <c r="AB88" s="23">
        <f>EXP(-LN(2)/2)*AB87+(1-EXP(-LN(2)/2))/(LN(2)/2)*V88*Y88*VLOOKUP('Données projet'!$B$9,Paramètres!$A$1:$I$89,3,0)*0.475*44/12</f>
        <v>7.8550001659467562E-8</v>
      </c>
      <c r="AC88" s="24">
        <f t="shared" si="57"/>
        <v>1.9871276412278056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170</v>
      </c>
      <c r="AG88" s="13">
        <f>VLOOKUP(A88,'Données projet'!$A$61:$I$81,9,0)</f>
        <v>2</v>
      </c>
      <c r="AH88" s="13">
        <f t="array" ref="AH88">INDEX(AG:AG,MIN(IF(ISNUMBER(AG88:AG284),ROW(AG88:AG284),"")))</f>
        <v>2</v>
      </c>
      <c r="AI88" s="14">
        <f>IF('Données projet'!$A$62&gt;35,AI87+AH88-AQ87,IF(A88&lt;'Données projet'!$A$62,$AF$205^A88,IF(A88='Données projet'!$A$62,'Données projet'!$B$62,AI87+AH88-AQ87)))</f>
        <v>170.0000000000002</v>
      </c>
      <c r="AJ88" s="14">
        <f>AI88*VLOOKUP('Données projet'!$B$10,Paramètres!$A$1:$I$89,3,0)*VLOOKUP('Données projet'!$B$10,Paramètres!$A$1:$I$89,5,0)</f>
        <v>148.5120000000002</v>
      </c>
      <c r="AK88" s="14">
        <f t="shared" si="89"/>
        <v>38.240236326053576</v>
      </c>
      <c r="AL88" s="22">
        <f t="shared" si="58"/>
        <v>325.26014493454369</v>
      </c>
      <c r="AM88" s="62">
        <f t="shared" si="59"/>
        <v>618.593478267877</v>
      </c>
      <c r="AN88" s="62">
        <f ca="1">AVERAGE(OFFSET($AM$3,0,0,'Données projet'!$E$10+1,1))-AVERAGE(OFFSET($H$3,0,0,'Données projet'!$E$10+1,1))</f>
        <v>239.16843440041487</v>
      </c>
      <c r="AO88" s="62">
        <f t="shared" si="90"/>
        <v>241.82319822554194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7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1.0274639148349815E-7</v>
      </c>
      <c r="AX88" s="23">
        <f t="shared" si="60"/>
        <v>1.0274639148349815E-7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4.4337866711430253E-14</v>
      </c>
      <c r="BF88" s="14">
        <f t="shared" si="91"/>
        <v>7.3222115536967035E-13</v>
      </c>
      <c r="BG88" s="22">
        <f t="shared" si="61"/>
        <v>1.3525069634579169E-12</v>
      </c>
      <c r="BH88" s="62">
        <f t="shared" si="62"/>
        <v>293.33333333333468</v>
      </c>
      <c r="BI88" s="62">
        <f ca="1">AVERAGE(OFFSET($BH$3,0,0,'Données projet'!$E$11+1,1))-AVERAGE(OFFSET($H$3,0,0,'Données projet'!$E$11+1,1))</f>
        <v>0</v>
      </c>
      <c r="BJ88" s="62">
        <f t="shared" si="92"/>
        <v>0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0.37784926412068831</v>
      </c>
      <c r="BR88" s="23">
        <f>EXP(-LN(2)/2)*BR87+(1-EXP(-LN(2)/2))/(LN(2)/2)*BL88*BO88*VLOOKUP('Données projet'!$B$11,Paramètres!$A$1:$I$89,3,0)*0.475*44/12</f>
        <v>1.7898167926544201E-8</v>
      </c>
      <c r="BS88" s="24">
        <f t="shared" si="63"/>
        <v>0.37784928201885626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439.06700232017681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1.9327894549778826</v>
      </c>
      <c r="AB89" s="23">
        <f>EXP(-LN(2)/2)*AB88+(1-EXP(-LN(2)/2))/(LN(2)/2)*V89*Y89*VLOOKUP('Données projet'!$B$9,Paramètres!$A$1:$I$89,3,0)*0.475*44/12</f>
        <v>5.5543238835624075E-8</v>
      </c>
      <c r="AC89" s="24">
        <f t="shared" si="57"/>
        <v>1.9327895105211215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1.6</v>
      </c>
      <c r="AI89" s="14">
        <f>IF('Données projet'!$A$62&gt;35,AI88+AH89-AQ88,IF(A89&lt;'Données projet'!$A$62,$AF$205^A89,IF(A89='Données projet'!$A$62,'Données projet'!$B$62,AI88+AH89-AQ88)))</f>
        <v>164.60000000000019</v>
      </c>
      <c r="AJ89" s="14">
        <f>AI89*VLOOKUP('Données projet'!$B$10,Paramètres!$A$1:$I$89,3,0)*VLOOKUP('Données projet'!$B$10,Paramètres!$A$1:$I$89,5,0)</f>
        <v>143.79456000000019</v>
      </c>
      <c r="AK89" s="14">
        <f t="shared" si="89"/>
        <v>37.164928293001893</v>
      </c>
      <c r="AL89" s="22">
        <f t="shared" si="58"/>
        <v>315.17110877697866</v>
      </c>
      <c r="AM89" s="62">
        <f t="shared" si="59"/>
        <v>608.50444211031197</v>
      </c>
      <c r="AN89" s="62">
        <f ca="1">AVERAGE(OFFSET($AM$3,0,0,'Données projet'!$E$10+1,1))-AVERAGE(OFFSET($H$3,0,0,'Données projet'!$E$10+1,1))</f>
        <v>239.16843440041487</v>
      </c>
      <c r="AO89" s="62">
        <f t="shared" si="90"/>
        <v>241.82319822554194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7.2652670160429274E-8</v>
      </c>
      <c r="AX89" s="23">
        <f t="shared" si="60"/>
        <v>7.2652670160429274E-8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4.4337866711430253E-14</v>
      </c>
      <c r="BF89" s="14">
        <f t="shared" si="91"/>
        <v>7.3222115536967035E-13</v>
      </c>
      <c r="BG89" s="22">
        <f t="shared" si="61"/>
        <v>1.3525069634579169E-12</v>
      </c>
      <c r="BH89" s="62">
        <f t="shared" si="62"/>
        <v>293.33333333333468</v>
      </c>
      <c r="BI89" s="62">
        <f ca="1">AVERAGE(OFFSET($BH$3,0,0,'Données projet'!$E$11+1,1))-AVERAGE(OFFSET($H$3,0,0,'Données projet'!$E$11+1,1))</f>
        <v>0</v>
      </c>
      <c r="BJ89" s="62">
        <f t="shared" si="92"/>
        <v>0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0.36751695612307889</v>
      </c>
      <c r="BR89" s="23">
        <f>EXP(-LN(2)/2)*BR88+(1-EXP(-LN(2)/2))/(LN(2)/2)*BL89*BO89*VLOOKUP('Données projet'!$B$11,Paramètres!$A$1:$I$89,3,0)*0.475*44/12</f>
        <v>1.2655915911674973E-8</v>
      </c>
      <c r="BS89" s="24">
        <f t="shared" si="63"/>
        <v>0.36751696877899481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439.06700232017681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1.8799372256905325</v>
      </c>
      <c r="AB90" s="23">
        <f>EXP(-LN(2)/2)*AB89+(1-EXP(-LN(2)/2))/(LN(2)/2)*V90*Y90*VLOOKUP('Données projet'!$B$9,Paramètres!$A$1:$I$89,3,0)*0.475*44/12</f>
        <v>3.9275000829733781E-8</v>
      </c>
      <c r="AC90" s="24">
        <f t="shared" si="57"/>
        <v>1.8799372649655333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1.6</v>
      </c>
      <c r="AI90" s="14">
        <f>IF('Données projet'!$A$62&gt;35,AI89+AH90-AQ89,IF(A90&lt;'Données projet'!$A$62,$AF$205^A90,IF(A90='Données projet'!$A$62,'Données projet'!$B$62,AI89+AH90-AQ89)))</f>
        <v>166.20000000000019</v>
      </c>
      <c r="AJ90" s="14">
        <f>AI90*VLOOKUP('Données projet'!$B$10,Paramètres!$A$1:$I$89,3,0)*VLOOKUP('Données projet'!$B$10,Paramètres!$A$1:$I$89,5,0)</f>
        <v>145.19232000000019</v>
      </c>
      <c r="AK90" s="14">
        <f t="shared" si="89"/>
        <v>37.483960315974116</v>
      </c>
      <c r="AL90" s="22">
        <f t="shared" si="58"/>
        <v>318.16118821698859</v>
      </c>
      <c r="AM90" s="62">
        <f t="shared" si="59"/>
        <v>611.49452155032191</v>
      </c>
      <c r="AN90" s="62">
        <f ca="1">AVERAGE(OFFSET($AM$3,0,0,'Données projet'!$E$10+1,1))-AVERAGE(OFFSET($H$3,0,0,'Données projet'!$E$10+1,1))</f>
        <v>239.16843440041487</v>
      </c>
      <c r="AO90" s="62">
        <f t="shared" si="90"/>
        <v>241.82319822554194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5.1373195741749073E-8</v>
      </c>
      <c r="AX90" s="23">
        <f t="shared" si="60"/>
        <v>5.1373195741749073E-8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4.4337866711430253E-14</v>
      </c>
      <c r="BF90" s="14">
        <f t="shared" si="91"/>
        <v>7.3222115536967035E-13</v>
      </c>
      <c r="BG90" s="22">
        <f t="shared" si="61"/>
        <v>1.3525069634579169E-12</v>
      </c>
      <c r="BH90" s="62">
        <f t="shared" si="62"/>
        <v>293.33333333333468</v>
      </c>
      <c r="BI90" s="62">
        <f ca="1">AVERAGE(OFFSET($BH$3,0,0,'Données projet'!$E$11+1,1))-AVERAGE(OFFSET($H$3,0,0,'Données projet'!$E$11+1,1))</f>
        <v>0</v>
      </c>
      <c r="BJ90" s="62">
        <f t="shared" si="92"/>
        <v>0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0.35746718563101654</v>
      </c>
      <c r="BR90" s="23">
        <f>EXP(-LN(2)/2)*BR89+(1-EXP(-LN(2)/2))/(LN(2)/2)*BL90*BO90*VLOOKUP('Données projet'!$B$11,Paramètres!$A$1:$I$89,3,0)*0.475*44/12</f>
        <v>8.9490839632721004E-9</v>
      </c>
      <c r="BS90" s="24">
        <f t="shared" si="63"/>
        <v>0.35746719458010051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439.06700232017681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1.8285302433924229</v>
      </c>
      <c r="AB91" s="23">
        <f>EXP(-LN(2)/2)*AB90+(1-EXP(-LN(2)/2))/(LN(2)/2)*V91*Y91*VLOOKUP('Données projet'!$B$9,Paramètres!$A$1:$I$89,3,0)*0.475*44/12</f>
        <v>2.7771619417812037E-8</v>
      </c>
      <c r="AC91" s="24">
        <f t="shared" si="57"/>
        <v>1.8285302711640423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1.6</v>
      </c>
      <c r="AI91" s="14">
        <f>IF('Données projet'!$A$62&gt;35,AI90+AH91-AQ90,IF(A91&lt;'Données projet'!$A$62,$AF$205^A91,IF(A91='Données projet'!$A$62,'Données projet'!$B$62,AI90+AH91-AQ90)))</f>
        <v>167.80000000000018</v>
      </c>
      <c r="AJ91" s="14">
        <f>AI91*VLOOKUP('Données projet'!$B$10,Paramètres!$A$1:$I$89,3,0)*VLOOKUP('Données projet'!$B$10,Paramètres!$A$1:$I$89,5,0)</f>
        <v>146.5900800000002</v>
      </c>
      <c r="AK91" s="14">
        <f t="shared" si="89"/>
        <v>37.802635033193546</v>
      </c>
      <c r="AL91" s="22">
        <f t="shared" si="58"/>
        <v>321.15064534947913</v>
      </c>
      <c r="AM91" s="62">
        <f t="shared" si="59"/>
        <v>614.48397868281245</v>
      </c>
      <c r="AN91" s="62">
        <f ca="1">AVERAGE(OFFSET($AM$3,0,0,'Données projet'!$E$10+1,1))-AVERAGE(OFFSET($H$3,0,0,'Données projet'!$E$10+1,1))</f>
        <v>239.16843440041487</v>
      </c>
      <c r="AO91" s="62">
        <f t="shared" si="90"/>
        <v>241.82319822554194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3.6326335080214637E-8</v>
      </c>
      <c r="AX91" s="23">
        <f t="shared" si="60"/>
        <v>3.6326335080214637E-8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4.4337866711430253E-14</v>
      </c>
      <c r="BF91" s="14">
        <f t="shared" si="91"/>
        <v>7.3222115536967035E-13</v>
      </c>
      <c r="BG91" s="22">
        <f t="shared" si="61"/>
        <v>1.3525069634579169E-12</v>
      </c>
      <c r="BH91" s="62">
        <f t="shared" si="62"/>
        <v>293.33333333333468</v>
      </c>
      <c r="BI91" s="62">
        <f ca="1">AVERAGE(OFFSET($BH$3,0,0,'Données projet'!$E$11+1,1))-AVERAGE(OFFSET($H$3,0,0,'Données projet'!$E$11+1,1))</f>
        <v>0</v>
      </c>
      <c r="BJ91" s="62">
        <f t="shared" si="92"/>
        <v>0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0.34769222664155408</v>
      </c>
      <c r="BR91" s="23">
        <f>EXP(-LN(2)/2)*BR90+(1-EXP(-LN(2)/2))/(LN(2)/2)*BL91*BO91*VLOOKUP('Données projet'!$B$11,Paramètres!$A$1:$I$89,3,0)*0.475*44/12</f>
        <v>6.3279579558374867E-9</v>
      </c>
      <c r="BS91" s="24">
        <f t="shared" si="63"/>
        <v>0.34769223296951202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439.06700232017681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1.7785289877286308</v>
      </c>
      <c r="AB92" s="23">
        <f>EXP(-LN(2)/2)*AB91+(1-EXP(-LN(2)/2))/(LN(2)/2)*V92*Y92*VLOOKUP('Données projet'!$B$9,Paramètres!$A$1:$I$89,3,0)*0.475*44/12</f>
        <v>1.963750041486689E-8</v>
      </c>
      <c r="AC92" s="24">
        <f t="shared" si="57"/>
        <v>1.7785290073661313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1.6</v>
      </c>
      <c r="AI92" s="14">
        <f>IF('Données projet'!$A$62&gt;35,AI91+AH92-AQ91,IF(A92&lt;'Données projet'!$A$62,$AF$205^A92,IF(A92='Données projet'!$A$62,'Données projet'!$B$62,AI91+AH92-AQ91)))</f>
        <v>169.40000000000018</v>
      </c>
      <c r="AJ92" s="14">
        <f>AI92*VLOOKUP('Données projet'!$B$10,Paramètres!$A$1:$I$89,3,0)*VLOOKUP('Données projet'!$B$10,Paramètres!$A$1:$I$89,5,0)</f>
        <v>147.98784000000018</v>
      </c>
      <c r="AK92" s="14">
        <f t="shared" si="89"/>
        <v>38.120956246204841</v>
      </c>
      <c r="AL92" s="22">
        <f t="shared" si="58"/>
        <v>324.13948679547377</v>
      </c>
      <c r="AM92" s="62">
        <f t="shared" si="59"/>
        <v>617.47282012880714</v>
      </c>
      <c r="AN92" s="62">
        <f ca="1">AVERAGE(OFFSET($AM$3,0,0,'Données projet'!$E$10+1,1))-AVERAGE(OFFSET($H$3,0,0,'Données projet'!$E$10+1,1))</f>
        <v>239.16843440041487</v>
      </c>
      <c r="AO92" s="62">
        <f t="shared" si="90"/>
        <v>241.82319822554194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2.5686597870874537E-8</v>
      </c>
      <c r="AX92" s="23">
        <f t="shared" si="60"/>
        <v>2.5686597870874537E-8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4.4337866711430253E-14</v>
      </c>
      <c r="BF92" s="14">
        <f t="shared" si="91"/>
        <v>7.3222115536967035E-13</v>
      </c>
      <c r="BG92" s="22">
        <f t="shared" si="61"/>
        <v>1.3525069634579169E-12</v>
      </c>
      <c r="BH92" s="62">
        <f t="shared" si="62"/>
        <v>293.33333333333468</v>
      </c>
      <c r="BI92" s="62">
        <f ca="1">AVERAGE(OFFSET($BH$3,0,0,'Données projet'!$E$11+1,1))-AVERAGE(OFFSET($H$3,0,0,'Données projet'!$E$11+1,1))</f>
        <v>0</v>
      </c>
      <c r="BJ92" s="62">
        <f t="shared" si="92"/>
        <v>0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0.33818456441970124</v>
      </c>
      <c r="BR92" s="23">
        <f>EXP(-LN(2)/2)*BR91+(1-EXP(-LN(2)/2))/(LN(2)/2)*BL92*BO92*VLOOKUP('Données projet'!$B$11,Paramètres!$A$1:$I$89,3,0)*0.475*44/12</f>
        <v>4.4745419816360502E-9</v>
      </c>
      <c r="BS92" s="24">
        <f t="shared" si="63"/>
        <v>0.3381845688942432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439.06700232017681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1.7298950190304168</v>
      </c>
      <c r="AB93" s="23">
        <f>EXP(-LN(2)/2)*AB92+(1-EXP(-LN(2)/2))/(LN(2)/2)*V93*Y93*VLOOKUP('Données projet'!$B$9,Paramètres!$A$1:$I$89,3,0)*0.475*44/12</f>
        <v>1.3885809708906019E-8</v>
      </c>
      <c r="AC93" s="24">
        <f t="shared" si="57"/>
        <v>1.7298950329162264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171</v>
      </c>
      <c r="AG93" s="13">
        <f>VLOOKUP(A93,'Données projet'!$A$61:$I$81,9,0)</f>
        <v>1.6</v>
      </c>
      <c r="AH93" s="13">
        <f t="array" ref="AH93">INDEX(AG:AG,MIN(IF(ISNUMBER(AG93:AG289),ROW(AG93:AG289),"")))</f>
        <v>1.6</v>
      </c>
      <c r="AI93" s="14">
        <f>IF('Données projet'!$A$62&gt;35,AI92+AH93-AQ92,IF(A93&lt;'Données projet'!$A$62,$AF$205^A93,IF(A93='Données projet'!$A$62,'Données projet'!$B$62,AI92+AH93-AQ92)))</f>
        <v>171.00000000000017</v>
      </c>
      <c r="AJ93" s="14">
        <f>AI93*VLOOKUP('Données projet'!$B$10,Paramètres!$A$1:$I$89,3,0)*VLOOKUP('Données projet'!$B$10,Paramètres!$A$1:$I$89,5,0)</f>
        <v>149.38560000000018</v>
      </c>
      <c r="AK93" s="14">
        <f t="shared" si="89"/>
        <v>38.438927680599626</v>
      </c>
      <c r="AL93" s="22">
        <f t="shared" si="58"/>
        <v>327.12771904371129</v>
      </c>
      <c r="AM93" s="62">
        <f t="shared" si="59"/>
        <v>620.46105237704455</v>
      </c>
      <c r="AN93" s="62">
        <f ca="1">AVERAGE(OFFSET($AM$3,0,0,'Données projet'!$E$10+1,1))-AVERAGE(OFFSET($H$3,0,0,'Données projet'!$E$10+1,1))</f>
        <v>239.16843440041487</v>
      </c>
      <c r="AO93" s="62">
        <f t="shared" si="90"/>
        <v>241.82319822554194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171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1.8163167540107318E-8</v>
      </c>
      <c r="AX93" s="23">
        <f t="shared" si="60"/>
        <v>1.8163167540107318E-8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4.4337866711430253E-14</v>
      </c>
      <c r="BF93" s="14">
        <f t="shared" si="91"/>
        <v>7.3222115536967035E-13</v>
      </c>
      <c r="BG93" s="22">
        <f t="shared" si="61"/>
        <v>1.3525069634579169E-12</v>
      </c>
      <c r="BH93" s="62">
        <f t="shared" si="62"/>
        <v>293.33333333333468</v>
      </c>
      <c r="BI93" s="62">
        <f ca="1">AVERAGE(OFFSET($BH$3,0,0,'Données projet'!$E$11+1,1))-AVERAGE(OFFSET($H$3,0,0,'Données projet'!$E$11+1,1))</f>
        <v>0</v>
      </c>
      <c r="BJ93" s="62">
        <f t="shared" si="92"/>
        <v>0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0.3289368897212912</v>
      </c>
      <c r="BR93" s="23">
        <f>EXP(-LN(2)/2)*BR92+(1-EXP(-LN(2)/2))/(LN(2)/2)*BL93*BO93*VLOOKUP('Données projet'!$B$11,Paramètres!$A$1:$I$89,3,0)*0.475*44/12</f>
        <v>3.1639789779187433E-9</v>
      </c>
      <c r="BS93" s="24">
        <f t="shared" si="63"/>
        <v>0.32893689288527017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439.06700232017681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1.6825909487638047</v>
      </c>
      <c r="AB94" s="23">
        <f>EXP(-LN(2)/2)*AB93+(1-EXP(-LN(2)/2))/(LN(2)/2)*V94*Y94*VLOOKUP('Données projet'!$B$9,Paramètres!$A$1:$I$89,3,0)*0.475*44/12</f>
        <v>9.8187502074334452E-9</v>
      </c>
      <c r="AC94" s="24">
        <f t="shared" si="57"/>
        <v>1.6825909585825549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1.7053025658242404E-13</v>
      </c>
      <c r="AJ94" s="14">
        <f>AI94*VLOOKUP('Données projet'!$B$10,Paramètres!$A$1:$I$89,3,0)*VLOOKUP('Données projet'!$B$10,Paramètres!$A$1:$I$89,5,0)</f>
        <v>1.4897523215040567E-13</v>
      </c>
      <c r="AK94" s="14">
        <f t="shared" si="89"/>
        <v>2.136562777003313E-12</v>
      </c>
      <c r="AL94" s="22">
        <f t="shared" si="58"/>
        <v>3.9806453659427267E-12</v>
      </c>
      <c r="AM94" s="62">
        <f t="shared" si="59"/>
        <v>293.33333333333729</v>
      </c>
      <c r="AN94" s="62">
        <f ca="1">AVERAGE(OFFSET($AM$3,0,0,'Données projet'!$E$10+1,1))-AVERAGE(OFFSET($H$3,0,0,'Données projet'!$E$10+1,1))</f>
        <v>239.16843440041487</v>
      </c>
      <c r="AO94" s="62">
        <f t="shared" si="90"/>
        <v>241.82319822554194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1.2843298935437268E-8</v>
      </c>
      <c r="AX94" s="23">
        <f t="shared" si="60"/>
        <v>1.2843298935437268E-8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4.4337866711430253E-14</v>
      </c>
      <c r="BF94" s="14">
        <f t="shared" si="91"/>
        <v>7.3222115536967035E-13</v>
      </c>
      <c r="BG94" s="22">
        <f t="shared" si="61"/>
        <v>1.3525069634579169E-12</v>
      </c>
      <c r="BH94" s="62">
        <f t="shared" si="62"/>
        <v>293.33333333333468</v>
      </c>
      <c r="BI94" s="62">
        <f ca="1">AVERAGE(OFFSET($BH$3,0,0,'Données projet'!$E$11+1,1))-AVERAGE(OFFSET($H$3,0,0,'Données projet'!$E$11+1,1))</f>
        <v>0</v>
      </c>
      <c r="BJ94" s="62">
        <f t="shared" si="92"/>
        <v>0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0.31994209317382327</v>
      </c>
      <c r="BR94" s="23">
        <f>EXP(-LN(2)/2)*BR93+(1-EXP(-LN(2)/2))/(LN(2)/2)*BL94*BO94*VLOOKUP('Données projet'!$B$11,Paramètres!$A$1:$I$89,3,0)*0.475*44/12</f>
        <v>2.2372709908180251E-9</v>
      </c>
      <c r="BS94" s="24">
        <f t="shared" si="63"/>
        <v>0.31994209541109425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439.06700232017681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1.6365804107862461</v>
      </c>
      <c r="AB95" s="23">
        <f>EXP(-LN(2)/2)*AB94+(1-EXP(-LN(2)/2))/(LN(2)/2)*V95*Y95*VLOOKUP('Données projet'!$B$9,Paramètres!$A$1:$I$89,3,0)*0.475*44/12</f>
        <v>6.9429048544530093E-9</v>
      </c>
      <c r="AC95" s="24">
        <f t="shared" si="57"/>
        <v>1.636580417729151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1.7053025658242404E-13</v>
      </c>
      <c r="AJ95" s="14">
        <f>AI95*VLOOKUP('Données projet'!$B$10,Paramètres!$A$1:$I$89,3,0)*VLOOKUP('Données projet'!$B$10,Paramètres!$A$1:$I$89,5,0)</f>
        <v>1.4897523215040567E-13</v>
      </c>
      <c r="AK95" s="14">
        <f t="shared" si="89"/>
        <v>2.136562777003313E-12</v>
      </c>
      <c r="AL95" s="22">
        <f t="shared" si="58"/>
        <v>3.9806453659427267E-12</v>
      </c>
      <c r="AM95" s="62">
        <f t="shared" si="59"/>
        <v>293.33333333333729</v>
      </c>
      <c r="AN95" s="62">
        <f ca="1">AVERAGE(OFFSET($AM$3,0,0,'Données projet'!$E$10+1,1))-AVERAGE(OFFSET($H$3,0,0,'Données projet'!$E$10+1,1))</f>
        <v>239.16843440041487</v>
      </c>
      <c r="AO95" s="62">
        <f t="shared" si="90"/>
        <v>241.82319822554194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9.0815837700536592E-9</v>
      </c>
      <c r="AX95" s="23">
        <f t="shared" si="60"/>
        <v>9.0815837700536592E-9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4.4337866711430253E-14</v>
      </c>
      <c r="BF95" s="14">
        <f t="shared" si="91"/>
        <v>7.3222115536967035E-13</v>
      </c>
      <c r="BG95" s="22">
        <f t="shared" si="61"/>
        <v>1.3525069634579169E-12</v>
      </c>
      <c r="BH95" s="62">
        <f t="shared" si="62"/>
        <v>293.33333333333468</v>
      </c>
      <c r="BI95" s="62">
        <f ca="1">AVERAGE(OFFSET($BH$3,0,0,'Données projet'!$E$11+1,1))-AVERAGE(OFFSET($H$3,0,0,'Données projet'!$E$11+1,1))</f>
        <v>0</v>
      </c>
      <c r="BJ95" s="62">
        <f t="shared" si="92"/>
        <v>0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0.31119325981096163</v>
      </c>
      <c r="BR95" s="23">
        <f>EXP(-LN(2)/2)*BR94+(1-EXP(-LN(2)/2))/(LN(2)/2)*BL95*BO95*VLOOKUP('Données projet'!$B$11,Paramètres!$A$1:$I$89,3,0)*0.475*44/12</f>
        <v>1.5819894889593717E-9</v>
      </c>
      <c r="BS95" s="24">
        <f t="shared" si="63"/>
        <v>0.31119326139295111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439.06700232017681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1.5918280333892727</v>
      </c>
      <c r="AB96" s="23">
        <f>EXP(-LN(2)/2)*AB95+(1-EXP(-LN(2)/2))/(LN(2)/2)*V96*Y96*VLOOKUP('Données projet'!$B$9,Paramètres!$A$1:$I$89,3,0)*0.475*44/12</f>
        <v>4.9093751037167226E-9</v>
      </c>
      <c r="AC96" s="24">
        <f t="shared" si="57"/>
        <v>1.5918280382986478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1.7053025658242404E-13</v>
      </c>
      <c r="AJ96" s="14">
        <f>AI96*VLOOKUP('Données projet'!$B$10,Paramètres!$A$1:$I$89,3,0)*VLOOKUP('Données projet'!$B$10,Paramètres!$A$1:$I$89,5,0)</f>
        <v>1.4897523215040567E-13</v>
      </c>
      <c r="AK96" s="14">
        <f t="shared" si="89"/>
        <v>2.136562777003313E-12</v>
      </c>
      <c r="AL96" s="22">
        <f t="shared" si="58"/>
        <v>3.9806453659427267E-12</v>
      </c>
      <c r="AM96" s="62">
        <f t="shared" si="59"/>
        <v>293.33333333333729</v>
      </c>
      <c r="AN96" s="62">
        <f ca="1">AVERAGE(OFFSET($AM$3,0,0,'Données projet'!$E$10+1,1))-AVERAGE(OFFSET($H$3,0,0,'Données projet'!$E$10+1,1))</f>
        <v>239.16843440041487</v>
      </c>
      <c r="AO96" s="62">
        <f t="shared" si="90"/>
        <v>241.82319822554194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6.4216494677186342E-9</v>
      </c>
      <c r="AX96" s="23">
        <f t="shared" si="60"/>
        <v>6.4216494677186342E-9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4.4337866711430253E-14</v>
      </c>
      <c r="BF96" s="14">
        <f t="shared" si="91"/>
        <v>7.3222115536967035E-13</v>
      </c>
      <c r="BG96" s="22">
        <f t="shared" si="61"/>
        <v>1.3525069634579169E-12</v>
      </c>
      <c r="BH96" s="62">
        <f t="shared" si="62"/>
        <v>293.33333333333468</v>
      </c>
      <c r="BI96" s="62">
        <f ca="1">AVERAGE(OFFSET($BH$3,0,0,'Données projet'!$E$11+1,1))-AVERAGE(OFFSET($H$3,0,0,'Données projet'!$E$11+1,1))</f>
        <v>0</v>
      </c>
      <c r="BJ96" s="62">
        <f t="shared" si="92"/>
        <v>0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0.30268366375648859</v>
      </c>
      <c r="BR96" s="23">
        <f>EXP(-LN(2)/2)*BR95+(1-EXP(-LN(2)/2))/(LN(2)/2)*BL96*BO96*VLOOKUP('Données projet'!$B$11,Paramètres!$A$1:$I$89,3,0)*0.475*44/12</f>
        <v>1.1186354954090126E-9</v>
      </c>
      <c r="BS96" s="24">
        <f t="shared" si="63"/>
        <v>0.3026836648751241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439.06700232017681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1.548299412105645</v>
      </c>
      <c r="AB97" s="23">
        <f>EXP(-LN(2)/2)*AB96+(1-EXP(-LN(2)/2))/(LN(2)/2)*V97*Y97*VLOOKUP('Données projet'!$B$9,Paramètres!$A$1:$I$89,3,0)*0.475*44/12</f>
        <v>3.4714524272265047E-9</v>
      </c>
      <c r="AC97" s="24">
        <f t="shared" si="57"/>
        <v>1.5482994155770975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1.7053025658242404E-13</v>
      </c>
      <c r="AJ97" s="14">
        <f>AI97*VLOOKUP('Données projet'!$B$10,Paramètres!$A$1:$I$89,3,0)*VLOOKUP('Données projet'!$B$10,Paramètres!$A$1:$I$89,5,0)</f>
        <v>1.4897523215040567E-13</v>
      </c>
      <c r="AK97" s="14">
        <f t="shared" si="89"/>
        <v>2.136562777003313E-12</v>
      </c>
      <c r="AL97" s="22">
        <f t="shared" si="58"/>
        <v>3.9806453659427267E-12</v>
      </c>
      <c r="AM97" s="62">
        <f t="shared" si="59"/>
        <v>293.33333333333729</v>
      </c>
      <c r="AN97" s="62">
        <f ca="1">AVERAGE(OFFSET($AM$3,0,0,'Données projet'!$E$10+1,1))-AVERAGE(OFFSET($H$3,0,0,'Données projet'!$E$10+1,1))</f>
        <v>239.16843440041487</v>
      </c>
      <c r="AO97" s="62">
        <f t="shared" si="90"/>
        <v>241.82319822554194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4.5407918850268296E-9</v>
      </c>
      <c r="AX97" s="23">
        <f t="shared" si="60"/>
        <v>4.5407918850268296E-9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4.4337866711430253E-14</v>
      </c>
      <c r="BF97" s="14">
        <f t="shared" si="91"/>
        <v>7.3222115536967035E-13</v>
      </c>
      <c r="BG97" s="22">
        <f t="shared" si="61"/>
        <v>1.3525069634579169E-12</v>
      </c>
      <c r="BH97" s="62">
        <f t="shared" si="62"/>
        <v>293.33333333333468</v>
      </c>
      <c r="BI97" s="62">
        <f ca="1">AVERAGE(OFFSET($BH$3,0,0,'Données projet'!$E$11+1,1))-AVERAGE(OFFSET($H$3,0,0,'Données projet'!$E$11+1,1))</f>
        <v>0</v>
      </c>
      <c r="BJ97" s="62">
        <f t="shared" si="92"/>
        <v>0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0.29440676305362534</v>
      </c>
      <c r="BR97" s="23">
        <f>EXP(-LN(2)/2)*BR96+(1-EXP(-LN(2)/2))/(LN(2)/2)*BL97*BO97*VLOOKUP('Données projet'!$B$11,Paramètres!$A$1:$I$89,3,0)*0.475*44/12</f>
        <v>7.9099474447968584E-10</v>
      </c>
      <c r="BS97" s="24">
        <f t="shared" si="63"/>
        <v>0.29440676384462011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439.06700232017681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1.5059610832600887</v>
      </c>
      <c r="AB98" s="23">
        <f>EXP(-LN(2)/2)*AB97+(1-EXP(-LN(2)/2))/(LN(2)/2)*V98*Y98*VLOOKUP('Données projet'!$B$9,Paramètres!$A$1:$I$89,3,0)*0.475*44/12</f>
        <v>2.4546875518583613E-9</v>
      </c>
      <c r="AC98" s="24">
        <f t="shared" si="57"/>
        <v>1.5059610857147763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1.7053025658242404E-13</v>
      </c>
      <c r="AJ98" s="14">
        <f>AI98*VLOOKUP('Données projet'!$B$10,Paramètres!$A$1:$I$89,3,0)*VLOOKUP('Données projet'!$B$10,Paramètres!$A$1:$I$89,5,0)</f>
        <v>1.4897523215040567E-13</v>
      </c>
      <c r="AK98" s="14">
        <f t="shared" si="89"/>
        <v>2.136562777003313E-12</v>
      </c>
      <c r="AL98" s="22">
        <f t="shared" si="58"/>
        <v>3.9806453659427267E-12</v>
      </c>
      <c r="AM98" s="62">
        <f t="shared" si="59"/>
        <v>293.33333333333729</v>
      </c>
      <c r="AN98" s="62">
        <f ca="1">AVERAGE(OFFSET($AM$3,0,0,'Données projet'!$E$10+1,1))-AVERAGE(OFFSET($H$3,0,0,'Données projet'!$E$10+1,1))</f>
        <v>239.16843440041487</v>
      </c>
      <c r="AO98" s="62">
        <f t="shared" si="90"/>
        <v>241.82319822554194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3.2108247338593171E-9</v>
      </c>
      <c r="AX98" s="23">
        <f t="shared" si="60"/>
        <v>3.2108247338593171E-9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4.4337866711430253E-14</v>
      </c>
      <c r="BF98" s="14">
        <f t="shared" si="91"/>
        <v>7.3222115536967035E-13</v>
      </c>
      <c r="BG98" s="22">
        <f t="shared" si="61"/>
        <v>1.3525069634579169E-12</v>
      </c>
      <c r="BH98" s="62">
        <f t="shared" si="62"/>
        <v>293.33333333333468</v>
      </c>
      <c r="BI98" s="62">
        <f ca="1">AVERAGE(OFFSET($BH$3,0,0,'Données projet'!$E$11+1,1))-AVERAGE(OFFSET($H$3,0,0,'Données projet'!$E$11+1,1))</f>
        <v>0</v>
      </c>
      <c r="BJ98" s="62">
        <f t="shared" si="92"/>
        <v>0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0.28635619463574519</v>
      </c>
      <c r="BR98" s="23">
        <f>EXP(-LN(2)/2)*BR97+(1-EXP(-LN(2)/2))/(LN(2)/2)*BL98*BO98*VLOOKUP('Données projet'!$B$11,Paramètres!$A$1:$I$89,3,0)*0.475*44/12</f>
        <v>5.5931774770450628E-10</v>
      </c>
      <c r="BS98" s="24">
        <f t="shared" si="63"/>
        <v>0.28635619519506295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439.06700232017681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1.4647804982432902</v>
      </c>
      <c r="AB99" s="23">
        <f>EXP(-LN(2)/2)*AB98+(1-EXP(-LN(2)/2))/(LN(2)/2)*V99*Y99*VLOOKUP('Données projet'!$B$9,Paramètres!$A$1:$I$89,3,0)*0.475*44/12</f>
        <v>1.7357262136132523E-9</v>
      </c>
      <c r="AC99" s="24">
        <f t="shared" si="57"/>
        <v>1.4647804999790164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1.7053025658242404E-13</v>
      </c>
      <c r="AJ99" s="14">
        <f>AI99*VLOOKUP('Données projet'!$B$10,Paramètres!$A$1:$I$89,3,0)*VLOOKUP('Données projet'!$B$10,Paramètres!$A$1:$I$89,5,0)</f>
        <v>1.4897523215040567E-13</v>
      </c>
      <c r="AK99" s="14">
        <f t="shared" si="89"/>
        <v>2.136562777003313E-12</v>
      </c>
      <c r="AL99" s="22">
        <f t="shared" si="58"/>
        <v>3.9806453659427267E-12</v>
      </c>
      <c r="AM99" s="62">
        <f t="shared" si="59"/>
        <v>293.33333333333729</v>
      </c>
      <c r="AN99" s="62">
        <f ca="1">AVERAGE(OFFSET($AM$3,0,0,'Données projet'!$E$10+1,1))-AVERAGE(OFFSET($H$3,0,0,'Données projet'!$E$10+1,1))</f>
        <v>239.16843440041487</v>
      </c>
      <c r="AO99" s="62">
        <f t="shared" si="90"/>
        <v>241.82319822554194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2.2703959425134148E-9</v>
      </c>
      <c r="AX99" s="23">
        <f t="shared" si="60"/>
        <v>2.2703959425134148E-9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4.4337866711430253E-14</v>
      </c>
      <c r="BF99" s="14">
        <f t="shared" si="91"/>
        <v>7.3222115536967035E-13</v>
      </c>
      <c r="BG99" s="22">
        <f t="shared" si="61"/>
        <v>1.3525069634579169E-12</v>
      </c>
      <c r="BH99" s="62">
        <f t="shared" si="62"/>
        <v>293.33333333333468</v>
      </c>
      <c r="BI99" s="62">
        <f ca="1">AVERAGE(OFFSET($BH$3,0,0,'Données projet'!$E$11+1,1))-AVERAGE(OFFSET($H$3,0,0,'Données projet'!$E$11+1,1))</f>
        <v>0</v>
      </c>
      <c r="BJ99" s="62">
        <f t="shared" si="92"/>
        <v>0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0.27852576943461294</v>
      </c>
      <c r="BR99" s="23">
        <f>EXP(-LN(2)/2)*BR98+(1-EXP(-LN(2)/2))/(LN(2)/2)*BL99*BO99*VLOOKUP('Données projet'!$B$11,Paramètres!$A$1:$I$89,3,0)*0.475*44/12</f>
        <v>3.9549737223984292E-10</v>
      </c>
      <c r="BS99" s="24">
        <f t="shared" si="63"/>
        <v>0.27852576983011029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439.06700232017681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1.4247259984893688</v>
      </c>
      <c r="AB100" s="23">
        <f>EXP(-LN(2)/2)*AB99+(1-EXP(-LN(2)/2))/(LN(2)/2)*V100*Y100*VLOOKUP('Données projet'!$B$9,Paramètres!$A$1:$I$89,3,0)*0.475*44/12</f>
        <v>1.2273437759291807E-9</v>
      </c>
      <c r="AC100" s="24">
        <f t="shared" si="57"/>
        <v>1.4247259997167125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1.7053025658242404E-13</v>
      </c>
      <c r="AJ100" s="14">
        <f>AI100*VLOOKUP('Données projet'!$B$10,Paramètres!$A$1:$I$89,3,0)*VLOOKUP('Données projet'!$B$10,Paramètres!$A$1:$I$89,5,0)</f>
        <v>1.4897523215040567E-13</v>
      </c>
      <c r="AK100" s="14">
        <f t="shared" si="89"/>
        <v>2.136562777003313E-12</v>
      </c>
      <c r="AL100" s="22">
        <f t="shared" si="58"/>
        <v>3.9806453659427267E-12</v>
      </c>
      <c r="AM100" s="62">
        <f t="shared" si="59"/>
        <v>293.33333333333729</v>
      </c>
      <c r="AN100" s="62">
        <f ca="1">AVERAGE(OFFSET($AM$3,0,0,'Données projet'!$E$10+1,1))-AVERAGE(OFFSET($H$3,0,0,'Données projet'!$E$10+1,1))</f>
        <v>239.16843440041487</v>
      </c>
      <c r="AO100" s="62">
        <f t="shared" si="90"/>
        <v>241.82319822554194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1.6054123669296585E-9</v>
      </c>
      <c r="AX100" s="23">
        <f t="shared" si="60"/>
        <v>1.6054123669296585E-9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4.4337866711430253E-14</v>
      </c>
      <c r="BF100" s="14">
        <f t="shared" si="91"/>
        <v>7.3222115536967035E-13</v>
      </c>
      <c r="BG100" s="22">
        <f t="shared" si="61"/>
        <v>1.3525069634579169E-12</v>
      </c>
      <c r="BH100" s="62">
        <f t="shared" si="62"/>
        <v>293.33333333333468</v>
      </c>
      <c r="BI100" s="62">
        <f ca="1">AVERAGE(OFFSET($BH$3,0,0,'Données projet'!$E$11+1,1))-AVERAGE(OFFSET($H$3,0,0,'Données projet'!$E$11+1,1))</f>
        <v>0</v>
      </c>
      <c r="BJ100" s="62">
        <f t="shared" si="92"/>
        <v>0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0.27090946762238982</v>
      </c>
      <c r="BR100" s="23">
        <f>EXP(-LN(2)/2)*BR99+(1-EXP(-LN(2)/2))/(LN(2)/2)*BL100*BO100*VLOOKUP('Données projet'!$B$11,Paramètres!$A$1:$I$89,3,0)*0.475*44/12</f>
        <v>2.7965887385225314E-10</v>
      </c>
      <c r="BS100" s="24">
        <f t="shared" si="63"/>
        <v>0.27090946790204867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439.06700232017681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1.385766791137593</v>
      </c>
      <c r="AB101" s="23">
        <f>EXP(-LN(2)/2)*AB100+(1-EXP(-LN(2)/2))/(LN(2)/2)*V101*Y101*VLOOKUP('Données projet'!$B$9,Paramètres!$A$1:$I$89,3,0)*0.475*44/12</f>
        <v>8.6786310680662617E-10</v>
      </c>
      <c r="AC101" s="24">
        <f t="shared" si="57"/>
        <v>1.3857667920054562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1.7053025658242404E-13</v>
      </c>
      <c r="AJ101" s="14">
        <f>AI101*VLOOKUP('Données projet'!$B$10,Paramètres!$A$1:$I$89,3,0)*VLOOKUP('Données projet'!$B$10,Paramètres!$A$1:$I$89,5,0)</f>
        <v>1.4897523215040567E-13</v>
      </c>
      <c r="AK101" s="14">
        <f t="shared" si="89"/>
        <v>2.136562777003313E-12</v>
      </c>
      <c r="AL101" s="22">
        <f t="shared" si="58"/>
        <v>3.9806453659427267E-12</v>
      </c>
      <c r="AM101" s="62">
        <f t="shared" si="59"/>
        <v>293.33333333333729</v>
      </c>
      <c r="AN101" s="62">
        <f ca="1">AVERAGE(OFFSET($AM$3,0,0,'Données projet'!$E$10+1,1))-AVERAGE(OFFSET($H$3,0,0,'Données projet'!$E$10+1,1))</f>
        <v>239.16843440041487</v>
      </c>
      <c r="AO101" s="62">
        <f t="shared" si="90"/>
        <v>241.82319822554194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1.1351979712567074E-9</v>
      </c>
      <c r="AX101" s="23">
        <f t="shared" si="60"/>
        <v>1.1351979712567074E-9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4.4337866711430253E-14</v>
      </c>
      <c r="BF101" s="14">
        <f t="shared" si="91"/>
        <v>7.3222115536967035E-13</v>
      </c>
      <c r="BG101" s="22">
        <f t="shared" si="61"/>
        <v>1.3525069634579169E-12</v>
      </c>
      <c r="BH101" s="62">
        <f t="shared" si="62"/>
        <v>293.33333333333468</v>
      </c>
      <c r="BI101" s="62">
        <f ca="1">AVERAGE(OFFSET($BH$3,0,0,'Données projet'!$E$11+1,1))-AVERAGE(OFFSET($H$3,0,0,'Données projet'!$E$11+1,1))</f>
        <v>0</v>
      </c>
      <c r="BJ101" s="62">
        <f t="shared" si="92"/>
        <v>0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0.26350143398374581</v>
      </c>
      <c r="BR101" s="23">
        <f>EXP(-LN(2)/2)*BR100+(1-EXP(-LN(2)/2))/(LN(2)/2)*BL101*BO101*VLOOKUP('Données projet'!$B$11,Paramètres!$A$1:$I$89,3,0)*0.475*44/12</f>
        <v>1.9774868611992146E-10</v>
      </c>
      <c r="BS101" s="24">
        <f t="shared" si="63"/>
        <v>0.26350143418149452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439.06700232017681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1.3478729253596273</v>
      </c>
      <c r="AB102" s="23">
        <f>EXP(-LN(2)/2)*AB101+(1-EXP(-LN(2)/2))/(LN(2)/2)*V102*Y102*VLOOKUP('Données projet'!$B$9,Paramètres!$A$1:$I$89,3,0)*0.475*44/12</f>
        <v>6.1367188796459033E-10</v>
      </c>
      <c r="AC102" s="24">
        <f t="shared" si="57"/>
        <v>1.3478729259732991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1.7053025658242404E-13</v>
      </c>
      <c r="AJ102" s="14">
        <f>AI102*VLOOKUP('Données projet'!$B$10,Paramètres!$A$1:$I$89,3,0)*VLOOKUP('Données projet'!$B$10,Paramètres!$A$1:$I$89,5,0)</f>
        <v>1.4897523215040567E-13</v>
      </c>
      <c r="AK102" s="14">
        <f t="shared" si="89"/>
        <v>2.136562777003313E-12</v>
      </c>
      <c r="AL102" s="22">
        <f t="shared" si="58"/>
        <v>3.9806453659427267E-12</v>
      </c>
      <c r="AM102" s="62">
        <f t="shared" si="59"/>
        <v>293.33333333333729</v>
      </c>
      <c r="AN102" s="62">
        <f ca="1">AVERAGE(OFFSET($AM$3,0,0,'Données projet'!$E$10+1,1))-AVERAGE(OFFSET($H$3,0,0,'Données projet'!$E$10+1,1))</f>
        <v>239.16843440041487</v>
      </c>
      <c r="AO102" s="62">
        <f t="shared" si="90"/>
        <v>241.82319822554194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8.0270618346482927E-10</v>
      </c>
      <c r="AX102" s="23">
        <f t="shared" si="60"/>
        <v>8.0270618346482927E-10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4.4337866711430253E-14</v>
      </c>
      <c r="BF102" s="14">
        <f t="shared" si="91"/>
        <v>7.3222115536967035E-13</v>
      </c>
      <c r="BG102" s="22">
        <f t="shared" si="61"/>
        <v>1.3525069634579169E-12</v>
      </c>
      <c r="BH102" s="62">
        <f t="shared" si="62"/>
        <v>293.33333333333468</v>
      </c>
      <c r="BI102" s="62">
        <f ca="1">AVERAGE(OFFSET($BH$3,0,0,'Données projet'!$E$11+1,1))-AVERAGE(OFFSET($H$3,0,0,'Données projet'!$E$11+1,1))</f>
        <v>0</v>
      </c>
      <c r="BJ102" s="62">
        <f t="shared" si="92"/>
        <v>0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0.25629597341452209</v>
      </c>
      <c r="BR102" s="23">
        <f>EXP(-LN(2)/2)*BR101+(1-EXP(-LN(2)/2))/(LN(2)/2)*BL102*BO102*VLOOKUP('Données projet'!$B$11,Paramètres!$A$1:$I$89,3,0)*0.475*44/12</f>
        <v>1.3982943692612657E-10</v>
      </c>
      <c r="BS102" s="24">
        <f t="shared" si="63"/>
        <v>0.25629597355435152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439.06700232017681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1.3110152693341117</v>
      </c>
      <c r="AB103" s="23">
        <f>EXP(-LN(2)/2)*AB102+(1-EXP(-LN(2)/2))/(LN(2)/2)*V103*Y103*VLOOKUP('Données projet'!$B$9,Paramètres!$A$1:$I$89,3,0)*0.475*44/12</f>
        <v>4.3393155340331308E-10</v>
      </c>
      <c r="AC103" s="24">
        <f t="shared" si="57"/>
        <v>1.3110152697680433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1.7053025658242404E-13</v>
      </c>
      <c r="AJ103" s="14">
        <f>AI103*VLOOKUP('Données projet'!$B$10,Paramètres!$A$1:$I$89,3,0)*VLOOKUP('Données projet'!$B$10,Paramètres!$A$1:$I$89,5,0)</f>
        <v>1.4897523215040567E-13</v>
      </c>
      <c r="AK103" s="14">
        <f t="shared" si="89"/>
        <v>2.136562777003313E-12</v>
      </c>
      <c r="AL103" s="22">
        <f t="shared" si="58"/>
        <v>3.9806453659427267E-12</v>
      </c>
      <c r="AM103" s="62">
        <f t="shared" si="59"/>
        <v>293.33333333333729</v>
      </c>
      <c r="AN103" s="62">
        <f ca="1">AVERAGE(OFFSET($AM$3,0,0,'Données projet'!$E$10+1,1))-AVERAGE(OFFSET($H$3,0,0,'Données projet'!$E$10+1,1))</f>
        <v>239.16843440041487</v>
      </c>
      <c r="AO103" s="62">
        <f t="shared" si="90"/>
        <v>241.82319822554194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5.675989856283537E-10</v>
      </c>
      <c r="AX103" s="23">
        <f t="shared" si="60"/>
        <v>5.675989856283537E-10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4.4337866711430253E-14</v>
      </c>
      <c r="BF103" s="14">
        <f t="shared" si="91"/>
        <v>7.3222115536967035E-13</v>
      </c>
      <c r="BG103" s="22">
        <f t="shared" si="61"/>
        <v>1.3525069634579169E-12</v>
      </c>
      <c r="BH103" s="62">
        <f t="shared" si="62"/>
        <v>293.33333333333468</v>
      </c>
      <c r="BI103" s="62">
        <f ca="1">AVERAGE(OFFSET($BH$3,0,0,'Données projet'!$E$11+1,1))-AVERAGE(OFFSET($H$3,0,0,'Données projet'!$E$11+1,1))</f>
        <v>0</v>
      </c>
      <c r="BJ103" s="62">
        <f t="shared" si="92"/>
        <v>0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0.24928754654348251</v>
      </c>
      <c r="BR103" s="23">
        <f>EXP(-LN(2)/2)*BR102+(1-EXP(-LN(2)/2))/(LN(2)/2)*BL103*BO103*VLOOKUP('Données projet'!$B$11,Paramètres!$A$1:$I$89,3,0)*0.475*44/12</f>
        <v>9.8874343059960729E-11</v>
      </c>
      <c r="BS103" s="24">
        <f t="shared" si="63"/>
        <v>0.24928754664235686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439.06700232017681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1.2751654878508738</v>
      </c>
      <c r="AB104" s="23">
        <f>EXP(-LN(2)/2)*AB103+(1-EXP(-LN(2)/2))/(LN(2)/2)*V104*Y104*VLOOKUP('Données projet'!$B$9,Paramètres!$A$1:$I$89,3,0)*0.475*44/12</f>
        <v>3.0683594398229516E-10</v>
      </c>
      <c r="AC104" s="24">
        <f t="shared" si="57"/>
        <v>1.2751654881577097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1.7053025658242404E-13</v>
      </c>
      <c r="AJ104" s="14">
        <f>AI104*VLOOKUP('Données projet'!$B$10,Paramètres!$A$1:$I$89,3,0)*VLOOKUP('Données projet'!$B$10,Paramètres!$A$1:$I$89,5,0)</f>
        <v>1.4897523215040567E-13</v>
      </c>
      <c r="AK104" s="14">
        <f t="shared" si="89"/>
        <v>2.136562777003313E-12</v>
      </c>
      <c r="AL104" s="22">
        <f t="shared" si="58"/>
        <v>3.9806453659427267E-12</v>
      </c>
      <c r="AM104" s="62">
        <f t="shared" si="59"/>
        <v>293.33333333333729</v>
      </c>
      <c r="AN104" s="62">
        <f ca="1">AVERAGE(OFFSET($AM$3,0,0,'Données projet'!$E$10+1,1))-AVERAGE(OFFSET($H$3,0,0,'Données projet'!$E$10+1,1))</f>
        <v>239.16843440041487</v>
      </c>
      <c r="AO104" s="62">
        <f t="shared" si="90"/>
        <v>241.82319822554194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4.0135309173241464E-10</v>
      </c>
      <c r="AX104" s="23">
        <f t="shared" si="60"/>
        <v>4.0135309173241464E-10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4.4337866711430253E-14</v>
      </c>
      <c r="BF104" s="14">
        <f t="shared" si="91"/>
        <v>7.3222115536967035E-13</v>
      </c>
      <c r="BG104" s="22">
        <f t="shared" si="61"/>
        <v>1.3525069634579169E-12</v>
      </c>
      <c r="BH104" s="62">
        <f t="shared" si="62"/>
        <v>293.33333333333468</v>
      </c>
      <c r="BI104" s="62">
        <f ca="1">AVERAGE(OFFSET($BH$3,0,0,'Données projet'!$E$11+1,1))-AVERAGE(OFFSET($H$3,0,0,'Données projet'!$E$11+1,1))</f>
        <v>0</v>
      </c>
      <c r="BJ104" s="62">
        <f t="shared" si="92"/>
        <v>0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0.24247076547378865</v>
      </c>
      <c r="BR104" s="23">
        <f>EXP(-LN(2)/2)*BR103+(1-EXP(-LN(2)/2))/(LN(2)/2)*BL104*BO104*VLOOKUP('Données projet'!$B$11,Paramètres!$A$1:$I$89,3,0)*0.475*44/12</f>
        <v>6.9914718463063284E-11</v>
      </c>
      <c r="BS104" s="24">
        <f t="shared" si="63"/>
        <v>0.24247076554370336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439.06700232017681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1.2402960205275531</v>
      </c>
      <c r="AB105" s="23">
        <f>EXP(-LN(2)/2)*AB104+(1-EXP(-LN(2)/2))/(LN(2)/2)*V105*Y105*VLOOKUP('Données projet'!$B$9,Paramètres!$A$1:$I$89,3,0)*0.475*44/12</f>
        <v>2.1696577670165654E-10</v>
      </c>
      <c r="AC105" s="24">
        <f t="shared" si="57"/>
        <v>1.2402960207445188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1.7053025658242404E-13</v>
      </c>
      <c r="AJ105" s="14">
        <f>AI105*VLOOKUP('Données projet'!$B$10,Paramètres!$A$1:$I$89,3,0)*VLOOKUP('Données projet'!$B$10,Paramètres!$A$1:$I$89,5,0)</f>
        <v>1.4897523215040567E-13</v>
      </c>
      <c r="AK105" s="14">
        <f t="shared" si="89"/>
        <v>2.136562777003313E-12</v>
      </c>
      <c r="AL105" s="22">
        <f t="shared" si="58"/>
        <v>3.9806453659427267E-12</v>
      </c>
      <c r="AM105" s="62">
        <f t="shared" si="59"/>
        <v>293.33333333333729</v>
      </c>
      <c r="AN105" s="62">
        <f ca="1">AVERAGE(OFFSET($AM$3,0,0,'Données projet'!$E$10+1,1))-AVERAGE(OFFSET($H$3,0,0,'Données projet'!$E$10+1,1))</f>
        <v>239.16843440041487</v>
      </c>
      <c r="AO105" s="62">
        <f t="shared" si="90"/>
        <v>241.82319822554194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2.8379949281417685E-10</v>
      </c>
      <c r="AX105" s="23">
        <f t="shared" si="60"/>
        <v>2.8379949281417685E-10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4.4337866711430253E-14</v>
      </c>
      <c r="BF105" s="14">
        <f t="shared" si="91"/>
        <v>7.3222115536967035E-13</v>
      </c>
      <c r="BG105" s="22">
        <f t="shared" si="61"/>
        <v>1.3525069634579169E-12</v>
      </c>
      <c r="BH105" s="62">
        <f t="shared" si="62"/>
        <v>293.33333333333468</v>
      </c>
      <c r="BI105" s="62">
        <f ca="1">AVERAGE(OFFSET($BH$3,0,0,'Données projet'!$E$11+1,1))-AVERAGE(OFFSET($H$3,0,0,'Données projet'!$E$11+1,1))</f>
        <v>0</v>
      </c>
      <c r="BJ105" s="62">
        <f t="shared" si="92"/>
        <v>0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0.23584038964092452</v>
      </c>
      <c r="BR105" s="23">
        <f>EXP(-LN(2)/2)*BR104+(1-EXP(-LN(2)/2))/(LN(2)/2)*BL105*BO105*VLOOKUP('Données projet'!$B$11,Paramètres!$A$1:$I$89,3,0)*0.475*44/12</f>
        <v>4.9437171529980365E-11</v>
      </c>
      <c r="BS105" s="24">
        <f t="shared" si="63"/>
        <v>0.2358403896903617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439.06700232017681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1.2063800606218942</v>
      </c>
      <c r="AB106" s="23">
        <f>EXP(-LN(2)/2)*AB105+(1-EXP(-LN(2)/2))/(LN(2)/2)*V106*Y106*VLOOKUP('Données projet'!$B$9,Paramètres!$A$1:$I$89,3,0)*0.475*44/12</f>
        <v>1.5341797199114758E-10</v>
      </c>
      <c r="AC106" s="24">
        <f t="shared" si="57"/>
        <v>1.2063800607753121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1.7053025658242404E-13</v>
      </c>
      <c r="AJ106" s="14">
        <f>AI106*VLOOKUP('Données projet'!$B$10,Paramètres!$A$1:$I$89,3,0)*VLOOKUP('Données projet'!$B$10,Paramètres!$A$1:$I$89,5,0)</f>
        <v>1.4897523215040567E-13</v>
      </c>
      <c r="AK106" s="14">
        <f t="shared" si="89"/>
        <v>2.136562777003313E-12</v>
      </c>
      <c r="AL106" s="22">
        <f t="shared" si="58"/>
        <v>3.9806453659427267E-12</v>
      </c>
      <c r="AM106" s="62">
        <f t="shared" si="59"/>
        <v>293.33333333333729</v>
      </c>
      <c r="AN106" s="62">
        <f ca="1">AVERAGE(OFFSET($AM$3,0,0,'Données projet'!$E$10+1,1))-AVERAGE(OFFSET($H$3,0,0,'Données projet'!$E$10+1,1))</f>
        <v>239.16843440041487</v>
      </c>
      <c r="AO106" s="62">
        <f t="shared" si="90"/>
        <v>241.82319822554194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2.0067654586620732E-10</v>
      </c>
      <c r="AX106" s="23">
        <f t="shared" si="60"/>
        <v>2.0067654586620732E-10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4.4337866711430253E-14</v>
      </c>
      <c r="BF106" s="14">
        <f t="shared" si="91"/>
        <v>7.3222115536967035E-13</v>
      </c>
      <c r="BG106" s="22">
        <f t="shared" si="61"/>
        <v>1.3525069634579169E-12</v>
      </c>
      <c r="BH106" s="62">
        <f t="shared" si="62"/>
        <v>293.33333333333468</v>
      </c>
      <c r="BI106" s="62">
        <f ca="1">AVERAGE(OFFSET($BH$3,0,0,'Données projet'!$E$11+1,1))-AVERAGE(OFFSET($H$3,0,0,'Données projet'!$E$11+1,1))</f>
        <v>0</v>
      </c>
      <c r="BJ106" s="62">
        <f t="shared" si="92"/>
        <v>0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0.22939132178388635</v>
      </c>
      <c r="BR106" s="23">
        <f>EXP(-LN(2)/2)*BR105+(1-EXP(-LN(2)/2))/(LN(2)/2)*BL106*BO106*VLOOKUP('Données projet'!$B$11,Paramètres!$A$1:$I$89,3,0)*0.475*44/12</f>
        <v>3.4957359231531642E-11</v>
      </c>
      <c r="BS106" s="24">
        <f t="shared" si="63"/>
        <v>0.22939132181884372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439.06700232017681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1.1733915344234183</v>
      </c>
      <c r="AB107" s="23">
        <f>EXP(-LN(2)/2)*AB106+(1-EXP(-LN(2)/2))/(LN(2)/2)*V107*Y107*VLOOKUP('Données projet'!$B$9,Paramètres!$A$1:$I$89,3,0)*0.475*44/12</f>
        <v>1.0848288835082827E-10</v>
      </c>
      <c r="AC107" s="24">
        <f t="shared" si="57"/>
        <v>1.173391534531901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1.7053025658242404E-13</v>
      </c>
      <c r="AJ107" s="14">
        <f>AI107*VLOOKUP('Données projet'!$B$10,Paramètres!$A$1:$I$89,3,0)*VLOOKUP('Données projet'!$B$10,Paramètres!$A$1:$I$89,5,0)</f>
        <v>1.4897523215040567E-13</v>
      </c>
      <c r="AK107" s="14">
        <f t="shared" si="89"/>
        <v>2.136562777003313E-12</v>
      </c>
      <c r="AL107" s="22">
        <f t="shared" si="58"/>
        <v>3.9806453659427267E-12</v>
      </c>
      <c r="AM107" s="62">
        <f t="shared" si="59"/>
        <v>293.33333333333729</v>
      </c>
      <c r="AN107" s="62">
        <f ca="1">AVERAGE(OFFSET($AM$3,0,0,'Données projet'!$E$10+1,1))-AVERAGE(OFFSET($H$3,0,0,'Données projet'!$E$10+1,1))</f>
        <v>239.16843440041487</v>
      </c>
      <c r="AO107" s="62">
        <f t="shared" si="90"/>
        <v>241.82319822554194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1.4189974640708843E-10</v>
      </c>
      <c r="AX107" s="23">
        <f t="shared" si="60"/>
        <v>1.4189974640708843E-10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4.4337866711430253E-14</v>
      </c>
      <c r="BF107" s="14">
        <f t="shared" si="91"/>
        <v>7.3222115536967035E-13</v>
      </c>
      <c r="BG107" s="22">
        <f t="shared" si="61"/>
        <v>1.3525069634579169E-12</v>
      </c>
      <c r="BH107" s="62">
        <f t="shared" si="62"/>
        <v>293.33333333333468</v>
      </c>
      <c r="BI107" s="62">
        <f ca="1">AVERAGE(OFFSET($BH$3,0,0,'Données projet'!$E$11+1,1))-AVERAGE(OFFSET($H$3,0,0,'Données projet'!$E$11+1,1))</f>
        <v>0</v>
      </c>
      <c r="BJ107" s="62">
        <f t="shared" si="92"/>
        <v>0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0.22311860402654066</v>
      </c>
      <c r="BR107" s="23">
        <f>EXP(-LN(2)/2)*BR106+(1-EXP(-LN(2)/2))/(LN(2)/2)*BL107*BO107*VLOOKUP('Données projet'!$B$11,Paramètres!$A$1:$I$89,3,0)*0.475*44/12</f>
        <v>2.4718585764990182E-11</v>
      </c>
      <c r="BS107" s="24">
        <f t="shared" si="63"/>
        <v>0.22311860405125925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439.06700232017681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1.1413050812086309</v>
      </c>
      <c r="AB108" s="23">
        <f>EXP(-LN(2)/2)*AB107+(1-EXP(-LN(2)/2))/(LN(2)/2)*V108*Y108*VLOOKUP('Données projet'!$B$9,Paramètres!$A$1:$I$89,3,0)*0.475*44/12</f>
        <v>7.6708985995573791E-11</v>
      </c>
      <c r="AC108" s="24">
        <f t="shared" si="57"/>
        <v>1.14130508128534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1.7053025658242404E-13</v>
      </c>
      <c r="AJ108" s="14">
        <f>AI108*VLOOKUP('Données projet'!$B$10,Paramètres!$A$1:$I$89,3,0)*VLOOKUP('Données projet'!$B$10,Paramètres!$A$1:$I$89,5,0)</f>
        <v>1.4897523215040567E-13</v>
      </c>
      <c r="AK108" s="14">
        <f t="shared" si="89"/>
        <v>2.136562777003313E-12</v>
      </c>
      <c r="AL108" s="22">
        <f t="shared" si="58"/>
        <v>3.9806453659427267E-12</v>
      </c>
      <c r="AM108" s="62">
        <f t="shared" si="59"/>
        <v>293.33333333333729</v>
      </c>
      <c r="AN108" s="62">
        <f ca="1">AVERAGE(OFFSET($AM$3,0,0,'Données projet'!$E$10+1,1))-AVERAGE(OFFSET($H$3,0,0,'Données projet'!$E$10+1,1))</f>
        <v>239.16843440041487</v>
      </c>
      <c r="AO108" s="62">
        <f t="shared" si="90"/>
        <v>241.82319822554194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1.0033827293310366E-10</v>
      </c>
      <c r="AX108" s="23">
        <f t="shared" si="60"/>
        <v>1.0033827293310366E-10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4.4337866711430253E-14</v>
      </c>
      <c r="BF108" s="14">
        <f t="shared" si="91"/>
        <v>7.3222115536967035E-13</v>
      </c>
      <c r="BG108" s="22">
        <f t="shared" si="61"/>
        <v>1.3525069634579169E-12</v>
      </c>
      <c r="BH108" s="62">
        <f t="shared" si="62"/>
        <v>293.33333333333468</v>
      </c>
      <c r="BI108" s="62">
        <f ca="1">AVERAGE(OFFSET($BH$3,0,0,'Données projet'!$E$11+1,1))-AVERAGE(OFFSET($H$3,0,0,'Données projet'!$E$11+1,1))</f>
        <v>0</v>
      </c>
      <c r="BJ108" s="62">
        <f t="shared" si="92"/>
        <v>0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0.21701741406613745</v>
      </c>
      <c r="BR108" s="23">
        <f>EXP(-LN(2)/2)*BR107+(1-EXP(-LN(2)/2))/(LN(2)/2)*BL108*BO108*VLOOKUP('Données projet'!$B$11,Paramètres!$A$1:$I$89,3,0)*0.475*44/12</f>
        <v>1.7478679615765821E-11</v>
      </c>
      <c r="BS108" s="24">
        <f t="shared" si="63"/>
        <v>0.21701741408361613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439.06700232017681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1.1100960337443553</v>
      </c>
      <c r="AB109" s="23">
        <f>EXP(-LN(2)/2)*AB108+(1-EXP(-LN(2)/2))/(LN(2)/2)*V109*Y109*VLOOKUP('Données projet'!$B$9,Paramètres!$A$1:$I$89,3,0)*0.475*44/12</f>
        <v>5.4241444175414136E-11</v>
      </c>
      <c r="AC109" s="24">
        <f t="shared" si="57"/>
        <v>1.1100960337985968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1.7053025658242404E-13</v>
      </c>
      <c r="AJ109" s="14">
        <f>AI109*VLOOKUP('Données projet'!$B$10,Paramètres!$A$1:$I$89,3,0)*VLOOKUP('Données projet'!$B$10,Paramètres!$A$1:$I$89,5,0)</f>
        <v>1.4897523215040567E-13</v>
      </c>
      <c r="AK109" s="14">
        <f t="shared" si="89"/>
        <v>2.136562777003313E-12</v>
      </c>
      <c r="AL109" s="22">
        <f t="shared" si="58"/>
        <v>3.9806453659427267E-12</v>
      </c>
      <c r="AM109" s="62">
        <f t="shared" si="59"/>
        <v>293.33333333333729</v>
      </c>
      <c r="AN109" s="62">
        <f ca="1">AVERAGE(OFFSET($AM$3,0,0,'Données projet'!$E$10+1,1))-AVERAGE(OFFSET($H$3,0,0,'Données projet'!$E$10+1,1))</f>
        <v>239.16843440041487</v>
      </c>
      <c r="AO109" s="62">
        <f t="shared" si="90"/>
        <v>241.82319822554194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7.0949873203544213E-11</v>
      </c>
      <c r="AX109" s="23">
        <f t="shared" si="60"/>
        <v>7.0949873203544213E-11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4.4337866711430253E-14</v>
      </c>
      <c r="BF109" s="14">
        <f t="shared" si="91"/>
        <v>7.3222115536967035E-13</v>
      </c>
      <c r="BG109" s="22">
        <f t="shared" si="61"/>
        <v>1.3525069634579169E-12</v>
      </c>
      <c r="BH109" s="62">
        <f t="shared" si="62"/>
        <v>293.33333333333468</v>
      </c>
      <c r="BI109" s="62">
        <f ca="1">AVERAGE(OFFSET($BH$3,0,0,'Données projet'!$E$11+1,1))-AVERAGE(OFFSET($H$3,0,0,'Données projet'!$E$11+1,1))</f>
        <v>0</v>
      </c>
      <c r="BJ109" s="62">
        <f t="shared" si="92"/>
        <v>0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0.2110830614660491</v>
      </c>
      <c r="BR109" s="23">
        <f>EXP(-LN(2)/2)*BR108+(1-EXP(-LN(2)/2))/(LN(2)/2)*BL109*BO109*VLOOKUP('Données projet'!$B$11,Paramètres!$A$1:$I$89,3,0)*0.475*44/12</f>
        <v>1.2359292882495091E-11</v>
      </c>
      <c r="BS109" s="24">
        <f t="shared" si="63"/>
        <v>0.21108306147840838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439.06700232017681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1.0797403993242027</v>
      </c>
      <c r="AB110" s="23">
        <f>EXP(-LN(2)/2)*AB109+(1-EXP(-LN(2)/2))/(LN(2)/2)*V110*Y110*VLOOKUP('Données projet'!$B$9,Paramètres!$A$1:$I$89,3,0)*0.475*44/12</f>
        <v>3.8354492997786895E-11</v>
      </c>
      <c r="AC110" s="24">
        <f t="shared" si="57"/>
        <v>1.0797403993625572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1.7053025658242404E-13</v>
      </c>
      <c r="AJ110" s="14">
        <f>AI110*VLOOKUP('Données projet'!$B$10,Paramètres!$A$1:$I$89,3,0)*VLOOKUP('Données projet'!$B$10,Paramètres!$A$1:$I$89,5,0)</f>
        <v>1.4897523215040567E-13</v>
      </c>
      <c r="AK110" s="14">
        <f t="shared" si="89"/>
        <v>2.136562777003313E-12</v>
      </c>
      <c r="AL110" s="22">
        <f t="shared" si="58"/>
        <v>3.9806453659427267E-12</v>
      </c>
      <c r="AM110" s="62">
        <f t="shared" si="59"/>
        <v>293.33333333333729</v>
      </c>
      <c r="AN110" s="62">
        <f ca="1">AVERAGE(OFFSET($AM$3,0,0,'Données projet'!$E$10+1,1))-AVERAGE(OFFSET($H$3,0,0,'Données projet'!$E$10+1,1))</f>
        <v>239.16843440041487</v>
      </c>
      <c r="AO110" s="62">
        <f t="shared" si="90"/>
        <v>241.82319822554194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5.016913646655183E-11</v>
      </c>
      <c r="AX110" s="23">
        <f t="shared" si="60"/>
        <v>5.016913646655183E-11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4.4337866711430253E-14</v>
      </c>
      <c r="BF110" s="14">
        <f t="shared" si="91"/>
        <v>7.3222115536967035E-13</v>
      </c>
      <c r="BG110" s="22">
        <f t="shared" si="61"/>
        <v>1.3525069634579169E-12</v>
      </c>
      <c r="BH110" s="62">
        <f t="shared" si="62"/>
        <v>293.33333333333468</v>
      </c>
      <c r="BI110" s="62">
        <f ca="1">AVERAGE(OFFSET($BH$3,0,0,'Données projet'!$E$11+1,1))-AVERAGE(OFFSET($H$3,0,0,'Données projet'!$E$11+1,1))</f>
        <v>0</v>
      </c>
      <c r="BJ110" s="62">
        <f t="shared" si="92"/>
        <v>0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0.20531098404988424</v>
      </c>
      <c r="BR110" s="23">
        <f>EXP(-LN(2)/2)*BR109+(1-EXP(-LN(2)/2))/(LN(2)/2)*BL110*BO110*VLOOKUP('Données projet'!$B$11,Paramètres!$A$1:$I$89,3,0)*0.475*44/12</f>
        <v>8.7393398078829106E-12</v>
      </c>
      <c r="BS110" s="24">
        <f t="shared" si="63"/>
        <v>0.20531098405862358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439.06700232017681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1.0502148413236025</v>
      </c>
      <c r="AB111" s="23">
        <f>EXP(-LN(2)/2)*AB110+(1-EXP(-LN(2)/2))/(LN(2)/2)*V111*Y111*VLOOKUP('Données projet'!$B$9,Paramètres!$A$1:$I$89,3,0)*0.475*44/12</f>
        <v>2.7120722087707068E-11</v>
      </c>
      <c r="AC111" s="24">
        <f t="shared" si="57"/>
        <v>1.0502148413507233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1.7053025658242404E-13</v>
      </c>
      <c r="AJ111" s="14">
        <f>AI111*VLOOKUP('Données projet'!$B$10,Paramètres!$A$1:$I$89,3,0)*VLOOKUP('Données projet'!$B$10,Paramètres!$A$1:$I$89,5,0)</f>
        <v>1.4897523215040567E-13</v>
      </c>
      <c r="AK111" s="14">
        <f t="shared" si="89"/>
        <v>2.136562777003313E-12</v>
      </c>
      <c r="AL111" s="22">
        <f t="shared" si="58"/>
        <v>3.9806453659427267E-12</v>
      </c>
      <c r="AM111" s="62">
        <f t="shared" si="59"/>
        <v>293.33333333333729</v>
      </c>
      <c r="AN111" s="62">
        <f ca="1">AVERAGE(OFFSET($AM$3,0,0,'Données projet'!$E$10+1,1))-AVERAGE(OFFSET($H$3,0,0,'Données projet'!$E$10+1,1))</f>
        <v>239.16843440041487</v>
      </c>
      <c r="AO111" s="62">
        <f t="shared" si="90"/>
        <v>241.82319822554194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3.5474936601772106E-11</v>
      </c>
      <c r="AX111" s="23">
        <f t="shared" si="60"/>
        <v>3.5474936601772106E-11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4.4337866711430253E-14</v>
      </c>
      <c r="BF111" s="14">
        <f t="shared" si="91"/>
        <v>7.3222115536967035E-13</v>
      </c>
      <c r="BG111" s="22">
        <f t="shared" si="61"/>
        <v>1.3525069634579169E-12</v>
      </c>
      <c r="BH111" s="62">
        <f t="shared" si="62"/>
        <v>293.33333333333468</v>
      </c>
      <c r="BI111" s="62">
        <f ca="1">AVERAGE(OFFSET($BH$3,0,0,'Données projet'!$E$11+1,1))-AVERAGE(OFFSET($H$3,0,0,'Données projet'!$E$11+1,1))</f>
        <v>0</v>
      </c>
      <c r="BJ111" s="62">
        <f t="shared" si="92"/>
        <v>0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0.19969674439420473</v>
      </c>
      <c r="BR111" s="23">
        <f>EXP(-LN(2)/2)*BR110+(1-EXP(-LN(2)/2))/(LN(2)/2)*BL111*BO111*VLOOKUP('Données projet'!$B$11,Paramètres!$A$1:$I$89,3,0)*0.475*44/12</f>
        <v>6.1796464412475456E-12</v>
      </c>
      <c r="BS111" s="24">
        <f t="shared" si="63"/>
        <v>0.19969674440038437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439.06700232017681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1.0214966612592105</v>
      </c>
      <c r="AB112" s="23">
        <f>EXP(-LN(2)/2)*AB111+(1-EXP(-LN(2)/2))/(LN(2)/2)*V112*Y112*VLOOKUP('Données projet'!$B$9,Paramètres!$A$1:$I$89,3,0)*0.475*44/12</f>
        <v>1.9177246498893448E-11</v>
      </c>
      <c r="AC112" s="24">
        <f t="shared" si="57"/>
        <v>1.0214966612783878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1.7053025658242404E-13</v>
      </c>
      <c r="AJ112" s="14">
        <f>AI112*VLOOKUP('Données projet'!$B$10,Paramètres!$A$1:$I$89,3,0)*VLOOKUP('Données projet'!$B$10,Paramètres!$A$1:$I$89,5,0)</f>
        <v>1.4897523215040567E-13</v>
      </c>
      <c r="AK112" s="14">
        <f t="shared" si="89"/>
        <v>2.136562777003313E-12</v>
      </c>
      <c r="AL112" s="22">
        <f t="shared" si="58"/>
        <v>3.9806453659427267E-12</v>
      </c>
      <c r="AM112" s="62">
        <f t="shared" si="59"/>
        <v>293.33333333333729</v>
      </c>
      <c r="AN112" s="62">
        <f ca="1">AVERAGE(OFFSET($AM$3,0,0,'Données projet'!$E$10+1,1))-AVERAGE(OFFSET($H$3,0,0,'Données projet'!$E$10+1,1))</f>
        <v>239.16843440041487</v>
      </c>
      <c r="AO112" s="62">
        <f t="shared" si="90"/>
        <v>241.82319822554194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2.5084568233275915E-11</v>
      </c>
      <c r="AX112" s="23">
        <f t="shared" si="60"/>
        <v>2.5084568233275915E-11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4.4337866711430253E-14</v>
      </c>
      <c r="BF112" s="14">
        <f t="shared" si="91"/>
        <v>7.3222115536967035E-13</v>
      </c>
      <c r="BG112" s="22">
        <f t="shared" si="61"/>
        <v>1.3525069634579169E-12</v>
      </c>
      <c r="BH112" s="62">
        <f t="shared" si="62"/>
        <v>293.33333333333468</v>
      </c>
      <c r="BI112" s="62">
        <f ca="1">AVERAGE(OFFSET($BH$3,0,0,'Données projet'!$E$11+1,1))-AVERAGE(OFFSET($H$3,0,0,'Données projet'!$E$11+1,1))</f>
        <v>0</v>
      </c>
      <c r="BJ112" s="62">
        <f t="shared" si="92"/>
        <v>0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0.19423602641714982</v>
      </c>
      <c r="BR112" s="23">
        <f>EXP(-LN(2)/2)*BR111+(1-EXP(-LN(2)/2))/(LN(2)/2)*BL112*BO112*VLOOKUP('Données projet'!$B$11,Paramètres!$A$1:$I$89,3,0)*0.475*44/12</f>
        <v>4.3696699039414553E-12</v>
      </c>
      <c r="BS112" s="24">
        <f t="shared" si="63"/>
        <v>0.19423602642151949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439.06700232017681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0.99356378133890255</v>
      </c>
      <c r="AB113" s="23">
        <f>EXP(-LN(2)/2)*AB112+(1-EXP(-LN(2)/2))/(LN(2)/2)*V113*Y113*VLOOKUP('Données projet'!$B$9,Paramètres!$A$1:$I$89,3,0)*0.475*44/12</f>
        <v>1.3560361043853534E-11</v>
      </c>
      <c r="AC113" s="24">
        <f t="shared" si="57"/>
        <v>0.99356378135246293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1.7053025658242404E-13</v>
      </c>
      <c r="AJ113" s="14">
        <f>AI113*VLOOKUP('Données projet'!$B$10,Paramètres!$A$1:$I$89,3,0)*VLOOKUP('Données projet'!$B$10,Paramètres!$A$1:$I$89,5,0)</f>
        <v>1.4897523215040567E-13</v>
      </c>
      <c r="AK113" s="14">
        <f t="shared" si="89"/>
        <v>2.136562777003313E-12</v>
      </c>
      <c r="AL113" s="22">
        <f t="shared" si="58"/>
        <v>3.9806453659427267E-12</v>
      </c>
      <c r="AM113" s="62">
        <f t="shared" si="59"/>
        <v>293.33333333333729</v>
      </c>
      <c r="AN113" s="62">
        <f ca="1">AVERAGE(OFFSET($AM$3,0,0,'Données projet'!$E$10+1,1))-AVERAGE(OFFSET($H$3,0,0,'Données projet'!$E$10+1,1))</f>
        <v>239.16843440041487</v>
      </c>
      <c r="AO113" s="62">
        <f t="shared" si="90"/>
        <v>241.82319822554194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1.7737468300886053E-11</v>
      </c>
      <c r="AX113" s="23">
        <f t="shared" si="60"/>
        <v>1.7737468300886053E-11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4.4337866711430253E-14</v>
      </c>
      <c r="BF113" s="14">
        <f t="shared" si="91"/>
        <v>7.3222115536967035E-13</v>
      </c>
      <c r="BG113" s="22">
        <f t="shared" si="61"/>
        <v>1.3525069634579169E-12</v>
      </c>
      <c r="BH113" s="62">
        <f t="shared" si="62"/>
        <v>293.33333333333468</v>
      </c>
      <c r="BI113" s="62">
        <f ca="1">AVERAGE(OFFSET($BH$3,0,0,'Données projet'!$E$11+1,1))-AVERAGE(OFFSET($H$3,0,0,'Données projet'!$E$11+1,1))</f>
        <v>0</v>
      </c>
      <c r="BJ113" s="62">
        <f t="shared" si="92"/>
        <v>0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0.18892463206034416</v>
      </c>
      <c r="BR113" s="23">
        <f>EXP(-LN(2)/2)*BR112+(1-EXP(-LN(2)/2))/(LN(2)/2)*BL113*BO113*VLOOKUP('Données projet'!$B$11,Paramètres!$A$1:$I$89,3,0)*0.475*44/12</f>
        <v>3.0898232206237728E-12</v>
      </c>
      <c r="BS113" s="24">
        <f t="shared" si="63"/>
        <v>0.18892463206343399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439.06700232017681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0.96639472748894184</v>
      </c>
      <c r="AB114" s="23">
        <f>EXP(-LN(2)/2)*AB113+(1-EXP(-LN(2)/2))/(LN(2)/2)*V114*Y114*VLOOKUP('Données projet'!$B$9,Paramètres!$A$1:$I$89,3,0)*0.475*44/12</f>
        <v>9.5886232494467239E-12</v>
      </c>
      <c r="AC114" s="24">
        <f t="shared" si="57"/>
        <v>0.9663947274985305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1.7053025658242404E-13</v>
      </c>
      <c r="AJ114" s="14">
        <f>AI114*VLOOKUP('Données projet'!$B$10,Paramètres!$A$1:$I$89,3,0)*VLOOKUP('Données projet'!$B$10,Paramètres!$A$1:$I$89,5,0)</f>
        <v>1.4897523215040567E-13</v>
      </c>
      <c r="AK114" s="14">
        <f t="shared" si="89"/>
        <v>2.136562777003313E-12</v>
      </c>
      <c r="AL114" s="22">
        <f t="shared" si="58"/>
        <v>3.9806453659427267E-12</v>
      </c>
      <c r="AM114" s="62">
        <f t="shared" si="59"/>
        <v>293.33333333333729</v>
      </c>
      <c r="AN114" s="62">
        <f ca="1">AVERAGE(OFFSET($AM$3,0,0,'Données projet'!$E$10+1,1))-AVERAGE(OFFSET($H$3,0,0,'Données projet'!$E$10+1,1))</f>
        <v>239.16843440041487</v>
      </c>
      <c r="AO114" s="62">
        <f t="shared" si="90"/>
        <v>241.82319822554194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1.2542284116637957E-11</v>
      </c>
      <c r="AX114" s="23">
        <f t="shared" si="60"/>
        <v>1.2542284116637957E-11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4.4337866711430253E-14</v>
      </c>
      <c r="BF114" s="14">
        <f t="shared" si="91"/>
        <v>7.3222115536967035E-13</v>
      </c>
      <c r="BG114" s="22">
        <f t="shared" si="61"/>
        <v>1.3525069634579169E-12</v>
      </c>
      <c r="BH114" s="62">
        <f t="shared" si="62"/>
        <v>293.33333333333468</v>
      </c>
      <c r="BI114" s="62">
        <f ca="1">AVERAGE(OFFSET($BH$3,0,0,'Données projet'!$E$11+1,1))-AVERAGE(OFFSET($H$3,0,0,'Données projet'!$E$11+1,1))</f>
        <v>0</v>
      </c>
      <c r="BJ114" s="62">
        <f t="shared" si="92"/>
        <v>0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0.18375847806153944</v>
      </c>
      <c r="BR114" s="23">
        <f>EXP(-LN(2)/2)*BR113+(1-EXP(-LN(2)/2))/(LN(2)/2)*BL114*BO114*VLOOKUP('Données projet'!$B$11,Paramètres!$A$1:$I$89,3,0)*0.475*44/12</f>
        <v>2.1848349519707276E-12</v>
      </c>
      <c r="BS114" s="24">
        <f t="shared" si="63"/>
        <v>0.18375847806372428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439.06700232017681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0.93996861284526678</v>
      </c>
      <c r="AB115" s="23">
        <f>EXP(-LN(2)/2)*AB114+(1-EXP(-LN(2)/2))/(LN(2)/2)*V115*Y115*VLOOKUP('Données projet'!$B$9,Paramètres!$A$1:$I$89,3,0)*0.475*44/12</f>
        <v>6.7801805219267669E-12</v>
      </c>
      <c r="AC115" s="24">
        <f t="shared" si="57"/>
        <v>0.93996861285204691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1.7053025658242404E-13</v>
      </c>
      <c r="AJ115" s="14">
        <f>AI115*VLOOKUP('Données projet'!$B$10,Paramètres!$A$1:$I$89,3,0)*VLOOKUP('Données projet'!$B$10,Paramètres!$A$1:$I$89,5,0)</f>
        <v>1.4897523215040567E-13</v>
      </c>
      <c r="AK115" s="14">
        <f t="shared" si="89"/>
        <v>2.136562777003313E-12</v>
      </c>
      <c r="AL115" s="22">
        <f t="shared" si="58"/>
        <v>3.9806453659427267E-12</v>
      </c>
      <c r="AM115" s="62">
        <f t="shared" si="59"/>
        <v>293.33333333333729</v>
      </c>
      <c r="AN115" s="62">
        <f ca="1">AVERAGE(OFFSET($AM$3,0,0,'Données projet'!$E$10+1,1))-AVERAGE(OFFSET($H$3,0,0,'Données projet'!$E$10+1,1))</f>
        <v>239.16843440041487</v>
      </c>
      <c r="AO115" s="62">
        <f t="shared" si="90"/>
        <v>241.82319822554194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8.8687341504430266E-12</v>
      </c>
      <c r="AX115" s="23">
        <f t="shared" si="60"/>
        <v>8.8687341504430266E-12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4.4337866711430253E-14</v>
      </c>
      <c r="BF115" s="14">
        <f t="shared" si="91"/>
        <v>7.3222115536967035E-13</v>
      </c>
      <c r="BG115" s="22">
        <f t="shared" si="61"/>
        <v>1.3525069634579169E-12</v>
      </c>
      <c r="BH115" s="62">
        <f t="shared" si="62"/>
        <v>293.33333333333468</v>
      </c>
      <c r="BI115" s="62">
        <f ca="1">AVERAGE(OFFSET($BH$3,0,0,'Données projet'!$E$11+1,1))-AVERAGE(OFFSET($H$3,0,0,'Données projet'!$E$11+1,1))</f>
        <v>0</v>
      </c>
      <c r="BJ115" s="62">
        <f t="shared" si="92"/>
        <v>0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0.17873359281550827</v>
      </c>
      <c r="BR115" s="23">
        <f>EXP(-LN(2)/2)*BR114+(1-EXP(-LN(2)/2))/(LN(2)/2)*BL115*BO115*VLOOKUP('Données projet'!$B$11,Paramètres!$A$1:$I$89,3,0)*0.475*44/12</f>
        <v>1.5449116103118864E-12</v>
      </c>
      <c r="BS115" s="24">
        <f t="shared" si="63"/>
        <v>0.17873359281705317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439.06700232017681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0.91426512169621199</v>
      </c>
      <c r="AB116" s="23">
        <f>EXP(-LN(2)/2)*AB115+(1-EXP(-LN(2)/2))/(LN(2)/2)*V116*Y116*VLOOKUP('Données projet'!$B$9,Paramètres!$A$1:$I$89,3,0)*0.475*44/12</f>
        <v>4.7943116247233619E-12</v>
      </c>
      <c r="AC116" s="24">
        <f t="shared" si="57"/>
        <v>0.91426512170100627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1.7053025658242404E-13</v>
      </c>
      <c r="AJ116" s="14">
        <f>AI116*VLOOKUP('Données projet'!$B$10,Paramètres!$A$1:$I$89,3,0)*VLOOKUP('Données projet'!$B$10,Paramètres!$A$1:$I$89,5,0)</f>
        <v>1.4897523215040567E-13</v>
      </c>
      <c r="AK116" s="14">
        <f t="shared" si="89"/>
        <v>2.136562777003313E-12</v>
      </c>
      <c r="AL116" s="22">
        <f t="shared" si="58"/>
        <v>3.9806453659427267E-12</v>
      </c>
      <c r="AM116" s="62">
        <f t="shared" si="59"/>
        <v>293.33333333333729</v>
      </c>
      <c r="AN116" s="62">
        <f ca="1">AVERAGE(OFFSET($AM$3,0,0,'Données projet'!$E$10+1,1))-AVERAGE(OFFSET($H$3,0,0,'Données projet'!$E$10+1,1))</f>
        <v>239.16843440041487</v>
      </c>
      <c r="AO116" s="62">
        <f t="shared" si="90"/>
        <v>241.82319822554194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6.2711420583189787E-12</v>
      </c>
      <c r="AX116" s="23">
        <f t="shared" si="60"/>
        <v>6.2711420583189787E-12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4.4337866711430253E-14</v>
      </c>
      <c r="BF116" s="14">
        <f t="shared" si="91"/>
        <v>7.3222115536967035E-13</v>
      </c>
      <c r="BG116" s="22">
        <f t="shared" si="61"/>
        <v>1.3525069634579169E-12</v>
      </c>
      <c r="BH116" s="62">
        <f t="shared" si="62"/>
        <v>293.33333333333468</v>
      </c>
      <c r="BI116" s="62">
        <f ca="1">AVERAGE(OFFSET($BH$3,0,0,'Données projet'!$E$11+1,1))-AVERAGE(OFFSET($H$3,0,0,'Données projet'!$E$11+1,1))</f>
        <v>0</v>
      </c>
      <c r="BJ116" s="62">
        <f t="shared" si="92"/>
        <v>0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0.17384611332077704</v>
      </c>
      <c r="BR116" s="23">
        <f>EXP(-LN(2)/2)*BR115+(1-EXP(-LN(2)/2))/(LN(2)/2)*BL116*BO116*VLOOKUP('Données projet'!$B$11,Paramètres!$A$1:$I$89,3,0)*0.475*44/12</f>
        <v>1.0924174759853638E-12</v>
      </c>
      <c r="BS116" s="24">
        <f t="shared" si="63"/>
        <v>0.17384611332186944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439.06700232017681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0.88926449386431594</v>
      </c>
      <c r="AB117" s="23">
        <f>EXP(-LN(2)/2)*AB116+(1-EXP(-LN(2)/2))/(LN(2)/2)*V117*Y117*VLOOKUP('Données projet'!$B$9,Paramètres!$A$1:$I$89,3,0)*0.475*44/12</f>
        <v>3.3900902609633835E-12</v>
      </c>
      <c r="AC117" s="24">
        <f t="shared" si="57"/>
        <v>0.88926449386770601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1.7053025658242404E-13</v>
      </c>
      <c r="AJ117" s="14">
        <f>AI117*VLOOKUP('Données projet'!$B$10,Paramètres!$A$1:$I$89,3,0)*VLOOKUP('Données projet'!$B$10,Paramètres!$A$1:$I$89,5,0)</f>
        <v>1.4897523215040567E-13</v>
      </c>
      <c r="AK117" s="14">
        <f t="shared" si="89"/>
        <v>2.136562777003313E-12</v>
      </c>
      <c r="AL117" s="22">
        <f t="shared" si="58"/>
        <v>3.9806453659427267E-12</v>
      </c>
      <c r="AM117" s="62">
        <f t="shared" si="59"/>
        <v>293.33333333333729</v>
      </c>
      <c r="AN117" s="62">
        <f ca="1">AVERAGE(OFFSET($AM$3,0,0,'Données projet'!$E$10+1,1))-AVERAGE(OFFSET($H$3,0,0,'Données projet'!$E$10+1,1))</f>
        <v>239.16843440041487</v>
      </c>
      <c r="AO117" s="62">
        <f t="shared" si="90"/>
        <v>241.82319822554194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4.4343670752215133E-12</v>
      </c>
      <c r="AX117" s="23">
        <f t="shared" si="60"/>
        <v>4.4343670752215133E-12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4.4337866711430253E-14</v>
      </c>
      <c r="BF117" s="14">
        <f t="shared" si="91"/>
        <v>7.3222115536967035E-13</v>
      </c>
      <c r="BG117" s="22">
        <f t="shared" si="61"/>
        <v>1.3525069634579169E-12</v>
      </c>
      <c r="BH117" s="62">
        <f t="shared" si="62"/>
        <v>293.33333333333468</v>
      </c>
      <c r="BI117" s="62">
        <f ca="1">AVERAGE(OFFSET($BH$3,0,0,'Données projet'!$E$11+1,1))-AVERAGE(OFFSET($H$3,0,0,'Données projet'!$E$11+1,1))</f>
        <v>0</v>
      </c>
      <c r="BJ117" s="62">
        <f t="shared" si="92"/>
        <v>0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0.16909228220985062</v>
      </c>
      <c r="BR117" s="23">
        <f>EXP(-LN(2)/2)*BR116+(1-EXP(-LN(2)/2))/(LN(2)/2)*BL117*BO117*VLOOKUP('Données projet'!$B$11,Paramètres!$A$1:$I$89,3,0)*0.475*44/12</f>
        <v>7.724558051559432E-13</v>
      </c>
      <c r="BS117" s="24">
        <f t="shared" si="63"/>
        <v>0.16909228221062308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439.06700232017681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0.86494750951520893</v>
      </c>
      <c r="AB118" s="23">
        <f>EXP(-LN(2)/2)*AB117+(1-EXP(-LN(2)/2))/(LN(2)/2)*V118*Y118*VLOOKUP('Données projet'!$B$9,Paramètres!$A$1:$I$89,3,0)*0.475*44/12</f>
        <v>2.397155812361681E-12</v>
      </c>
      <c r="AC118" s="24">
        <f t="shared" si="57"/>
        <v>0.86494750951760613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1.7053025658242404E-13</v>
      </c>
      <c r="AJ118" s="14">
        <f>AI118*VLOOKUP('Données projet'!$B$10,Paramètres!$A$1:$I$89,3,0)*VLOOKUP('Données projet'!$B$10,Paramètres!$A$1:$I$89,5,0)</f>
        <v>1.4897523215040567E-13</v>
      </c>
      <c r="AK118" s="14">
        <f t="shared" si="89"/>
        <v>2.136562777003313E-12</v>
      </c>
      <c r="AL118" s="22">
        <f t="shared" si="58"/>
        <v>3.9806453659427267E-12</v>
      </c>
      <c r="AM118" s="62">
        <f t="shared" si="59"/>
        <v>293.33333333333729</v>
      </c>
      <c r="AN118" s="62">
        <f ca="1">AVERAGE(OFFSET($AM$3,0,0,'Données projet'!$E$10+1,1))-AVERAGE(OFFSET($H$3,0,0,'Données projet'!$E$10+1,1))</f>
        <v>239.16843440041487</v>
      </c>
      <c r="AO118" s="62">
        <f t="shared" si="90"/>
        <v>241.82319822554194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3.1355710291594893E-12</v>
      </c>
      <c r="AX118" s="23">
        <f t="shared" si="60"/>
        <v>3.1355710291594893E-12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4.4337866711430253E-14</v>
      </c>
      <c r="BF118" s="14">
        <f t="shared" si="91"/>
        <v>7.3222115536967035E-13</v>
      </c>
      <c r="BG118" s="22">
        <f t="shared" si="61"/>
        <v>1.3525069634579169E-12</v>
      </c>
      <c r="BH118" s="62">
        <f t="shared" si="62"/>
        <v>293.33333333333468</v>
      </c>
      <c r="BI118" s="62">
        <f ca="1">AVERAGE(OFFSET($BH$3,0,0,'Données projet'!$E$11+1,1))-AVERAGE(OFFSET($H$3,0,0,'Données projet'!$E$11+1,1))</f>
        <v>0</v>
      </c>
      <c r="BJ118" s="62">
        <f t="shared" si="92"/>
        <v>0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0.1644684448606456</v>
      </c>
      <c r="BR118" s="23">
        <f>EXP(-LN(2)/2)*BR117+(1-EXP(-LN(2)/2))/(LN(2)/2)*BL118*BO118*VLOOKUP('Données projet'!$B$11,Paramètres!$A$1:$I$89,3,0)*0.475*44/12</f>
        <v>5.4620873799268191E-13</v>
      </c>
      <c r="BS118" s="24">
        <f t="shared" si="63"/>
        <v>0.1644684448611918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439.06700232017681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0.84129547438190289</v>
      </c>
      <c r="AB119" s="23">
        <f>EXP(-LN(2)/2)*AB118+(1-EXP(-LN(2)/2))/(LN(2)/2)*V119*Y119*VLOOKUP('Données projet'!$B$9,Paramètres!$A$1:$I$89,3,0)*0.475*44/12</f>
        <v>1.6950451304816917E-12</v>
      </c>
      <c r="AC119" s="24">
        <f t="shared" si="57"/>
        <v>0.84129547438359797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1.7053025658242404E-13</v>
      </c>
      <c r="AJ119" s="14">
        <f>AI119*VLOOKUP('Données projet'!$B$10,Paramètres!$A$1:$I$89,3,0)*VLOOKUP('Données projet'!$B$10,Paramètres!$A$1:$I$89,5,0)</f>
        <v>1.4897523215040567E-13</v>
      </c>
      <c r="AK119" s="14">
        <f t="shared" si="89"/>
        <v>2.136562777003313E-12</v>
      </c>
      <c r="AL119" s="22">
        <f t="shared" si="58"/>
        <v>3.9806453659427267E-12</v>
      </c>
      <c r="AM119" s="62">
        <f t="shared" si="59"/>
        <v>293.33333333333729</v>
      </c>
      <c r="AN119" s="62">
        <f ca="1">AVERAGE(OFFSET($AM$3,0,0,'Données projet'!$E$10+1,1))-AVERAGE(OFFSET($H$3,0,0,'Données projet'!$E$10+1,1))</f>
        <v>239.16843440041487</v>
      </c>
      <c r="AO119" s="62">
        <f t="shared" si="90"/>
        <v>241.82319822554194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2.2171835376107566E-12</v>
      </c>
      <c r="AX119" s="23">
        <f t="shared" si="60"/>
        <v>2.2171835376107566E-12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4.4337866711430253E-14</v>
      </c>
      <c r="BF119" s="14">
        <f t="shared" si="91"/>
        <v>7.3222115536967035E-13</v>
      </c>
      <c r="BG119" s="22">
        <f t="shared" si="61"/>
        <v>1.3525069634579169E-12</v>
      </c>
      <c r="BH119" s="62">
        <f t="shared" si="62"/>
        <v>293.33333333333468</v>
      </c>
      <c r="BI119" s="62">
        <f ca="1">AVERAGE(OFFSET($BH$3,0,0,'Données projet'!$E$11+1,1))-AVERAGE(OFFSET($H$3,0,0,'Données projet'!$E$11+1,1))</f>
        <v>0</v>
      </c>
      <c r="BJ119" s="62">
        <f t="shared" si="92"/>
        <v>0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0.15997104658691164</v>
      </c>
      <c r="BR119" s="23">
        <f>EXP(-LN(2)/2)*BR118+(1-EXP(-LN(2)/2))/(LN(2)/2)*BL119*BO119*VLOOKUP('Données projet'!$B$11,Paramètres!$A$1:$I$89,3,0)*0.475*44/12</f>
        <v>3.862279025779716E-13</v>
      </c>
      <c r="BS119" s="24">
        <f t="shared" si="63"/>
        <v>0.15997104658729785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439.06700232017681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0.81829020539312358</v>
      </c>
      <c r="AB120" s="23">
        <f>EXP(-LN(2)/2)*AB119+(1-EXP(-LN(2)/2))/(LN(2)/2)*V120*Y120*VLOOKUP('Données projet'!$B$9,Paramètres!$A$1:$I$89,3,0)*0.475*44/12</f>
        <v>1.1985779061808405E-12</v>
      </c>
      <c r="AC120" s="24">
        <f t="shared" si="57"/>
        <v>0.81829020539432218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1.7053025658242404E-13</v>
      </c>
      <c r="AJ120" s="14">
        <f>AI120*VLOOKUP('Données projet'!$B$10,Paramètres!$A$1:$I$89,3,0)*VLOOKUP('Données projet'!$B$10,Paramètres!$A$1:$I$89,5,0)</f>
        <v>1.4897523215040567E-13</v>
      </c>
      <c r="AK120" s="14">
        <f t="shared" si="89"/>
        <v>2.136562777003313E-12</v>
      </c>
      <c r="AL120" s="22">
        <f t="shared" si="58"/>
        <v>3.9806453659427267E-12</v>
      </c>
      <c r="AM120" s="62">
        <f t="shared" si="59"/>
        <v>293.33333333333729</v>
      </c>
      <c r="AN120" s="62">
        <f ca="1">AVERAGE(OFFSET($AM$3,0,0,'Données projet'!$E$10+1,1))-AVERAGE(OFFSET($H$3,0,0,'Données projet'!$E$10+1,1))</f>
        <v>239.16843440041487</v>
      </c>
      <c r="AO120" s="62">
        <f t="shared" si="90"/>
        <v>241.82319822554194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1.5677855145797447E-12</v>
      </c>
      <c r="AX120" s="23">
        <f t="shared" si="60"/>
        <v>1.5677855145797447E-12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4.4337866711430253E-14</v>
      </c>
      <c r="BF120" s="14">
        <f t="shared" si="91"/>
        <v>7.3222115536967035E-13</v>
      </c>
      <c r="BG120" s="22">
        <f t="shared" si="61"/>
        <v>1.3525069634579169E-12</v>
      </c>
      <c r="BH120" s="62">
        <f t="shared" si="62"/>
        <v>293.33333333333468</v>
      </c>
      <c r="BI120" s="62">
        <f ca="1">AVERAGE(OFFSET($BH$3,0,0,'Données projet'!$E$11+1,1))-AVERAGE(OFFSET($H$3,0,0,'Données projet'!$E$11+1,1))</f>
        <v>0</v>
      </c>
      <c r="BJ120" s="62">
        <f t="shared" si="92"/>
        <v>0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0.15559662990548082</v>
      </c>
      <c r="BR120" s="23">
        <f>EXP(-LN(2)/2)*BR119+(1-EXP(-LN(2)/2))/(LN(2)/2)*BL120*BO120*VLOOKUP('Données projet'!$B$11,Paramètres!$A$1:$I$89,3,0)*0.475*44/12</f>
        <v>2.7310436899634095E-13</v>
      </c>
      <c r="BS120" s="24">
        <f t="shared" si="63"/>
        <v>0.15559662990575393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439.06700232017681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0.79591401669463691</v>
      </c>
      <c r="AB121" s="23">
        <f>EXP(-LN(2)/2)*AB120+(1-EXP(-LN(2)/2))/(LN(2)/2)*V121*Y121*VLOOKUP('Données projet'!$B$9,Paramètres!$A$1:$I$89,3,0)*0.475*44/12</f>
        <v>8.4752256524084587E-13</v>
      </c>
      <c r="AC121" s="24">
        <f t="shared" si="57"/>
        <v>0.79591401669548445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1.7053025658242404E-13</v>
      </c>
      <c r="AJ121" s="14">
        <f>AI121*VLOOKUP('Données projet'!$B$10,Paramètres!$A$1:$I$89,3,0)*VLOOKUP('Données projet'!$B$10,Paramètres!$A$1:$I$89,5,0)</f>
        <v>1.4897523215040567E-13</v>
      </c>
      <c r="AK121" s="14">
        <f t="shared" si="89"/>
        <v>2.136562777003313E-12</v>
      </c>
      <c r="AL121" s="22">
        <f t="shared" si="58"/>
        <v>3.9806453659427267E-12</v>
      </c>
      <c r="AM121" s="62">
        <f t="shared" si="59"/>
        <v>293.33333333333729</v>
      </c>
      <c r="AN121" s="62">
        <f ca="1">AVERAGE(OFFSET($AM$3,0,0,'Données projet'!$E$10+1,1))-AVERAGE(OFFSET($H$3,0,0,'Données projet'!$E$10+1,1))</f>
        <v>239.16843440041487</v>
      </c>
      <c r="AO121" s="62">
        <f t="shared" si="90"/>
        <v>241.82319822554194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1.1085917688053783E-12</v>
      </c>
      <c r="AX121" s="23">
        <f t="shared" si="60"/>
        <v>1.1085917688053783E-12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4.4337866711430253E-14</v>
      </c>
      <c r="BF121" s="14">
        <f t="shared" si="91"/>
        <v>7.3222115536967035E-13</v>
      </c>
      <c r="BG121" s="22">
        <f t="shared" si="61"/>
        <v>1.3525069634579169E-12</v>
      </c>
      <c r="BH121" s="62">
        <f t="shared" si="62"/>
        <v>293.33333333333468</v>
      </c>
      <c r="BI121" s="62">
        <f ca="1">AVERAGE(OFFSET($BH$3,0,0,'Données projet'!$E$11+1,1))-AVERAGE(OFFSET($H$3,0,0,'Données projet'!$E$11+1,1))</f>
        <v>0</v>
      </c>
      <c r="BJ121" s="62">
        <f t="shared" si="92"/>
        <v>0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0.15134183187824429</v>
      </c>
      <c r="BR121" s="23">
        <f>EXP(-LN(2)/2)*BR120+(1-EXP(-LN(2)/2))/(LN(2)/2)*BL121*BO121*VLOOKUP('Données projet'!$B$11,Paramètres!$A$1:$I$89,3,0)*0.475*44/12</f>
        <v>1.931139512889858E-13</v>
      </c>
      <c r="BS121" s="24">
        <f t="shared" si="63"/>
        <v>0.15134183187843742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439.06700232017681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0.77414970605282296</v>
      </c>
      <c r="AB122" s="23">
        <f>EXP(-LN(2)/2)*AB121+(1-EXP(-LN(2)/2))/(LN(2)/2)*V122*Y122*VLOOKUP('Données projet'!$B$9,Paramètres!$A$1:$I$89,3,0)*0.475*44/12</f>
        <v>5.9928895309042024E-13</v>
      </c>
      <c r="AC122" s="24">
        <f t="shared" si="57"/>
        <v>0.77414970605342226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1.7053025658242404E-13</v>
      </c>
      <c r="AJ122" s="14">
        <f>AI122*VLOOKUP('Données projet'!$B$10,Paramètres!$A$1:$I$89,3,0)*VLOOKUP('Données projet'!$B$10,Paramètres!$A$1:$I$89,5,0)</f>
        <v>1.4897523215040567E-13</v>
      </c>
      <c r="AK122" s="14">
        <f t="shared" si="89"/>
        <v>2.136562777003313E-12</v>
      </c>
      <c r="AL122" s="22">
        <f t="shared" si="58"/>
        <v>3.9806453659427267E-12</v>
      </c>
      <c r="AM122" s="62">
        <f t="shared" si="59"/>
        <v>293.33333333333729</v>
      </c>
      <c r="AN122" s="62">
        <f ca="1">AVERAGE(OFFSET($AM$3,0,0,'Données projet'!$E$10+1,1))-AVERAGE(OFFSET($H$3,0,0,'Données projet'!$E$10+1,1))</f>
        <v>239.16843440041487</v>
      </c>
      <c r="AO122" s="62">
        <f t="shared" si="90"/>
        <v>241.82319822554194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7.8389275728987234E-13</v>
      </c>
      <c r="AX122" s="23">
        <f t="shared" si="60"/>
        <v>7.8389275728987234E-13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4.4337866711430253E-14</v>
      </c>
      <c r="BF122" s="14">
        <f t="shared" si="91"/>
        <v>7.3222115536967035E-13</v>
      </c>
      <c r="BG122" s="22">
        <f t="shared" si="61"/>
        <v>1.3525069634579169E-12</v>
      </c>
      <c r="BH122" s="62">
        <f t="shared" si="62"/>
        <v>293.33333333333468</v>
      </c>
      <c r="BI122" s="62">
        <f ca="1">AVERAGE(OFFSET($BH$3,0,0,'Données projet'!$E$11+1,1))-AVERAGE(OFFSET($H$3,0,0,'Données projet'!$E$11+1,1))</f>
        <v>0</v>
      </c>
      <c r="BJ122" s="62">
        <f t="shared" si="92"/>
        <v>0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0.14720338152681267</v>
      </c>
      <c r="BR122" s="23">
        <f>EXP(-LN(2)/2)*BR121+(1-EXP(-LN(2)/2))/(LN(2)/2)*BL122*BO122*VLOOKUP('Données projet'!$B$11,Paramètres!$A$1:$I$89,3,0)*0.475*44/12</f>
        <v>1.3655218449817048E-13</v>
      </c>
      <c r="BS122" s="24">
        <f t="shared" si="63"/>
        <v>0.14720338152694923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439.06700232017681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0.7529805416300448</v>
      </c>
      <c r="AB123" s="23">
        <f>EXP(-LN(2)/2)*AB122+(1-EXP(-LN(2)/2))/(LN(2)/2)*V123*Y123*VLOOKUP('Données projet'!$B$9,Paramètres!$A$1:$I$89,3,0)*0.475*44/12</f>
        <v>4.2376128262042293E-13</v>
      </c>
      <c r="AC123" s="24">
        <f t="shared" si="57"/>
        <v>0.75298054163046857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1.7053025658242404E-13</v>
      </c>
      <c r="AJ123" s="14">
        <f>AI123*VLOOKUP('Données projet'!$B$10,Paramètres!$A$1:$I$89,3,0)*VLOOKUP('Données projet'!$B$10,Paramètres!$A$1:$I$89,5,0)</f>
        <v>1.4897523215040567E-13</v>
      </c>
      <c r="AK123" s="14">
        <f t="shared" si="89"/>
        <v>2.136562777003313E-12</v>
      </c>
      <c r="AL123" s="22">
        <f t="shared" si="58"/>
        <v>3.9806453659427267E-12</v>
      </c>
      <c r="AM123" s="62">
        <f t="shared" si="59"/>
        <v>293.33333333333729</v>
      </c>
      <c r="AN123" s="62">
        <f ca="1">AVERAGE(OFFSET($AM$3,0,0,'Données projet'!$E$10+1,1))-AVERAGE(OFFSET($H$3,0,0,'Données projet'!$E$10+1,1))</f>
        <v>239.16843440041487</v>
      </c>
      <c r="AO123" s="62">
        <f t="shared" si="90"/>
        <v>241.82319822554194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5.5429588440268916E-13</v>
      </c>
      <c r="AX123" s="23">
        <f t="shared" si="60"/>
        <v>5.5429588440268916E-13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4.4337866711430253E-14</v>
      </c>
      <c r="BF123" s="14">
        <f t="shared" si="91"/>
        <v>7.3222115536967035E-13</v>
      </c>
      <c r="BG123" s="22">
        <f t="shared" si="61"/>
        <v>1.3525069634579169E-12</v>
      </c>
      <c r="BH123" s="62">
        <f t="shared" si="62"/>
        <v>293.33333333333468</v>
      </c>
      <c r="BI123" s="62">
        <f ca="1">AVERAGE(OFFSET($BH$3,0,0,'Données projet'!$E$11+1,1))-AVERAGE(OFFSET($H$3,0,0,'Données projet'!$E$11+1,1))</f>
        <v>0</v>
      </c>
      <c r="BJ123" s="62">
        <f t="shared" si="92"/>
        <v>0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0.14317809731787259</v>
      </c>
      <c r="BR123" s="23">
        <f>EXP(-LN(2)/2)*BR122+(1-EXP(-LN(2)/2))/(LN(2)/2)*BL123*BO123*VLOOKUP('Données projet'!$B$11,Paramètres!$A$1:$I$89,3,0)*0.475*44/12</f>
        <v>9.65569756444929E-14</v>
      </c>
      <c r="BS123" s="24">
        <f t="shared" si="63"/>
        <v>0.14317809731796916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439.06700232017681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0.73239024912164552</v>
      </c>
      <c r="AB124" s="23">
        <f>EXP(-LN(2)/2)*AB123+(1-EXP(-LN(2)/2))/(LN(2)/2)*V124*Y124*VLOOKUP('Données projet'!$B$9,Paramètres!$A$1:$I$89,3,0)*0.475*44/12</f>
        <v>2.9964447654521012E-13</v>
      </c>
      <c r="AC124" s="24">
        <f t="shared" si="57"/>
        <v>0.73239024912194517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1.4897523215040567E-13</v>
      </c>
      <c r="AK124" s="14">
        <f t="shared" si="89"/>
        <v>2.136562777003313E-12</v>
      </c>
      <c r="AL124" s="22">
        <f t="shared" si="58"/>
        <v>3.9806453659427267E-12</v>
      </c>
      <c r="AM124" s="62">
        <f t="shared" si="59"/>
        <v>293.33333333333729</v>
      </c>
      <c r="AN124" s="62">
        <f ca="1">AVERAGE(OFFSET($AM$3,0,0,'Données projet'!$E$10+1,1))-AVERAGE(OFFSET($H$3,0,0,'Données projet'!$E$10+1,1))</f>
        <v>239.16843440041487</v>
      </c>
      <c r="AO124" s="62">
        <f t="shared" si="90"/>
        <v>241.82319822554194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3.9194637864493617E-13</v>
      </c>
      <c r="AX124" s="23">
        <f t="shared" si="60"/>
        <v>3.9194637864493617E-13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4.4337866711430253E-14</v>
      </c>
      <c r="BF124" s="14">
        <f t="shared" si="91"/>
        <v>7.3222115536967035E-13</v>
      </c>
      <c r="BG124" s="22">
        <f t="shared" si="61"/>
        <v>1.3525069634579169E-12</v>
      </c>
      <c r="BH124" s="62">
        <f t="shared" si="62"/>
        <v>293.33333333333468</v>
      </c>
      <c r="BI124" s="62">
        <f ca="1">AVERAGE(OFFSET($BH$3,0,0,'Données projet'!$E$11+1,1))-AVERAGE(OFFSET($H$3,0,0,'Données projet'!$E$11+1,1))</f>
        <v>0</v>
      </c>
      <c r="BJ124" s="62">
        <f t="shared" si="92"/>
        <v>0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0.13926288471730647</v>
      </c>
      <c r="BR124" s="23">
        <f>EXP(-LN(2)/2)*BR123+(1-EXP(-LN(2)/2))/(LN(2)/2)*BL124*BO124*VLOOKUP('Données projet'!$B$11,Paramètres!$A$1:$I$89,3,0)*0.475*44/12</f>
        <v>6.8276092249085239E-14</v>
      </c>
      <c r="BS124" s="24">
        <f t="shared" si="63"/>
        <v>0.13926288471737475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439.06700232017681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0.71236299924468482</v>
      </c>
      <c r="AB125" s="23">
        <f>EXP(-LN(2)/2)*AB124+(1-EXP(-LN(2)/2))/(LN(2)/2)*V125*Y125*VLOOKUP('Données projet'!$B$9,Paramètres!$A$1:$I$89,3,0)*0.475*44/12</f>
        <v>2.1188064131021147E-13</v>
      </c>
      <c r="AC125" s="24">
        <f t="shared" si="57"/>
        <v>0.71236299924489666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1.4897523215040567E-13</v>
      </c>
      <c r="AK125" s="14">
        <f t="shared" si="89"/>
        <v>2.136562777003313E-12</v>
      </c>
      <c r="AL125" s="22">
        <f t="shared" si="58"/>
        <v>3.9806453659427267E-12</v>
      </c>
      <c r="AM125" s="62">
        <f t="shared" si="59"/>
        <v>293.33333333333729</v>
      </c>
      <c r="AN125" s="62">
        <f ca="1">AVERAGE(OFFSET($AM$3,0,0,'Données projet'!$E$10+1,1))-AVERAGE(OFFSET($H$3,0,0,'Données projet'!$E$10+1,1))</f>
        <v>239.16843440041487</v>
      </c>
      <c r="AO125" s="62">
        <f t="shared" si="90"/>
        <v>241.82319822554194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2.7714794220134458E-13</v>
      </c>
      <c r="AX125" s="23">
        <f t="shared" si="60"/>
        <v>2.7714794220134458E-13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4.4337866711430253E-14</v>
      </c>
      <c r="BF125" s="14">
        <f t="shared" si="91"/>
        <v>7.3222115536967035E-13</v>
      </c>
      <c r="BG125" s="22">
        <f t="shared" si="61"/>
        <v>1.3525069634579169E-12</v>
      </c>
      <c r="BH125" s="62">
        <f t="shared" si="62"/>
        <v>293.33333333333468</v>
      </c>
      <c r="BI125" s="62">
        <f ca="1">AVERAGE(OFFSET($BH$3,0,0,'Données projet'!$E$11+1,1))-AVERAGE(OFFSET($H$3,0,0,'Données projet'!$E$11+1,1))</f>
        <v>0</v>
      </c>
      <c r="BJ125" s="62">
        <f t="shared" si="92"/>
        <v>0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0.13545473381119491</v>
      </c>
      <c r="BR125" s="23">
        <f>EXP(-LN(2)/2)*BR124+(1-EXP(-LN(2)/2))/(LN(2)/2)*BL125*BO125*VLOOKUP('Données projet'!$B$11,Paramètres!$A$1:$I$89,3,0)*0.475*44/12</f>
        <v>4.827848782224645E-14</v>
      </c>
      <c r="BS125" s="24">
        <f t="shared" si="63"/>
        <v>0.13545473381124318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439.06700232017681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0.69288339556879697</v>
      </c>
      <c r="AB126" s="23">
        <f>EXP(-LN(2)/2)*AB125+(1-EXP(-LN(2)/2))/(LN(2)/2)*V126*Y126*VLOOKUP('Données projet'!$B$9,Paramètres!$A$1:$I$89,3,0)*0.475*44/12</f>
        <v>1.4982223827260506E-13</v>
      </c>
      <c r="AC126" s="24">
        <f t="shared" si="57"/>
        <v>0.69288339556894674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1.4897523215040567E-13</v>
      </c>
      <c r="AK126" s="14">
        <f t="shared" si="89"/>
        <v>2.136562777003313E-12</v>
      </c>
      <c r="AL126" s="22">
        <f t="shared" si="58"/>
        <v>3.9806453659427267E-12</v>
      </c>
      <c r="AM126" s="62">
        <f t="shared" si="59"/>
        <v>293.33333333333729</v>
      </c>
      <c r="AN126" s="62">
        <f ca="1">AVERAGE(OFFSET($AM$3,0,0,'Données projet'!$E$10+1,1))-AVERAGE(OFFSET($H$3,0,0,'Données projet'!$E$10+1,1))</f>
        <v>239.16843440041487</v>
      </c>
      <c r="AO126" s="62">
        <f t="shared" si="90"/>
        <v>241.82319822554194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1.9597318932246808E-13</v>
      </c>
      <c r="AX126" s="23">
        <f t="shared" si="60"/>
        <v>1.9597318932246808E-13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4.4337866711430253E-14</v>
      </c>
      <c r="BF126" s="14">
        <f t="shared" si="91"/>
        <v>7.3222115536967035E-13</v>
      </c>
      <c r="BG126" s="22">
        <f t="shared" si="61"/>
        <v>1.3525069634579169E-12</v>
      </c>
      <c r="BH126" s="62">
        <f t="shared" si="62"/>
        <v>293.33333333333468</v>
      </c>
      <c r="BI126" s="62">
        <f ca="1">AVERAGE(OFFSET($BH$3,0,0,'Données projet'!$E$11+1,1))-AVERAGE(OFFSET($H$3,0,0,'Données projet'!$E$11+1,1))</f>
        <v>0</v>
      </c>
      <c r="BJ126" s="62">
        <f t="shared" si="92"/>
        <v>0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0.13175071699187291</v>
      </c>
      <c r="BR126" s="23">
        <f>EXP(-LN(2)/2)*BR125+(1-EXP(-LN(2)/2))/(LN(2)/2)*BL126*BO126*VLOOKUP('Données projet'!$B$11,Paramètres!$A$1:$I$89,3,0)*0.475*44/12</f>
        <v>3.4138046124542619E-14</v>
      </c>
      <c r="BS126" s="24">
        <f t="shared" si="63"/>
        <v>0.13175071699190705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439.06700232017681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0.673936462679814</v>
      </c>
      <c r="AB127" s="23">
        <f>EXP(-LN(2)/2)*AB126+(1-EXP(-LN(2)/2))/(LN(2)/2)*V127*Y127*VLOOKUP('Données projet'!$B$9,Paramètres!$A$1:$I$89,3,0)*0.475*44/12</f>
        <v>1.0594032065510573E-13</v>
      </c>
      <c r="AC127" s="24">
        <f t="shared" si="57"/>
        <v>0.67393646267991991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1.4897523215040567E-13</v>
      </c>
      <c r="AK127" s="14">
        <f t="shared" si="89"/>
        <v>2.136562777003313E-12</v>
      </c>
      <c r="AL127" s="22">
        <f t="shared" si="58"/>
        <v>3.9806453659427267E-12</v>
      </c>
      <c r="AM127" s="62">
        <f t="shared" si="59"/>
        <v>293.33333333333729</v>
      </c>
      <c r="AN127" s="62">
        <f ca="1">AVERAGE(OFFSET($AM$3,0,0,'Données projet'!$E$10+1,1))-AVERAGE(OFFSET($H$3,0,0,'Données projet'!$E$10+1,1))</f>
        <v>239.16843440041487</v>
      </c>
      <c r="AO127" s="62">
        <f t="shared" si="90"/>
        <v>241.82319822554194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1.3857397110067229E-13</v>
      </c>
      <c r="AX127" s="23">
        <f t="shared" si="60"/>
        <v>1.3857397110067229E-13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4.4337866711430253E-14</v>
      </c>
      <c r="BF127" s="14">
        <f t="shared" si="91"/>
        <v>7.3222115536967035E-13</v>
      </c>
      <c r="BG127" s="22">
        <f t="shared" si="61"/>
        <v>1.3525069634579169E-12</v>
      </c>
      <c r="BH127" s="62">
        <f t="shared" si="62"/>
        <v>293.33333333333468</v>
      </c>
      <c r="BI127" s="62">
        <f ca="1">AVERAGE(OFFSET($BH$3,0,0,'Données projet'!$E$11+1,1))-AVERAGE(OFFSET($H$3,0,0,'Données projet'!$E$11+1,1))</f>
        <v>0</v>
      </c>
      <c r="BJ127" s="62">
        <f t="shared" si="92"/>
        <v>0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0.12814798670726105</v>
      </c>
      <c r="BR127" s="23">
        <f>EXP(-LN(2)/2)*BR126+(1-EXP(-LN(2)/2))/(LN(2)/2)*BL127*BO127*VLOOKUP('Données projet'!$B$11,Paramètres!$A$1:$I$89,3,0)*0.475*44/12</f>
        <v>2.4139243911123225E-14</v>
      </c>
      <c r="BS127" s="24">
        <f t="shared" si="63"/>
        <v>0.12814798670728519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439.06700232017681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0.65550763466705619</v>
      </c>
      <c r="AB128" s="23">
        <f>EXP(-LN(2)/2)*AB127+(1-EXP(-LN(2)/2))/(LN(2)/2)*V128*Y128*VLOOKUP('Données projet'!$B$9,Paramètres!$A$1:$I$89,3,0)*0.475*44/12</f>
        <v>7.491111913630253E-14</v>
      </c>
      <c r="AC128" s="24">
        <f t="shared" si="57"/>
        <v>0.65550763466713113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1.4897523215040567E-13</v>
      </c>
      <c r="AK128" s="14">
        <f t="shared" si="89"/>
        <v>2.136562777003313E-12</v>
      </c>
      <c r="AL128" s="22">
        <f t="shared" si="58"/>
        <v>3.9806453659427267E-12</v>
      </c>
      <c r="AM128" s="62">
        <f t="shared" si="59"/>
        <v>293.33333333333729</v>
      </c>
      <c r="AN128" s="62">
        <f ca="1">AVERAGE(OFFSET($AM$3,0,0,'Données projet'!$E$10+1,1))-AVERAGE(OFFSET($H$3,0,0,'Données projet'!$E$10+1,1))</f>
        <v>239.16843440041487</v>
      </c>
      <c r="AO128" s="62">
        <f t="shared" si="90"/>
        <v>241.82319822554194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9.7986594661234042E-14</v>
      </c>
      <c r="AX128" s="23">
        <f t="shared" si="60"/>
        <v>9.7986594661234042E-14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4.4337866711430253E-14</v>
      </c>
      <c r="BF128" s="14">
        <f t="shared" si="91"/>
        <v>7.3222115536967035E-13</v>
      </c>
      <c r="BG128" s="22">
        <f t="shared" si="61"/>
        <v>1.3525069634579169E-12</v>
      </c>
      <c r="BH128" s="62">
        <f t="shared" si="62"/>
        <v>293.33333333333468</v>
      </c>
      <c r="BI128" s="62">
        <f ca="1">AVERAGE(OFFSET($BH$3,0,0,'Données projet'!$E$11+1,1))-AVERAGE(OFFSET($H$3,0,0,'Données projet'!$E$11+1,1))</f>
        <v>0</v>
      </c>
      <c r="BJ128" s="62">
        <f t="shared" si="92"/>
        <v>0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0.12464377327174125</v>
      </c>
      <c r="BR128" s="23">
        <f>EXP(-LN(2)/2)*BR127+(1-EXP(-LN(2)/2))/(LN(2)/2)*BL128*BO128*VLOOKUP('Données projet'!$B$11,Paramètres!$A$1:$I$89,3,0)*0.475*44/12</f>
        <v>1.706902306227131E-14</v>
      </c>
      <c r="BS128" s="24">
        <f t="shared" si="63"/>
        <v>0.12464377327175832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439.06700232017681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0.63758274392543723</v>
      </c>
      <c r="AB129" s="23">
        <f>EXP(-LN(2)/2)*AB128+(1-EXP(-LN(2)/2))/(LN(2)/2)*V129*Y129*VLOOKUP('Données projet'!$B$9,Paramètres!$A$1:$I$89,3,0)*0.475*44/12</f>
        <v>5.2970160327552867E-14</v>
      </c>
      <c r="AC129" s="24">
        <f t="shared" si="57"/>
        <v>0.63758274392549019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1.4897523215040567E-13</v>
      </c>
      <c r="AK129" s="14">
        <f t="shared" si="89"/>
        <v>2.136562777003313E-12</v>
      </c>
      <c r="AL129" s="22">
        <f t="shared" si="58"/>
        <v>3.9806453659427267E-12</v>
      </c>
      <c r="AM129" s="62">
        <f t="shared" si="59"/>
        <v>293.33333333333729</v>
      </c>
      <c r="AN129" s="62">
        <f ca="1">AVERAGE(OFFSET($AM$3,0,0,'Données projet'!$E$10+1,1))-AVERAGE(OFFSET($H$3,0,0,'Données projet'!$E$10+1,1))</f>
        <v>239.16843440041487</v>
      </c>
      <c r="AO129" s="62">
        <f t="shared" si="90"/>
        <v>241.82319822554194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6.9286985550336145E-14</v>
      </c>
      <c r="AX129" s="23">
        <f t="shared" si="60"/>
        <v>6.9286985550336145E-14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4.4337866711430253E-14</v>
      </c>
      <c r="BF129" s="14">
        <f t="shared" si="91"/>
        <v>7.3222115536967035E-13</v>
      </c>
      <c r="BG129" s="22">
        <f t="shared" si="61"/>
        <v>1.3525069634579169E-12</v>
      </c>
      <c r="BH129" s="62">
        <f t="shared" si="62"/>
        <v>293.33333333333468</v>
      </c>
      <c r="BI129" s="62">
        <f ca="1">AVERAGE(OFFSET($BH$3,0,0,'Données projet'!$E$11+1,1))-AVERAGE(OFFSET($H$3,0,0,'Données projet'!$E$11+1,1))</f>
        <v>0</v>
      </c>
      <c r="BJ129" s="62">
        <f t="shared" si="92"/>
        <v>0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0.12123538273689433</v>
      </c>
      <c r="BR129" s="23">
        <f>EXP(-LN(2)/2)*BR128+(1-EXP(-LN(2)/2))/(LN(2)/2)*BL129*BO129*VLOOKUP('Données projet'!$B$11,Paramètres!$A$1:$I$89,3,0)*0.475*44/12</f>
        <v>1.2069621955561612E-14</v>
      </c>
      <c r="BS129" s="24">
        <f t="shared" si="63"/>
        <v>0.1212353827369064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439.06700232017681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0.62014801026377686</v>
      </c>
      <c r="AB130" s="23">
        <f>EXP(-LN(2)/2)*AB129+(1-EXP(-LN(2)/2))/(LN(2)/2)*V130*Y130*VLOOKUP('Données projet'!$B$9,Paramètres!$A$1:$I$89,3,0)*0.475*44/12</f>
        <v>3.7455559568151265E-14</v>
      </c>
      <c r="AC130" s="24">
        <f t="shared" si="57"/>
        <v>0.62014801026381428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1.4897523215040567E-13</v>
      </c>
      <c r="AK130" s="14">
        <f t="shared" si="89"/>
        <v>2.136562777003313E-12</v>
      </c>
      <c r="AL130" s="22">
        <f t="shared" si="58"/>
        <v>3.9806453659427267E-12</v>
      </c>
      <c r="AM130" s="62">
        <f t="shared" si="59"/>
        <v>293.33333333333729</v>
      </c>
      <c r="AN130" s="62">
        <f ca="1">AVERAGE(OFFSET($AM$3,0,0,'Données projet'!$E$10+1,1))-AVERAGE(OFFSET($H$3,0,0,'Données projet'!$E$10+1,1))</f>
        <v>239.16843440041487</v>
      </c>
      <c r="AO130" s="62">
        <f t="shared" si="90"/>
        <v>241.82319822554194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4.8993297330617021E-14</v>
      </c>
      <c r="AX130" s="23">
        <f t="shared" si="60"/>
        <v>4.8993297330617021E-14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4.4337866711430253E-14</v>
      </c>
      <c r="BF130" s="14">
        <f t="shared" si="91"/>
        <v>7.3222115536967035E-13</v>
      </c>
      <c r="BG130" s="22">
        <f t="shared" si="61"/>
        <v>1.3525069634579169E-12</v>
      </c>
      <c r="BH130" s="62">
        <f t="shared" si="62"/>
        <v>293.33333333333468</v>
      </c>
      <c r="BI130" s="62">
        <f ca="1">AVERAGE(OFFSET($BH$3,0,0,'Données projet'!$E$11+1,1))-AVERAGE(OFFSET($H$3,0,0,'Données projet'!$E$11+1,1))</f>
        <v>0</v>
      </c>
      <c r="BJ130" s="62">
        <f t="shared" si="92"/>
        <v>0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0.11792019482046226</v>
      </c>
      <c r="BR130" s="23">
        <f>EXP(-LN(2)/2)*BR129+(1-EXP(-LN(2)/2))/(LN(2)/2)*BL130*BO130*VLOOKUP('Données projet'!$B$11,Paramètres!$A$1:$I$89,3,0)*0.475*44/12</f>
        <v>8.5345115311356548E-15</v>
      </c>
      <c r="BS130" s="24">
        <f t="shared" si="63"/>
        <v>0.11792019482047079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439.06700232017681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0.60319003031094742</v>
      </c>
      <c r="AB131" s="23">
        <f>EXP(-LN(2)/2)*AB130+(1-EXP(-LN(2)/2))/(LN(2)/2)*V131*Y131*VLOOKUP('Données projet'!$B$9,Paramètres!$A$1:$I$89,3,0)*0.475*44/12</f>
        <v>2.6485080163776433E-14</v>
      </c>
      <c r="AC131" s="24">
        <f t="shared" si="57"/>
        <v>0.60319003031097396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1.4897523215040567E-13</v>
      </c>
      <c r="AK131" s="14">
        <f t="shared" si="89"/>
        <v>2.136562777003313E-12</v>
      </c>
      <c r="AL131" s="22">
        <f t="shared" si="58"/>
        <v>3.9806453659427267E-12</v>
      </c>
      <c r="AM131" s="62">
        <f t="shared" si="59"/>
        <v>293.33333333333729</v>
      </c>
      <c r="AN131" s="62">
        <f ca="1">AVERAGE(OFFSET($AM$3,0,0,'Données projet'!$E$10+1,1))-AVERAGE(OFFSET($H$3,0,0,'Données projet'!$E$10+1,1))</f>
        <v>239.16843440041487</v>
      </c>
      <c r="AO131" s="62">
        <f t="shared" si="90"/>
        <v>241.82319822554194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3.4643492775168073E-14</v>
      </c>
      <c r="AX131" s="23">
        <f t="shared" si="60"/>
        <v>3.4643492775168073E-14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4.4337866711430253E-14</v>
      </c>
      <c r="BF131" s="14">
        <f t="shared" si="91"/>
        <v>7.3222115536967035E-13</v>
      </c>
      <c r="BG131" s="22">
        <f t="shared" si="61"/>
        <v>1.3525069634579169E-12</v>
      </c>
      <c r="BH131" s="62">
        <f t="shared" si="62"/>
        <v>293.33333333333468</v>
      </c>
      <c r="BI131" s="62">
        <f ca="1">AVERAGE(OFFSET($BH$3,0,0,'Données projet'!$E$11+1,1))-AVERAGE(OFFSET($H$3,0,0,'Données projet'!$E$11+1,1))</f>
        <v>0</v>
      </c>
      <c r="BJ131" s="62">
        <f t="shared" si="92"/>
        <v>0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0.11469566089194318</v>
      </c>
      <c r="BR131" s="23">
        <f>EXP(-LN(2)/2)*BR130+(1-EXP(-LN(2)/2))/(LN(2)/2)*BL131*BO131*VLOOKUP('Données projet'!$B$11,Paramètres!$A$1:$I$89,3,0)*0.475*44/12</f>
        <v>6.0348109777808062E-15</v>
      </c>
      <c r="BS131" s="24">
        <f t="shared" si="63"/>
        <v>0.11469566089194921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439.06700232017681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0.58669576721170946</v>
      </c>
      <c r="AB132" s="23">
        <f>EXP(-LN(2)/2)*AB131+(1-EXP(-LN(2)/2))/(LN(2)/2)*V132*Y132*VLOOKUP('Données projet'!$B$9,Paramètres!$A$1:$I$89,3,0)*0.475*44/12</f>
        <v>1.8727779784075633E-14</v>
      </c>
      <c r="AC132" s="24">
        <f t="shared" ref="AC132:AC153" si="111">SUM(Z132:AB132)</f>
        <v>0.58669576721172823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1.4897523215040567E-13</v>
      </c>
      <c r="AK132" s="14">
        <f t="shared" si="89"/>
        <v>2.136562777003313E-12</v>
      </c>
      <c r="AL132" s="22">
        <f t="shared" ref="AL132:AL153" si="112">(AJ132+AK132)*0.475*44/12</f>
        <v>3.9806453659427267E-12</v>
      </c>
      <c r="AM132" s="62">
        <f t="shared" ref="AM132:AM195" si="113">AL132+(AD132+AE132)*44/12</f>
        <v>293.33333333333729</v>
      </c>
      <c r="AN132" s="62">
        <f ca="1">AVERAGE(OFFSET($AM$3,0,0,'Données projet'!$E$10+1,1))-AVERAGE(OFFSET($H$3,0,0,'Données projet'!$E$10+1,1))</f>
        <v>239.16843440041487</v>
      </c>
      <c r="AO132" s="62">
        <f t="shared" si="90"/>
        <v>241.82319822554194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2.4496648665308511E-14</v>
      </c>
      <c r="AX132" s="23">
        <f t="shared" ref="AX132:AX153" si="114">SUM(AU132:AW132)</f>
        <v>2.4496648665308511E-14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4.4337866711430253E-14</v>
      </c>
      <c r="BF132" s="14">
        <f t="shared" si="91"/>
        <v>7.3222115536967035E-13</v>
      </c>
      <c r="BG132" s="22">
        <f t="shared" ref="BG132:BG153" si="115">(BE132+BF132)*0.475*44/12</f>
        <v>1.3525069634579169E-12</v>
      </c>
      <c r="BH132" s="62">
        <f t="shared" ref="BH132:BH195" si="116">BG132+(AY132+AZ132)*44/12</f>
        <v>293.33333333333468</v>
      </c>
      <c r="BI132" s="62">
        <f ca="1">AVERAGE(OFFSET($BH$3,0,0,'Données projet'!$E$11+1,1))-AVERAGE(OFFSET($H$3,0,0,'Données projet'!$E$11+1,1))</f>
        <v>0</v>
      </c>
      <c r="BJ132" s="62">
        <f t="shared" si="92"/>
        <v>0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0.11155930201327033</v>
      </c>
      <c r="BR132" s="23">
        <f>EXP(-LN(2)/2)*BR131+(1-EXP(-LN(2)/2))/(LN(2)/2)*BL132*BO132*VLOOKUP('Données projet'!$B$11,Paramètres!$A$1:$I$89,3,0)*0.475*44/12</f>
        <v>4.2672557655678274E-15</v>
      </c>
      <c r="BS132" s="24">
        <f t="shared" ref="BS132:BS153" si="117">SUM(BP132:BR132)</f>
        <v>0.11155930201327459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439.06700232017681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0.57065254060431581</v>
      </c>
      <c r="AB133" s="23">
        <f>EXP(-LN(2)/2)*AB132+(1-EXP(-LN(2)/2))/(LN(2)/2)*V133*Y133*VLOOKUP('Données projet'!$B$9,Paramètres!$A$1:$I$89,3,0)*0.475*44/12</f>
        <v>1.3242540081888217E-14</v>
      </c>
      <c r="AC133" s="24">
        <f t="shared" si="111"/>
        <v>0.57065254060432902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1.4897523215040567E-13</v>
      </c>
      <c r="AK133" s="14">
        <f t="shared" ref="AK133:AK153" si="143">EXP(-1.0587+0.8836*LN(AJ133)+0.284)</f>
        <v>2.136562777003313E-12</v>
      </c>
      <c r="AL133" s="22">
        <f t="shared" si="112"/>
        <v>3.9806453659427267E-12</v>
      </c>
      <c r="AM133" s="62">
        <f t="shared" si="113"/>
        <v>293.33333333333729</v>
      </c>
      <c r="AN133" s="62">
        <f ca="1">AVERAGE(OFFSET($AM$3,0,0,'Données projet'!$E$10+1,1))-AVERAGE(OFFSET($H$3,0,0,'Données projet'!$E$10+1,1))</f>
        <v>239.16843440041487</v>
      </c>
      <c r="AO133" s="62">
        <f t="shared" ref="AO133:AO196" si="144">$AO$3</f>
        <v>241.82319822554194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1.7321746387584036E-14</v>
      </c>
      <c r="AX133" s="23">
        <f t="shared" si="114"/>
        <v>1.7321746387584036E-14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4.4337866711430253E-14</v>
      </c>
      <c r="BF133" s="14">
        <f t="shared" ref="BF133:BF153" si="145">EXP(-1.0587+0.8836*LN(BE133)+0.284)</f>
        <v>7.3222115536967035E-13</v>
      </c>
      <c r="BG133" s="22">
        <f t="shared" si="115"/>
        <v>1.3525069634579169E-12</v>
      </c>
      <c r="BH133" s="62">
        <f t="shared" si="116"/>
        <v>293.33333333333468</v>
      </c>
      <c r="BI133" s="62">
        <f ca="1">AVERAGE(OFFSET($BH$3,0,0,'Données projet'!$E$11+1,1))-AVERAGE(OFFSET($H$3,0,0,'Données projet'!$E$11+1,1))</f>
        <v>0</v>
      </c>
      <c r="BJ133" s="62">
        <f t="shared" ref="BJ133:BJ196" si="146">$BJ$3</f>
        <v>0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0.10850870703306872</v>
      </c>
      <c r="BR133" s="23">
        <f>EXP(-LN(2)/2)*BR132+(1-EXP(-LN(2)/2))/(LN(2)/2)*BL133*BO133*VLOOKUP('Données projet'!$B$11,Paramètres!$A$1:$I$89,3,0)*0.475*44/12</f>
        <v>3.0174054888904031E-15</v>
      </c>
      <c r="BS133" s="24">
        <f t="shared" si="117"/>
        <v>0.10850870703307174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439.06700232017681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0.55504801687217797</v>
      </c>
      <c r="AB134" s="23">
        <f>EXP(-LN(2)/2)*AB133+(1-EXP(-LN(2)/2))/(LN(2)/2)*V134*Y134*VLOOKUP('Données projet'!$B$9,Paramètres!$A$1:$I$89,3,0)*0.475*44/12</f>
        <v>9.3638898920378163E-15</v>
      </c>
      <c r="AC134" s="24">
        <f t="shared" si="111"/>
        <v>0.5550480168721873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1.4897523215040567E-13</v>
      </c>
      <c r="AK134" s="14">
        <f t="shared" si="143"/>
        <v>2.136562777003313E-12</v>
      </c>
      <c r="AL134" s="22">
        <f t="shared" si="112"/>
        <v>3.9806453659427267E-12</v>
      </c>
      <c r="AM134" s="62">
        <f t="shared" si="113"/>
        <v>293.33333333333729</v>
      </c>
      <c r="AN134" s="62">
        <f ca="1">AVERAGE(OFFSET($AM$3,0,0,'Données projet'!$E$10+1,1))-AVERAGE(OFFSET($H$3,0,0,'Données projet'!$E$10+1,1))</f>
        <v>239.16843440041487</v>
      </c>
      <c r="AO134" s="62">
        <f t="shared" si="144"/>
        <v>241.82319822554194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1.2248324332654255E-14</v>
      </c>
      <c r="AX134" s="23">
        <f t="shared" si="114"/>
        <v>1.2248324332654255E-14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4.4337866711430253E-14</v>
      </c>
      <c r="BF134" s="14">
        <f t="shared" si="145"/>
        <v>7.3222115536967035E-13</v>
      </c>
      <c r="BG134" s="22">
        <f t="shared" si="115"/>
        <v>1.3525069634579169E-12</v>
      </c>
      <c r="BH134" s="62">
        <f t="shared" si="116"/>
        <v>293.33333333333468</v>
      </c>
      <c r="BI134" s="62">
        <f ca="1">AVERAGE(OFFSET($BH$3,0,0,'Données projet'!$E$11+1,1))-AVERAGE(OFFSET($H$3,0,0,'Données projet'!$E$11+1,1))</f>
        <v>0</v>
      </c>
      <c r="BJ134" s="62">
        <f t="shared" si="146"/>
        <v>0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0.10554153073302455</v>
      </c>
      <c r="BR134" s="23">
        <f>EXP(-LN(2)/2)*BR133+(1-EXP(-LN(2)/2))/(LN(2)/2)*BL134*BO134*VLOOKUP('Données projet'!$B$11,Paramètres!$A$1:$I$89,3,0)*0.475*44/12</f>
        <v>2.1336278827839137E-15</v>
      </c>
      <c r="BS134" s="24">
        <f t="shared" si="117"/>
        <v>0.10554153073302669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439.06700232017681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0.53987019966210159</v>
      </c>
      <c r="AB135" s="23">
        <f>EXP(-LN(2)/2)*AB134+(1-EXP(-LN(2)/2))/(LN(2)/2)*V135*Y135*VLOOKUP('Données projet'!$B$9,Paramètres!$A$1:$I$89,3,0)*0.475*44/12</f>
        <v>6.6212700409441083E-15</v>
      </c>
      <c r="AC135" s="24">
        <f t="shared" si="111"/>
        <v>0.53987019966210825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1.4897523215040567E-13</v>
      </c>
      <c r="AK135" s="14">
        <f t="shared" si="143"/>
        <v>2.136562777003313E-12</v>
      </c>
      <c r="AL135" s="22">
        <f t="shared" si="112"/>
        <v>3.9806453659427267E-12</v>
      </c>
      <c r="AM135" s="62">
        <f t="shared" si="113"/>
        <v>293.33333333333729</v>
      </c>
      <c r="AN135" s="62">
        <f ca="1">AVERAGE(OFFSET($AM$3,0,0,'Données projet'!$E$10+1,1))-AVERAGE(OFFSET($H$3,0,0,'Données projet'!$E$10+1,1))</f>
        <v>239.16843440041487</v>
      </c>
      <c r="AO135" s="62">
        <f t="shared" si="144"/>
        <v>241.82319822554194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8.6608731937920182E-15</v>
      </c>
      <c r="AX135" s="23">
        <f t="shared" si="114"/>
        <v>8.6608731937920182E-15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4.4337866711430253E-14</v>
      </c>
      <c r="BF135" s="14">
        <f t="shared" si="145"/>
        <v>7.3222115536967035E-13</v>
      </c>
      <c r="BG135" s="22">
        <f t="shared" si="115"/>
        <v>1.3525069634579169E-12</v>
      </c>
      <c r="BH135" s="62">
        <f t="shared" si="116"/>
        <v>293.33333333333468</v>
      </c>
      <c r="BI135" s="62">
        <f ca="1">AVERAGE(OFFSET($BH$3,0,0,'Données projet'!$E$11+1,1))-AVERAGE(OFFSET($H$3,0,0,'Données projet'!$E$11+1,1))</f>
        <v>0</v>
      </c>
      <c r="BJ135" s="62">
        <f t="shared" si="146"/>
        <v>0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0.10265549202494212</v>
      </c>
      <c r="BR135" s="23">
        <f>EXP(-LN(2)/2)*BR134+(1-EXP(-LN(2)/2))/(LN(2)/2)*BL135*BO135*VLOOKUP('Données projet'!$B$11,Paramètres!$A$1:$I$89,3,0)*0.475*44/12</f>
        <v>1.5087027444452016E-15</v>
      </c>
      <c r="BS135" s="24">
        <f t="shared" si="117"/>
        <v>0.10265549202494363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439.06700232017681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0.52510742066180149</v>
      </c>
      <c r="AB136" s="23">
        <f>EXP(-LN(2)/2)*AB135+(1-EXP(-LN(2)/2))/(LN(2)/2)*V136*Y136*VLOOKUP('Données projet'!$B$9,Paramètres!$A$1:$I$89,3,0)*0.475*44/12</f>
        <v>4.6819449460189081E-15</v>
      </c>
      <c r="AC136" s="24">
        <f t="shared" si="111"/>
        <v>0.52510742066180616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1.4897523215040567E-13</v>
      </c>
      <c r="AK136" s="14">
        <f t="shared" si="143"/>
        <v>2.136562777003313E-12</v>
      </c>
      <c r="AL136" s="22">
        <f t="shared" si="112"/>
        <v>3.9806453659427267E-12</v>
      </c>
      <c r="AM136" s="62">
        <f t="shared" si="113"/>
        <v>293.33333333333729</v>
      </c>
      <c r="AN136" s="62">
        <f ca="1">AVERAGE(OFFSET($AM$3,0,0,'Données projet'!$E$10+1,1))-AVERAGE(OFFSET($H$3,0,0,'Données projet'!$E$10+1,1))</f>
        <v>239.16843440041487</v>
      </c>
      <c r="AO136" s="62">
        <f t="shared" si="144"/>
        <v>241.82319822554194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6.1241621663271276E-15</v>
      </c>
      <c r="AX136" s="23">
        <f t="shared" si="114"/>
        <v>6.1241621663271276E-15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4.4337866711430253E-14</v>
      </c>
      <c r="BF136" s="14">
        <f t="shared" si="145"/>
        <v>7.3222115536967035E-13</v>
      </c>
      <c r="BG136" s="22">
        <f t="shared" si="115"/>
        <v>1.3525069634579169E-12</v>
      </c>
      <c r="BH136" s="62">
        <f t="shared" si="116"/>
        <v>293.33333333333468</v>
      </c>
      <c r="BI136" s="62">
        <f ca="1">AVERAGE(OFFSET($BH$3,0,0,'Données projet'!$E$11+1,1))-AVERAGE(OFFSET($H$3,0,0,'Données projet'!$E$11+1,1))</f>
        <v>0</v>
      </c>
      <c r="BJ136" s="62">
        <f t="shared" si="146"/>
        <v>0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9.9848372197102367E-2</v>
      </c>
      <c r="BR136" s="23">
        <f>EXP(-LN(2)/2)*BR135+(1-EXP(-LN(2)/2))/(LN(2)/2)*BL136*BO136*VLOOKUP('Données projet'!$B$11,Paramètres!$A$1:$I$89,3,0)*0.475*44/12</f>
        <v>1.0668139413919569E-15</v>
      </c>
      <c r="BS136" s="24">
        <f t="shared" si="117"/>
        <v>9.9848372197103435E-2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439.06700232017681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0.51074833062960545</v>
      </c>
      <c r="AB137" s="23">
        <f>EXP(-LN(2)/2)*AB136+(1-EXP(-LN(2)/2))/(LN(2)/2)*V137*Y137*VLOOKUP('Données projet'!$B$9,Paramètres!$A$1:$I$89,3,0)*0.475*44/12</f>
        <v>3.3106350204720542E-15</v>
      </c>
      <c r="AC137" s="24">
        <f t="shared" si="111"/>
        <v>0.51074833062960878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1.4897523215040567E-13</v>
      </c>
      <c r="AK137" s="14">
        <f t="shared" si="143"/>
        <v>2.136562777003313E-12</v>
      </c>
      <c r="AL137" s="22">
        <f t="shared" si="112"/>
        <v>3.9806453659427267E-12</v>
      </c>
      <c r="AM137" s="62">
        <f t="shared" si="113"/>
        <v>293.33333333333729</v>
      </c>
      <c r="AN137" s="62">
        <f ca="1">AVERAGE(OFFSET($AM$3,0,0,'Données projet'!$E$10+1,1))-AVERAGE(OFFSET($H$3,0,0,'Données projet'!$E$10+1,1))</f>
        <v>239.16843440041487</v>
      </c>
      <c r="AO137" s="62">
        <f t="shared" si="144"/>
        <v>241.82319822554194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4.3304365968960091E-15</v>
      </c>
      <c r="AX137" s="23">
        <f t="shared" si="114"/>
        <v>4.3304365968960091E-15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4.4337866711430253E-14</v>
      </c>
      <c r="BF137" s="14">
        <f t="shared" si="145"/>
        <v>7.3222115536967035E-13</v>
      </c>
      <c r="BG137" s="22">
        <f t="shared" si="115"/>
        <v>1.3525069634579169E-12</v>
      </c>
      <c r="BH137" s="62">
        <f t="shared" si="116"/>
        <v>293.33333333333468</v>
      </c>
      <c r="BI137" s="62">
        <f ca="1">AVERAGE(OFFSET($BH$3,0,0,'Données projet'!$E$11+1,1))-AVERAGE(OFFSET($H$3,0,0,'Données projet'!$E$11+1,1))</f>
        <v>0</v>
      </c>
      <c r="BJ137" s="62">
        <f t="shared" si="146"/>
        <v>0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9.711801320857491E-2</v>
      </c>
      <c r="BR137" s="23">
        <f>EXP(-LN(2)/2)*BR136+(1-EXP(-LN(2)/2))/(LN(2)/2)*BL137*BO137*VLOOKUP('Données projet'!$B$11,Paramètres!$A$1:$I$89,3,0)*0.475*44/12</f>
        <v>7.5435137222260078E-16</v>
      </c>
      <c r="BS137" s="24">
        <f t="shared" si="117"/>
        <v>9.711801320857566E-2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439.06700232017681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0.4967818906694515</v>
      </c>
      <c r="AB138" s="23">
        <f>EXP(-LN(2)/2)*AB137+(1-EXP(-LN(2)/2))/(LN(2)/2)*V138*Y138*VLOOKUP('Données projet'!$B$9,Paramètres!$A$1:$I$89,3,0)*0.475*44/12</f>
        <v>2.3409724730094541E-15</v>
      </c>
      <c r="AC138" s="24">
        <f t="shared" si="111"/>
        <v>0.49678189066945383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1.4897523215040567E-13</v>
      </c>
      <c r="AK138" s="14">
        <f t="shared" si="143"/>
        <v>2.136562777003313E-12</v>
      </c>
      <c r="AL138" s="22">
        <f t="shared" si="112"/>
        <v>3.9806453659427267E-12</v>
      </c>
      <c r="AM138" s="62">
        <f t="shared" si="113"/>
        <v>293.33333333333729</v>
      </c>
      <c r="AN138" s="62">
        <f ca="1">AVERAGE(OFFSET($AM$3,0,0,'Données projet'!$E$10+1,1))-AVERAGE(OFFSET($H$3,0,0,'Données projet'!$E$10+1,1))</f>
        <v>239.16843440041487</v>
      </c>
      <c r="AO138" s="62">
        <f t="shared" si="144"/>
        <v>241.82319822554194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3.0620810831635638E-15</v>
      </c>
      <c r="AX138" s="23">
        <f t="shared" si="114"/>
        <v>3.0620810831635638E-15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4.4337866711430253E-14</v>
      </c>
      <c r="BF138" s="14">
        <f t="shared" si="145"/>
        <v>7.3222115536967035E-13</v>
      </c>
      <c r="BG138" s="22">
        <f t="shared" si="115"/>
        <v>1.3525069634579169E-12</v>
      </c>
      <c r="BH138" s="62">
        <f t="shared" si="116"/>
        <v>293.33333333333468</v>
      </c>
      <c r="BI138" s="62">
        <f ca="1">AVERAGE(OFFSET($BH$3,0,0,'Données projet'!$E$11+1,1))-AVERAGE(OFFSET($H$3,0,0,'Données projet'!$E$11+1,1))</f>
        <v>0</v>
      </c>
      <c r="BJ138" s="62">
        <f t="shared" si="146"/>
        <v>0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9.4462316030172078E-2</v>
      </c>
      <c r="BR138" s="23">
        <f>EXP(-LN(2)/2)*BR137+(1-EXP(-LN(2)/2))/(LN(2)/2)*BL138*BO138*VLOOKUP('Données projet'!$B$11,Paramètres!$A$1:$I$89,3,0)*0.475*44/12</f>
        <v>5.3340697069597843E-16</v>
      </c>
      <c r="BS138" s="24">
        <f t="shared" si="117"/>
        <v>9.4462316030172605E-2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439.06700232017681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0.48319736374447114</v>
      </c>
      <c r="AB139" s="23">
        <f>EXP(-LN(2)/2)*AB138+(1-EXP(-LN(2)/2))/(LN(2)/2)*V139*Y139*VLOOKUP('Données projet'!$B$9,Paramètres!$A$1:$I$89,3,0)*0.475*44/12</f>
        <v>1.6553175102360271E-15</v>
      </c>
      <c r="AC139" s="24">
        <f t="shared" si="111"/>
        <v>0.48319736374447281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1.4897523215040567E-13</v>
      </c>
      <c r="AK139" s="14">
        <f t="shared" si="143"/>
        <v>2.136562777003313E-12</v>
      </c>
      <c r="AL139" s="22">
        <f t="shared" si="112"/>
        <v>3.9806453659427267E-12</v>
      </c>
      <c r="AM139" s="62">
        <f t="shared" si="113"/>
        <v>293.33333333333729</v>
      </c>
      <c r="AN139" s="62">
        <f ca="1">AVERAGE(OFFSET($AM$3,0,0,'Données projet'!$E$10+1,1))-AVERAGE(OFFSET($H$3,0,0,'Données projet'!$E$10+1,1))</f>
        <v>239.16843440041487</v>
      </c>
      <c r="AO139" s="62">
        <f t="shared" si="144"/>
        <v>241.82319822554194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2.1652182984480045E-15</v>
      </c>
      <c r="AX139" s="23">
        <f t="shared" si="114"/>
        <v>2.1652182984480045E-15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4.4337866711430253E-14</v>
      </c>
      <c r="BF139" s="14">
        <f t="shared" si="145"/>
        <v>7.3222115536967035E-13</v>
      </c>
      <c r="BG139" s="22">
        <f t="shared" si="115"/>
        <v>1.3525069634579169E-12</v>
      </c>
      <c r="BH139" s="62">
        <f t="shared" si="116"/>
        <v>293.33333333333468</v>
      </c>
      <c r="BI139" s="62">
        <f ca="1">AVERAGE(OFFSET($BH$3,0,0,'Données projet'!$E$11+1,1))-AVERAGE(OFFSET($H$3,0,0,'Données projet'!$E$11+1,1))</f>
        <v>0</v>
      </c>
      <c r="BJ139" s="62">
        <f t="shared" si="146"/>
        <v>0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9.1879239030769722E-2</v>
      </c>
      <c r="BR139" s="23">
        <f>EXP(-LN(2)/2)*BR138+(1-EXP(-LN(2)/2))/(LN(2)/2)*BL139*BO139*VLOOKUP('Données projet'!$B$11,Paramètres!$A$1:$I$89,3,0)*0.475*44/12</f>
        <v>3.7717568611130039E-16</v>
      </c>
      <c r="BS139" s="24">
        <f t="shared" si="117"/>
        <v>9.1879239030770096E-2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439.06700232017681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0.46998430642263356</v>
      </c>
      <c r="AB140" s="23">
        <f>EXP(-LN(2)/2)*AB139+(1-EXP(-LN(2)/2))/(LN(2)/2)*V140*Y140*VLOOKUP('Données projet'!$B$9,Paramètres!$A$1:$I$89,3,0)*0.475*44/12</f>
        <v>1.170486236504727E-15</v>
      </c>
      <c r="AC140" s="24">
        <f t="shared" si="111"/>
        <v>0.46998430642263472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1.4897523215040567E-13</v>
      </c>
      <c r="AK140" s="14">
        <f t="shared" si="143"/>
        <v>2.136562777003313E-12</v>
      </c>
      <c r="AL140" s="22">
        <f t="shared" si="112"/>
        <v>3.9806453659427267E-12</v>
      </c>
      <c r="AM140" s="62">
        <f t="shared" si="113"/>
        <v>293.33333333333729</v>
      </c>
      <c r="AN140" s="62">
        <f ca="1">AVERAGE(OFFSET($AM$3,0,0,'Données projet'!$E$10+1,1))-AVERAGE(OFFSET($H$3,0,0,'Données projet'!$E$10+1,1))</f>
        <v>239.16843440041487</v>
      </c>
      <c r="AO140" s="62">
        <f t="shared" si="144"/>
        <v>241.82319822554194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1.5310405415817819E-15</v>
      </c>
      <c r="AX140" s="23">
        <f t="shared" si="114"/>
        <v>1.5310405415817819E-15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4.4337866711430253E-14</v>
      </c>
      <c r="BF140" s="14">
        <f t="shared" si="145"/>
        <v>7.3222115536967035E-13</v>
      </c>
      <c r="BG140" s="22">
        <f t="shared" si="115"/>
        <v>1.3525069634579169E-12</v>
      </c>
      <c r="BH140" s="62">
        <f t="shared" si="116"/>
        <v>293.33333333333468</v>
      </c>
      <c r="BI140" s="62">
        <f ca="1">AVERAGE(OFFSET($BH$3,0,0,'Données projet'!$E$11+1,1))-AVERAGE(OFFSET($H$3,0,0,'Données projet'!$E$11+1,1))</f>
        <v>0</v>
      </c>
      <c r="BJ140" s="62">
        <f t="shared" si="146"/>
        <v>0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8.9366796407754134E-2</v>
      </c>
      <c r="BR140" s="23">
        <f>EXP(-LN(2)/2)*BR139+(1-EXP(-LN(2)/2))/(LN(2)/2)*BL140*BO140*VLOOKUP('Données projet'!$B$11,Paramètres!$A$1:$I$89,3,0)*0.475*44/12</f>
        <v>2.6670348534798921E-16</v>
      </c>
      <c r="BS140" s="24">
        <f t="shared" si="117"/>
        <v>8.9366796407754398E-2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439.06700232017681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0.45713256084810611</v>
      </c>
      <c r="AB141" s="23">
        <f>EXP(-LN(2)/2)*AB140+(1-EXP(-LN(2)/2))/(LN(2)/2)*V141*Y141*VLOOKUP('Données projet'!$B$9,Paramètres!$A$1:$I$89,3,0)*0.475*44/12</f>
        <v>8.2765875511801354E-16</v>
      </c>
      <c r="AC141" s="24">
        <f t="shared" si="111"/>
        <v>0.45713256084810694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1.4897523215040567E-13</v>
      </c>
      <c r="AK141" s="14">
        <f t="shared" si="143"/>
        <v>2.136562777003313E-12</v>
      </c>
      <c r="AL141" s="22">
        <f t="shared" si="112"/>
        <v>3.9806453659427267E-12</v>
      </c>
      <c r="AM141" s="62">
        <f t="shared" si="113"/>
        <v>293.33333333333729</v>
      </c>
      <c r="AN141" s="62">
        <f ca="1">AVERAGE(OFFSET($AM$3,0,0,'Données projet'!$E$10+1,1))-AVERAGE(OFFSET($H$3,0,0,'Données projet'!$E$10+1,1))</f>
        <v>239.16843440041487</v>
      </c>
      <c r="AO141" s="62">
        <f t="shared" si="144"/>
        <v>241.82319822554194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1.0826091492240023E-15</v>
      </c>
      <c r="AX141" s="23">
        <f t="shared" si="114"/>
        <v>1.0826091492240023E-15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4.4337866711430253E-14</v>
      </c>
      <c r="BF141" s="14">
        <f t="shared" si="145"/>
        <v>7.3222115536967035E-13</v>
      </c>
      <c r="BG141" s="22">
        <f t="shared" si="115"/>
        <v>1.3525069634579169E-12</v>
      </c>
      <c r="BH141" s="62">
        <f t="shared" si="116"/>
        <v>293.33333333333468</v>
      </c>
      <c r="BI141" s="62">
        <f ca="1">AVERAGE(OFFSET($BH$3,0,0,'Données projet'!$E$11+1,1))-AVERAGE(OFFSET($H$3,0,0,'Données projet'!$E$11+1,1))</f>
        <v>0</v>
      </c>
      <c r="BJ141" s="62">
        <f t="shared" si="146"/>
        <v>0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8.692305666038852E-2</v>
      </c>
      <c r="BR141" s="23">
        <f>EXP(-LN(2)/2)*BR140+(1-EXP(-LN(2)/2))/(LN(2)/2)*BL141*BO141*VLOOKUP('Données projet'!$B$11,Paramètres!$A$1:$I$89,3,0)*0.475*44/12</f>
        <v>1.885878430556502E-16</v>
      </c>
      <c r="BS141" s="24">
        <f t="shared" si="117"/>
        <v>8.6923056660388714E-2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439.06700232017681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0.44463224693215808</v>
      </c>
      <c r="AB142" s="23">
        <f>EXP(-LN(2)/2)*AB141+(1-EXP(-LN(2)/2))/(LN(2)/2)*V142*Y142*VLOOKUP('Données projet'!$B$9,Paramètres!$A$1:$I$89,3,0)*0.475*44/12</f>
        <v>5.8524311825236352E-16</v>
      </c>
      <c r="AC142" s="24">
        <f t="shared" si="111"/>
        <v>0.44463224693215869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1.4897523215040567E-13</v>
      </c>
      <c r="AK142" s="14">
        <f t="shared" si="143"/>
        <v>2.136562777003313E-12</v>
      </c>
      <c r="AL142" s="22">
        <f t="shared" si="112"/>
        <v>3.9806453659427267E-12</v>
      </c>
      <c r="AM142" s="62">
        <f t="shared" si="113"/>
        <v>293.33333333333729</v>
      </c>
      <c r="AN142" s="62">
        <f ca="1">AVERAGE(OFFSET($AM$3,0,0,'Données projet'!$E$10+1,1))-AVERAGE(OFFSET($H$3,0,0,'Données projet'!$E$10+1,1))</f>
        <v>239.16843440041487</v>
      </c>
      <c r="AO142" s="62">
        <f t="shared" si="144"/>
        <v>241.82319822554194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7.6552027079089095E-16</v>
      </c>
      <c r="AX142" s="23">
        <f t="shared" si="114"/>
        <v>7.6552027079089095E-16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4.4337866711430253E-14</v>
      </c>
      <c r="BF142" s="14">
        <f t="shared" si="145"/>
        <v>7.3222115536967035E-13</v>
      </c>
      <c r="BG142" s="22">
        <f t="shared" si="115"/>
        <v>1.3525069634579169E-12</v>
      </c>
      <c r="BH142" s="62">
        <f t="shared" si="116"/>
        <v>293.33333333333468</v>
      </c>
      <c r="BI142" s="62">
        <f ca="1">AVERAGE(OFFSET($BH$3,0,0,'Données projet'!$E$11+1,1))-AVERAGE(OFFSET($H$3,0,0,'Données projet'!$E$11+1,1))</f>
        <v>0</v>
      </c>
      <c r="BJ142" s="62">
        <f t="shared" si="146"/>
        <v>0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8.454614110492531E-2</v>
      </c>
      <c r="BR142" s="23">
        <f>EXP(-LN(2)/2)*BR141+(1-EXP(-LN(2)/2))/(LN(2)/2)*BL142*BO142*VLOOKUP('Données projet'!$B$11,Paramètres!$A$1:$I$89,3,0)*0.475*44/12</f>
        <v>1.3335174267399461E-16</v>
      </c>
      <c r="BS142" s="24">
        <f t="shared" si="117"/>
        <v>8.4546141104925449E-2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439.06700232017681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0.43247375475760458</v>
      </c>
      <c r="AB143" s="23">
        <f>EXP(-LN(2)/2)*AB142+(1-EXP(-LN(2)/2))/(LN(2)/2)*V143*Y143*VLOOKUP('Données projet'!$B$9,Paramètres!$A$1:$I$89,3,0)*0.475*44/12</f>
        <v>4.1382937755900677E-16</v>
      </c>
      <c r="AC143" s="24">
        <f t="shared" si="111"/>
        <v>0.43247375475760497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1.4897523215040567E-13</v>
      </c>
      <c r="AK143" s="14">
        <f t="shared" si="143"/>
        <v>2.136562777003313E-12</v>
      </c>
      <c r="AL143" s="22">
        <f t="shared" si="112"/>
        <v>3.9806453659427267E-12</v>
      </c>
      <c r="AM143" s="62">
        <f t="shared" si="113"/>
        <v>293.33333333333729</v>
      </c>
      <c r="AN143" s="62">
        <f ca="1">AVERAGE(OFFSET($AM$3,0,0,'Données projet'!$E$10+1,1))-AVERAGE(OFFSET($H$3,0,0,'Données projet'!$E$10+1,1))</f>
        <v>239.16843440041487</v>
      </c>
      <c r="AO143" s="62">
        <f t="shared" si="144"/>
        <v>241.82319822554194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5.4130457461200113E-16</v>
      </c>
      <c r="AX143" s="23">
        <f t="shared" si="114"/>
        <v>5.4130457461200113E-16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4.4337866711430253E-14</v>
      </c>
      <c r="BF143" s="14">
        <f t="shared" si="145"/>
        <v>7.3222115536967035E-13</v>
      </c>
      <c r="BG143" s="22">
        <f t="shared" si="115"/>
        <v>1.3525069634579169E-12</v>
      </c>
      <c r="BH143" s="62">
        <f t="shared" si="116"/>
        <v>293.33333333333468</v>
      </c>
      <c r="BI143" s="62">
        <f ca="1">AVERAGE(OFFSET($BH$3,0,0,'Données projet'!$E$11+1,1))-AVERAGE(OFFSET($H$3,0,0,'Données projet'!$E$11+1,1))</f>
        <v>0</v>
      </c>
      <c r="BJ143" s="62">
        <f t="shared" si="146"/>
        <v>0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8.2234222430322801E-2</v>
      </c>
      <c r="BR143" s="23">
        <f>EXP(-LN(2)/2)*BR142+(1-EXP(-LN(2)/2))/(LN(2)/2)*BL143*BO143*VLOOKUP('Données projet'!$B$11,Paramètres!$A$1:$I$89,3,0)*0.475*44/12</f>
        <v>9.4293921527825098E-17</v>
      </c>
      <c r="BS143" s="24">
        <f t="shared" si="117"/>
        <v>8.2234222430322898E-2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439.06700232017681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0.42064773719095155</v>
      </c>
      <c r="AB144" s="23">
        <f>EXP(-LN(2)/2)*AB143+(1-EXP(-LN(2)/2))/(LN(2)/2)*V144*Y144*VLOOKUP('Données projet'!$B$9,Paramètres!$A$1:$I$89,3,0)*0.475*44/12</f>
        <v>2.9262155912618176E-16</v>
      </c>
      <c r="AC144" s="24">
        <f t="shared" si="111"/>
        <v>0.42064773719095183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1.4897523215040567E-13</v>
      </c>
      <c r="AK144" s="14">
        <f t="shared" si="143"/>
        <v>2.136562777003313E-12</v>
      </c>
      <c r="AL144" s="22">
        <f t="shared" si="112"/>
        <v>3.9806453659427267E-12</v>
      </c>
      <c r="AM144" s="62">
        <f t="shared" si="113"/>
        <v>293.33333333333729</v>
      </c>
      <c r="AN144" s="62">
        <f ca="1">AVERAGE(OFFSET($AM$3,0,0,'Données projet'!$E$10+1,1))-AVERAGE(OFFSET($H$3,0,0,'Données projet'!$E$10+1,1))</f>
        <v>239.16843440041487</v>
      </c>
      <c r="AO144" s="62">
        <f t="shared" si="144"/>
        <v>241.82319822554194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3.8276013539544548E-16</v>
      </c>
      <c r="AX144" s="23">
        <f t="shared" si="114"/>
        <v>3.8276013539544548E-16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4.4337866711430253E-14</v>
      </c>
      <c r="BF144" s="14">
        <f t="shared" si="145"/>
        <v>7.3222115536967035E-13</v>
      </c>
      <c r="BG144" s="22">
        <f t="shared" si="115"/>
        <v>1.3525069634579169E-12</v>
      </c>
      <c r="BH144" s="62">
        <f t="shared" si="116"/>
        <v>293.33333333333468</v>
      </c>
      <c r="BI144" s="62">
        <f ca="1">AVERAGE(OFFSET($BH$3,0,0,'Données projet'!$E$11+1,1))-AVERAGE(OFFSET($H$3,0,0,'Données projet'!$E$11+1,1))</f>
        <v>0</v>
      </c>
      <c r="BJ144" s="62">
        <f t="shared" si="146"/>
        <v>0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7.9985523293455818E-2</v>
      </c>
      <c r="BR144" s="23">
        <f>EXP(-LN(2)/2)*BR143+(1-EXP(-LN(2)/2))/(LN(2)/2)*BL144*BO144*VLOOKUP('Données projet'!$B$11,Paramètres!$A$1:$I$89,3,0)*0.475*44/12</f>
        <v>6.6675871336997303E-17</v>
      </c>
      <c r="BS144" s="24">
        <f t="shared" si="117"/>
        <v>7.9985523293455887E-2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439.06700232017681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0.4091451026965619</v>
      </c>
      <c r="AB145" s="23">
        <f>EXP(-LN(2)/2)*AB144+(1-EXP(-LN(2)/2))/(LN(2)/2)*V145*Y145*VLOOKUP('Données projet'!$B$9,Paramètres!$A$1:$I$89,3,0)*0.475*44/12</f>
        <v>2.0691468877950339E-16</v>
      </c>
      <c r="AC145" s="24">
        <f t="shared" si="111"/>
        <v>0.40914510269656212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1.4897523215040567E-13</v>
      </c>
      <c r="AK145" s="14">
        <f t="shared" si="143"/>
        <v>2.136562777003313E-12</v>
      </c>
      <c r="AL145" s="22">
        <f t="shared" si="112"/>
        <v>3.9806453659427267E-12</v>
      </c>
      <c r="AM145" s="62">
        <f t="shared" si="113"/>
        <v>293.33333333333729</v>
      </c>
      <c r="AN145" s="62">
        <f ca="1">AVERAGE(OFFSET($AM$3,0,0,'Données projet'!$E$10+1,1))-AVERAGE(OFFSET($H$3,0,0,'Données projet'!$E$10+1,1))</f>
        <v>239.16843440041487</v>
      </c>
      <c r="AO145" s="62">
        <f t="shared" si="144"/>
        <v>241.82319822554194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2.7065228730600057E-16</v>
      </c>
      <c r="AX145" s="23">
        <f t="shared" si="114"/>
        <v>2.7065228730600057E-16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4.4337866711430253E-14</v>
      </c>
      <c r="BF145" s="14">
        <f t="shared" si="145"/>
        <v>7.3222115536967035E-13</v>
      </c>
      <c r="BG145" s="22">
        <f t="shared" si="115"/>
        <v>1.3525069634579169E-12</v>
      </c>
      <c r="BH145" s="62">
        <f t="shared" si="116"/>
        <v>293.33333333333468</v>
      </c>
      <c r="BI145" s="62">
        <f ca="1">AVERAGE(OFFSET($BH$3,0,0,'Données projet'!$E$11+1,1))-AVERAGE(OFFSET($H$3,0,0,'Données projet'!$E$11+1,1))</f>
        <v>0</v>
      </c>
      <c r="BJ145" s="62">
        <f t="shared" si="146"/>
        <v>0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7.7798314952740408E-2</v>
      </c>
      <c r="BR145" s="23">
        <f>EXP(-LN(2)/2)*BR144+(1-EXP(-LN(2)/2))/(LN(2)/2)*BL145*BO145*VLOOKUP('Données projet'!$B$11,Paramètres!$A$1:$I$89,3,0)*0.475*44/12</f>
        <v>4.7146960763912549E-17</v>
      </c>
      <c r="BS145" s="24">
        <f t="shared" si="117"/>
        <v>7.7798314952740449E-2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439.06700232017681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0.39795700834731856</v>
      </c>
      <c r="AB146" s="23">
        <f>EXP(-LN(2)/2)*AB145+(1-EXP(-LN(2)/2))/(LN(2)/2)*V146*Y146*VLOOKUP('Données projet'!$B$9,Paramètres!$A$1:$I$89,3,0)*0.475*44/12</f>
        <v>1.4631077956309088E-16</v>
      </c>
      <c r="AC146" s="24">
        <f t="shared" si="111"/>
        <v>0.39795700834731873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1.4897523215040567E-13</v>
      </c>
      <c r="AK146" s="14">
        <f t="shared" si="143"/>
        <v>2.136562777003313E-12</v>
      </c>
      <c r="AL146" s="22">
        <f t="shared" si="112"/>
        <v>3.9806453659427267E-12</v>
      </c>
      <c r="AM146" s="62">
        <f t="shared" si="113"/>
        <v>293.33333333333729</v>
      </c>
      <c r="AN146" s="62">
        <f ca="1">AVERAGE(OFFSET($AM$3,0,0,'Données projet'!$E$10+1,1))-AVERAGE(OFFSET($H$3,0,0,'Données projet'!$E$10+1,1))</f>
        <v>239.16843440041487</v>
      </c>
      <c r="AO146" s="62">
        <f t="shared" si="144"/>
        <v>241.82319822554194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1.9138006769772274E-16</v>
      </c>
      <c r="AX146" s="23">
        <f t="shared" si="114"/>
        <v>1.9138006769772274E-16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4.4337866711430253E-14</v>
      </c>
      <c r="BF146" s="14">
        <f t="shared" si="145"/>
        <v>7.3222115536967035E-13</v>
      </c>
      <c r="BG146" s="22">
        <f t="shared" si="115"/>
        <v>1.3525069634579169E-12</v>
      </c>
      <c r="BH146" s="62">
        <f t="shared" si="116"/>
        <v>293.33333333333468</v>
      </c>
      <c r="BI146" s="62">
        <f ca="1">AVERAGE(OFFSET($BH$3,0,0,'Données projet'!$E$11+1,1))-AVERAGE(OFFSET($H$3,0,0,'Données projet'!$E$11+1,1))</f>
        <v>0</v>
      </c>
      <c r="BJ146" s="62">
        <f t="shared" si="146"/>
        <v>0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7.5670915939122146E-2</v>
      </c>
      <c r="BR146" s="23">
        <f>EXP(-LN(2)/2)*BR145+(1-EXP(-LN(2)/2))/(LN(2)/2)*BL146*BO146*VLOOKUP('Données projet'!$B$11,Paramètres!$A$1:$I$89,3,0)*0.475*44/12</f>
        <v>3.3337935668498652E-17</v>
      </c>
      <c r="BS146" s="24">
        <f t="shared" si="117"/>
        <v>7.5670915939122174E-2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439.06700232017681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0.38707485302641159</v>
      </c>
      <c r="AB147" s="23">
        <f>EXP(-LN(2)/2)*AB146+(1-EXP(-LN(2)/2))/(LN(2)/2)*V147*Y147*VLOOKUP('Données projet'!$B$9,Paramètres!$A$1:$I$89,3,0)*0.475*44/12</f>
        <v>1.0345734438975169E-16</v>
      </c>
      <c r="AC147" s="24">
        <f t="shared" si="111"/>
        <v>0.3870748530264117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1.4897523215040567E-13</v>
      </c>
      <c r="AK147" s="14">
        <f t="shared" si="143"/>
        <v>2.136562777003313E-12</v>
      </c>
      <c r="AL147" s="22">
        <f t="shared" si="112"/>
        <v>3.9806453659427267E-12</v>
      </c>
      <c r="AM147" s="62">
        <f t="shared" si="113"/>
        <v>293.33333333333729</v>
      </c>
      <c r="AN147" s="62">
        <f ca="1">AVERAGE(OFFSET($AM$3,0,0,'Données projet'!$E$10+1,1))-AVERAGE(OFFSET($H$3,0,0,'Données projet'!$E$10+1,1))</f>
        <v>239.16843440041487</v>
      </c>
      <c r="AO147" s="62">
        <f t="shared" si="144"/>
        <v>241.82319822554194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1.3532614365300028E-16</v>
      </c>
      <c r="AX147" s="23">
        <f t="shared" si="114"/>
        <v>1.3532614365300028E-16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4.4337866711430253E-14</v>
      </c>
      <c r="BF147" s="14">
        <f t="shared" si="145"/>
        <v>7.3222115536967035E-13</v>
      </c>
      <c r="BG147" s="22">
        <f t="shared" si="115"/>
        <v>1.3525069634579169E-12</v>
      </c>
      <c r="BH147" s="62">
        <f t="shared" si="116"/>
        <v>293.33333333333468</v>
      </c>
      <c r="BI147" s="62">
        <f ca="1">AVERAGE(OFFSET($BH$3,0,0,'Données projet'!$E$11+1,1))-AVERAGE(OFFSET($H$3,0,0,'Données projet'!$E$11+1,1))</f>
        <v>0</v>
      </c>
      <c r="BJ147" s="62">
        <f t="shared" si="146"/>
        <v>0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7.3601690763406336E-2</v>
      </c>
      <c r="BR147" s="23">
        <f>EXP(-LN(2)/2)*BR146+(1-EXP(-LN(2)/2))/(LN(2)/2)*BL147*BO147*VLOOKUP('Données projet'!$B$11,Paramètres!$A$1:$I$89,3,0)*0.475*44/12</f>
        <v>2.3573480381956274E-17</v>
      </c>
      <c r="BS147" s="24">
        <f t="shared" si="117"/>
        <v>7.3601690763406363E-2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439.06700232017681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0.37649027081502251</v>
      </c>
      <c r="AB148" s="23">
        <f>EXP(-LN(2)/2)*AB147+(1-EXP(-LN(2)/2))/(LN(2)/2)*V148*Y148*VLOOKUP('Données projet'!$B$9,Paramètres!$A$1:$I$89,3,0)*0.475*44/12</f>
        <v>7.315538978154544E-17</v>
      </c>
      <c r="AC148" s="24">
        <f t="shared" si="111"/>
        <v>0.37649027081502257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1.4897523215040567E-13</v>
      </c>
      <c r="AK148" s="14">
        <f t="shared" si="143"/>
        <v>2.136562777003313E-12</v>
      </c>
      <c r="AL148" s="22">
        <f t="shared" si="112"/>
        <v>3.9806453659427267E-12</v>
      </c>
      <c r="AM148" s="62">
        <f t="shared" si="113"/>
        <v>293.33333333333729</v>
      </c>
      <c r="AN148" s="62">
        <f ca="1">AVERAGE(OFFSET($AM$3,0,0,'Données projet'!$E$10+1,1))-AVERAGE(OFFSET($H$3,0,0,'Données projet'!$E$10+1,1))</f>
        <v>239.16843440041487</v>
      </c>
      <c r="AO148" s="62">
        <f t="shared" si="144"/>
        <v>241.82319822554194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9.5690033848861369E-17</v>
      </c>
      <c r="AX148" s="23">
        <f t="shared" si="114"/>
        <v>9.5690033848861369E-17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4.4337866711430253E-14</v>
      </c>
      <c r="BF148" s="14">
        <f t="shared" si="145"/>
        <v>7.3222115536967035E-13</v>
      </c>
      <c r="BG148" s="22">
        <f t="shared" si="115"/>
        <v>1.3525069634579169E-12</v>
      </c>
      <c r="BH148" s="62">
        <f t="shared" si="116"/>
        <v>293.33333333333468</v>
      </c>
      <c r="BI148" s="62">
        <f ca="1">AVERAGE(OFFSET($BH$3,0,0,'Données projet'!$E$11+1,1))-AVERAGE(OFFSET($H$3,0,0,'Données projet'!$E$11+1,1))</f>
        <v>0</v>
      </c>
      <c r="BJ148" s="62">
        <f t="shared" si="146"/>
        <v>0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7.1589048658936297E-2</v>
      </c>
      <c r="BR148" s="23">
        <f>EXP(-LN(2)/2)*BR147+(1-EXP(-LN(2)/2))/(LN(2)/2)*BL148*BO148*VLOOKUP('Données projet'!$B$11,Paramètres!$A$1:$I$89,3,0)*0.475*44/12</f>
        <v>1.6668967834249326E-17</v>
      </c>
      <c r="BS148" s="24">
        <f t="shared" si="117"/>
        <v>7.1589048658936311E-2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439.06700232017681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0.36619512456082287</v>
      </c>
      <c r="AB149" s="23">
        <f>EXP(-LN(2)/2)*AB148+(1-EXP(-LN(2)/2))/(LN(2)/2)*V149*Y149*VLOOKUP('Données projet'!$B$9,Paramètres!$A$1:$I$89,3,0)*0.475*44/12</f>
        <v>5.1728672194875846E-17</v>
      </c>
      <c r="AC149" s="24">
        <f t="shared" si="111"/>
        <v>0.36619512456082293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1.4897523215040567E-13</v>
      </c>
      <c r="AK149" s="14">
        <f t="shared" si="143"/>
        <v>2.136562777003313E-12</v>
      </c>
      <c r="AL149" s="22">
        <f t="shared" si="112"/>
        <v>3.9806453659427267E-12</v>
      </c>
      <c r="AM149" s="62">
        <f t="shared" si="113"/>
        <v>293.33333333333729</v>
      </c>
      <c r="AN149" s="62">
        <f ca="1">AVERAGE(OFFSET($AM$3,0,0,'Données projet'!$E$10+1,1))-AVERAGE(OFFSET($H$3,0,0,'Données projet'!$E$10+1,1))</f>
        <v>239.16843440041487</v>
      </c>
      <c r="AO149" s="62">
        <f t="shared" si="144"/>
        <v>241.82319822554194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6.7663071826500142E-17</v>
      </c>
      <c r="AX149" s="23">
        <f t="shared" si="114"/>
        <v>6.7663071826500142E-17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4.4337866711430253E-14</v>
      </c>
      <c r="BF149" s="14">
        <f t="shared" si="145"/>
        <v>7.3222115536967035E-13</v>
      </c>
      <c r="BG149" s="22">
        <f t="shared" si="115"/>
        <v>1.3525069634579169E-12</v>
      </c>
      <c r="BH149" s="62">
        <f t="shared" si="116"/>
        <v>293.33333333333468</v>
      </c>
      <c r="BI149" s="62">
        <f ca="1">AVERAGE(OFFSET($BH$3,0,0,'Données projet'!$E$11+1,1))-AVERAGE(OFFSET($H$3,0,0,'Données projet'!$E$11+1,1))</f>
        <v>0</v>
      </c>
      <c r="BJ149" s="62">
        <f t="shared" si="146"/>
        <v>0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6.9631442358653234E-2</v>
      </c>
      <c r="BR149" s="23">
        <f>EXP(-LN(2)/2)*BR148+(1-EXP(-LN(2)/2))/(LN(2)/2)*BL149*BO149*VLOOKUP('Données projet'!$B$11,Paramètres!$A$1:$I$89,3,0)*0.475*44/12</f>
        <v>1.1786740190978137E-17</v>
      </c>
      <c r="BS149" s="24">
        <f t="shared" si="117"/>
        <v>6.9631442358653248E-2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439.06700232017681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0.35618149962234252</v>
      </c>
      <c r="AB150" s="23">
        <f>EXP(-LN(2)/2)*AB149+(1-EXP(-LN(2)/2))/(LN(2)/2)*V150*Y150*VLOOKUP('Données projet'!$B$9,Paramètres!$A$1:$I$89,3,0)*0.475*44/12</f>
        <v>3.657769489077272E-17</v>
      </c>
      <c r="AC150" s="24">
        <f t="shared" si="111"/>
        <v>0.35618149962234258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1.4897523215040567E-13</v>
      </c>
      <c r="AK150" s="14">
        <f t="shared" si="143"/>
        <v>2.136562777003313E-12</v>
      </c>
      <c r="AL150" s="22">
        <f t="shared" si="112"/>
        <v>3.9806453659427267E-12</v>
      </c>
      <c r="AM150" s="62">
        <f t="shared" si="113"/>
        <v>293.33333333333729</v>
      </c>
      <c r="AN150" s="62">
        <f ca="1">AVERAGE(OFFSET($AM$3,0,0,'Données projet'!$E$10+1,1))-AVERAGE(OFFSET($H$3,0,0,'Données projet'!$E$10+1,1))</f>
        <v>239.16843440041487</v>
      </c>
      <c r="AO150" s="62">
        <f t="shared" si="144"/>
        <v>241.82319822554194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4.7845016924430685E-17</v>
      </c>
      <c r="AX150" s="23">
        <f t="shared" si="114"/>
        <v>4.7845016924430685E-17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4.4337866711430253E-14</v>
      </c>
      <c r="BF150" s="14">
        <f t="shared" si="145"/>
        <v>7.3222115536967035E-13</v>
      </c>
      <c r="BG150" s="22">
        <f t="shared" si="115"/>
        <v>1.3525069634579169E-12</v>
      </c>
      <c r="BH150" s="62">
        <f t="shared" si="116"/>
        <v>293.33333333333468</v>
      </c>
      <c r="BI150" s="62">
        <f ca="1">AVERAGE(OFFSET($BH$3,0,0,'Données projet'!$E$11+1,1))-AVERAGE(OFFSET($H$3,0,0,'Données projet'!$E$11+1,1))</f>
        <v>0</v>
      </c>
      <c r="BJ150" s="62">
        <f t="shared" si="146"/>
        <v>0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6.7727366905597455E-2</v>
      </c>
      <c r="BR150" s="23">
        <f>EXP(-LN(2)/2)*BR149+(1-EXP(-LN(2)/2))/(LN(2)/2)*BL150*BO150*VLOOKUP('Données projet'!$B$11,Paramètres!$A$1:$I$89,3,0)*0.475*44/12</f>
        <v>8.3344839171246629E-18</v>
      </c>
      <c r="BS150" s="24">
        <f t="shared" si="117"/>
        <v>6.7727366905597469E-2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439.06700232017681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0.34644169778439854</v>
      </c>
      <c r="AB151" s="23">
        <f>EXP(-LN(2)/2)*AB150+(1-EXP(-LN(2)/2))/(LN(2)/2)*V151*Y151*VLOOKUP('Données projet'!$B$9,Paramètres!$A$1:$I$89,3,0)*0.475*44/12</f>
        <v>2.5864336097437923E-17</v>
      </c>
      <c r="AC151" s="24">
        <f t="shared" si="111"/>
        <v>0.34644169778439854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1.4897523215040567E-13</v>
      </c>
      <c r="AK151" s="14">
        <f t="shared" si="143"/>
        <v>2.136562777003313E-12</v>
      </c>
      <c r="AL151" s="22">
        <f t="shared" si="112"/>
        <v>3.9806453659427267E-12</v>
      </c>
      <c r="AM151" s="62">
        <f t="shared" si="113"/>
        <v>293.33333333333729</v>
      </c>
      <c r="AN151" s="62">
        <f ca="1">AVERAGE(OFFSET($AM$3,0,0,'Données projet'!$E$10+1,1))-AVERAGE(OFFSET($H$3,0,0,'Données projet'!$E$10+1,1))</f>
        <v>239.16843440041487</v>
      </c>
      <c r="AO151" s="62">
        <f t="shared" si="144"/>
        <v>241.82319822554194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3.3831535913250071E-17</v>
      </c>
      <c r="AX151" s="23">
        <f t="shared" si="114"/>
        <v>3.3831535913250071E-17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4.4337866711430253E-14</v>
      </c>
      <c r="BF151" s="14">
        <f t="shared" si="145"/>
        <v>7.3222115536967035E-13</v>
      </c>
      <c r="BG151" s="22">
        <f t="shared" si="115"/>
        <v>1.3525069634579169E-12</v>
      </c>
      <c r="BH151" s="62">
        <f t="shared" si="116"/>
        <v>293.33333333333468</v>
      </c>
      <c r="BI151" s="62">
        <f ca="1">AVERAGE(OFFSET($BH$3,0,0,'Données projet'!$E$11+1,1))-AVERAGE(OFFSET($H$3,0,0,'Données projet'!$E$11+1,1))</f>
        <v>0</v>
      </c>
      <c r="BJ151" s="62">
        <f t="shared" si="146"/>
        <v>0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6.5875358495936454E-2</v>
      </c>
      <c r="BR151" s="23">
        <f>EXP(-LN(2)/2)*BR150+(1-EXP(-LN(2)/2))/(LN(2)/2)*BL151*BO151*VLOOKUP('Données projet'!$B$11,Paramètres!$A$1:$I$89,3,0)*0.475*44/12</f>
        <v>5.8933700954890686E-18</v>
      </c>
      <c r="BS151" s="24">
        <f t="shared" si="117"/>
        <v>6.5875358495936454E-2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439.06700232017681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0.33696823133990705</v>
      </c>
      <c r="AB152" s="23">
        <f>EXP(-LN(2)/2)*AB151+(1-EXP(-LN(2)/2))/(LN(2)/2)*V152*Y152*VLOOKUP('Données projet'!$B$9,Paramètres!$A$1:$I$89,3,0)*0.475*44/12</f>
        <v>1.828884744538636E-17</v>
      </c>
      <c r="AC152" s="24">
        <f t="shared" si="111"/>
        <v>0.33696823133990705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1.4897523215040567E-13</v>
      </c>
      <c r="AK152" s="14">
        <f t="shared" si="143"/>
        <v>2.136562777003313E-12</v>
      </c>
      <c r="AL152" s="22">
        <f t="shared" si="112"/>
        <v>3.9806453659427267E-12</v>
      </c>
      <c r="AM152" s="62">
        <f t="shared" si="113"/>
        <v>293.33333333333729</v>
      </c>
      <c r="AN152" s="62">
        <f ca="1">AVERAGE(OFFSET($AM$3,0,0,'Données projet'!$E$10+1,1))-AVERAGE(OFFSET($H$3,0,0,'Données projet'!$E$10+1,1))</f>
        <v>239.16843440041487</v>
      </c>
      <c r="AO152" s="62">
        <f t="shared" si="144"/>
        <v>241.82319822554194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2.3922508462215342E-17</v>
      </c>
      <c r="AX152" s="23">
        <f t="shared" si="114"/>
        <v>2.3922508462215342E-17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4.4337866711430253E-14</v>
      </c>
      <c r="BF152" s="14">
        <f t="shared" si="145"/>
        <v>7.3222115536967035E-13</v>
      </c>
      <c r="BG152" s="22">
        <f t="shared" si="115"/>
        <v>1.3525069634579169E-12</v>
      </c>
      <c r="BH152" s="62">
        <f t="shared" si="116"/>
        <v>293.33333333333468</v>
      </c>
      <c r="BI152" s="62">
        <f ca="1">AVERAGE(OFFSET($BH$3,0,0,'Données projet'!$E$11+1,1))-AVERAGE(OFFSET($H$3,0,0,'Données projet'!$E$11+1,1))</f>
        <v>0</v>
      </c>
      <c r="BJ152" s="62">
        <f t="shared" si="146"/>
        <v>0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6.4073993353630523E-2</v>
      </c>
      <c r="BR152" s="23">
        <f>EXP(-LN(2)/2)*BR151+(1-EXP(-LN(2)/2))/(LN(2)/2)*BL152*BO152*VLOOKUP('Données projet'!$B$11,Paramètres!$A$1:$I$89,3,0)*0.475*44/12</f>
        <v>4.1672419585623315E-18</v>
      </c>
      <c r="BS152" s="24">
        <f t="shared" si="117"/>
        <v>6.4073993353630523E-2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439.06700232017681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0.32775381733352815</v>
      </c>
      <c r="AB153" s="23">
        <f>EXP(-LN(2)/2)*AB152+(1-EXP(-LN(2)/2))/(LN(2)/2)*V153*Y153*VLOOKUP('Données projet'!$B$9,Paramètres!$A$1:$I$89,3,0)*0.475*44/12</f>
        <v>1.2932168048718962E-17</v>
      </c>
      <c r="AC153" s="24">
        <f t="shared" si="111"/>
        <v>0.32775381733352815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1.4897523215040567E-13</v>
      </c>
      <c r="AK153" s="14">
        <f t="shared" si="143"/>
        <v>2.136562777003313E-12</v>
      </c>
      <c r="AL153" s="22">
        <f t="shared" si="112"/>
        <v>3.9806453659427267E-12</v>
      </c>
      <c r="AM153" s="62">
        <f t="shared" si="113"/>
        <v>293.33333333333729</v>
      </c>
      <c r="AN153" s="62">
        <f ca="1">AVERAGE(OFFSET($AM$3,0,0,'Données projet'!$E$10+1,1))-AVERAGE(OFFSET($H$3,0,0,'Données projet'!$E$10+1,1))</f>
        <v>239.16843440041487</v>
      </c>
      <c r="AO153" s="62">
        <f t="shared" si="144"/>
        <v>241.82319822554194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1.6915767956625035E-17</v>
      </c>
      <c r="AX153" s="23">
        <f t="shared" si="114"/>
        <v>1.6915767956625035E-17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4.4337866711430253E-14</v>
      </c>
      <c r="BF153" s="14">
        <f t="shared" si="145"/>
        <v>7.3222115536967035E-13</v>
      </c>
      <c r="BG153" s="22">
        <f t="shared" si="115"/>
        <v>1.3525069634579169E-12</v>
      </c>
      <c r="BH153" s="62">
        <f t="shared" si="116"/>
        <v>293.33333333333468</v>
      </c>
      <c r="BI153" s="62">
        <f ca="1">AVERAGE(OFFSET($BH$3,0,0,'Données projet'!$E$11+1,1))-AVERAGE(OFFSET($H$3,0,0,'Données projet'!$E$11+1,1))</f>
        <v>0</v>
      </c>
      <c r="BJ153" s="62">
        <f t="shared" si="146"/>
        <v>0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6.2321886635870627E-2</v>
      </c>
      <c r="BR153" s="23">
        <f>EXP(-LN(2)/2)*BR152+(1-EXP(-LN(2)/2))/(LN(2)/2)*BL153*BO153*VLOOKUP('Données projet'!$B$11,Paramètres!$A$1:$I$89,3,0)*0.475*44/12</f>
        <v>2.9466850477445343E-18</v>
      </c>
      <c r="BS153" s="24">
        <f t="shared" si="117"/>
        <v>6.2321886635870627E-2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439.06700232017681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0.31879137196271867</v>
      </c>
      <c r="AB154" s="23">
        <f>EXP(-LN(2)/2)*AB153+(1-EXP(-LN(2)/2))/(LN(2)/2)*V154*Y154*VLOOKUP('Données projet'!$B$9,Paramètres!$A$1:$I$89,3,0)*0.475*44/12</f>
        <v>9.1444237226931799E-18</v>
      </c>
      <c r="AC154" s="24">
        <f t="shared" ref="AC154:AC203" si="163">SUM(Z154:AB154)</f>
        <v>0.31879137196271867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1.4897523215040567E-13</v>
      </c>
      <c r="AK154" s="14">
        <f t="shared" ref="AK154:AK203" si="164">EXP(-1.0587+0.8836*LN(AJ154)+0.284)</f>
        <v>2.136562777003313E-12</v>
      </c>
      <c r="AL154" s="22">
        <f t="shared" ref="AL154:AL203" si="165">(AJ154+AK154)*0.475*44/12</f>
        <v>3.9806453659427267E-12</v>
      </c>
      <c r="AM154" s="62">
        <f t="shared" si="113"/>
        <v>293.33333333333729</v>
      </c>
      <c r="AN154" s="62">
        <f ca="1">AVERAGE(OFFSET($AM$3,0,0,'Données projet'!$E$10+1,1))-AVERAGE(OFFSET($H$3,0,0,'Données projet'!$E$10+1,1))</f>
        <v>239.16843440041487</v>
      </c>
      <c r="AO154" s="62">
        <f t="shared" si="144"/>
        <v>241.82319822554194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1.1961254231107671E-17</v>
      </c>
      <c r="AX154" s="23">
        <f t="shared" ref="AX154:AX203" si="166">SUM(AU154:AW154)</f>
        <v>1.1961254231107671E-17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4.4337866711430253E-14</v>
      </c>
      <c r="BF154" s="14">
        <f t="shared" ref="BF154:BF203" si="167">EXP(-1.0587+0.8836*LN(BE154)+0.284)</f>
        <v>7.3222115536967035E-13</v>
      </c>
      <c r="BG154" s="22">
        <f t="shared" ref="BG154:BG203" si="168">(BE154+BF154)*0.475*44/12</f>
        <v>1.3525069634579169E-12</v>
      </c>
      <c r="BH154" s="62">
        <f t="shared" si="116"/>
        <v>293.33333333333468</v>
      </c>
      <c r="BI154" s="62">
        <f ca="1">AVERAGE(OFFSET($BH$3,0,0,'Données projet'!$E$11+1,1))-AVERAGE(OFFSET($H$3,0,0,'Données projet'!$E$11+1,1))</f>
        <v>0</v>
      </c>
      <c r="BJ154" s="62">
        <f t="shared" si="146"/>
        <v>0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6.0617691368447163E-2</v>
      </c>
      <c r="BR154" s="23">
        <f>EXP(-LN(2)/2)*BR153+(1-EXP(-LN(2)/2))/(LN(2)/2)*BL154*BO154*VLOOKUP('Données projet'!$B$11,Paramètres!$A$1:$I$89,3,0)*0.475*44/12</f>
        <v>2.0836209792811657E-18</v>
      </c>
      <c r="BS154" s="24">
        <f t="shared" ref="BS154:BS203" si="169">SUM(BP154:BR154)</f>
        <v>6.0617691368447163E-2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439.06700232017681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0.31007400513188849</v>
      </c>
      <c r="AB155" s="23">
        <f>EXP(-LN(2)/2)*AB154+(1-EXP(-LN(2)/2))/(LN(2)/2)*V155*Y155*VLOOKUP('Données projet'!$B$9,Paramètres!$A$1:$I$89,3,0)*0.475*44/12</f>
        <v>6.4660840243594808E-18</v>
      </c>
      <c r="AC155" s="24">
        <f t="shared" si="163"/>
        <v>0.31007400513188849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1.4897523215040567E-13</v>
      </c>
      <c r="AK155" s="14">
        <f t="shared" si="164"/>
        <v>2.136562777003313E-12</v>
      </c>
      <c r="AL155" s="22">
        <f t="shared" si="165"/>
        <v>3.9806453659427267E-12</v>
      </c>
      <c r="AM155" s="62">
        <f t="shared" si="113"/>
        <v>293.33333333333729</v>
      </c>
      <c r="AN155" s="62">
        <f ca="1">AVERAGE(OFFSET($AM$3,0,0,'Données projet'!$E$10+1,1))-AVERAGE(OFFSET($H$3,0,0,'Données projet'!$E$10+1,1))</f>
        <v>239.16843440041487</v>
      </c>
      <c r="AO155" s="62">
        <f t="shared" si="144"/>
        <v>241.82319822554194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8.4578839783125177E-18</v>
      </c>
      <c r="AX155" s="23">
        <f t="shared" si="166"/>
        <v>8.4578839783125177E-18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4.4337866711430253E-14</v>
      </c>
      <c r="BF155" s="14">
        <f t="shared" si="167"/>
        <v>7.3222115536967035E-13</v>
      </c>
      <c r="BG155" s="22">
        <f t="shared" si="168"/>
        <v>1.3525069634579169E-12</v>
      </c>
      <c r="BH155" s="62">
        <f t="shared" si="116"/>
        <v>293.33333333333468</v>
      </c>
      <c r="BI155" s="62">
        <f ca="1">AVERAGE(OFFSET($BH$3,0,0,'Données projet'!$E$11+1,1))-AVERAGE(OFFSET($H$3,0,0,'Données projet'!$E$11+1,1))</f>
        <v>0</v>
      </c>
      <c r="BJ155" s="62">
        <f t="shared" si="146"/>
        <v>0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5.896009741023113E-2</v>
      </c>
      <c r="BR155" s="23">
        <f>EXP(-LN(2)/2)*BR154+(1-EXP(-LN(2)/2))/(LN(2)/2)*BL155*BO155*VLOOKUP('Données projet'!$B$11,Paramètres!$A$1:$I$89,3,0)*0.475*44/12</f>
        <v>1.4733425238722671E-18</v>
      </c>
      <c r="BS155" s="24">
        <f t="shared" si="169"/>
        <v>5.896009741023113E-2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439.06700232017681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0.30159501515547377</v>
      </c>
      <c r="AB156" s="23">
        <f>EXP(-LN(2)/2)*AB155+(1-EXP(-LN(2)/2))/(LN(2)/2)*V156*Y156*VLOOKUP('Données projet'!$B$9,Paramètres!$A$1:$I$89,3,0)*0.475*44/12</f>
        <v>4.57221186134659E-18</v>
      </c>
      <c r="AC156" s="24">
        <f t="shared" si="163"/>
        <v>0.30159501515547377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1.4897523215040567E-13</v>
      </c>
      <c r="AK156" s="14">
        <f t="shared" si="164"/>
        <v>2.136562777003313E-12</v>
      </c>
      <c r="AL156" s="22">
        <f t="shared" si="165"/>
        <v>3.9806453659427267E-12</v>
      </c>
      <c r="AM156" s="62">
        <f t="shared" si="113"/>
        <v>293.33333333333729</v>
      </c>
      <c r="AN156" s="62">
        <f ca="1">AVERAGE(OFFSET($AM$3,0,0,'Données projet'!$E$10+1,1))-AVERAGE(OFFSET($H$3,0,0,'Données projet'!$E$10+1,1))</f>
        <v>239.16843440041487</v>
      </c>
      <c r="AO156" s="62">
        <f t="shared" si="144"/>
        <v>241.82319822554194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5.9806271155538356E-18</v>
      </c>
      <c r="AX156" s="23">
        <f t="shared" si="166"/>
        <v>5.9806271155538356E-18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4.4337866711430253E-14</v>
      </c>
      <c r="BF156" s="14">
        <f t="shared" si="167"/>
        <v>7.3222115536967035E-13</v>
      </c>
      <c r="BG156" s="22">
        <f t="shared" si="168"/>
        <v>1.3525069634579169E-12</v>
      </c>
      <c r="BH156" s="62">
        <f t="shared" si="116"/>
        <v>293.33333333333468</v>
      </c>
      <c r="BI156" s="62">
        <f ca="1">AVERAGE(OFFSET($BH$3,0,0,'Données projet'!$E$11+1,1))-AVERAGE(OFFSET($H$3,0,0,'Données projet'!$E$11+1,1))</f>
        <v>0</v>
      </c>
      <c r="BJ156" s="62">
        <f t="shared" si="146"/>
        <v>0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5.7347830445971588E-2</v>
      </c>
      <c r="BR156" s="23">
        <f>EXP(-LN(2)/2)*BR155+(1-EXP(-LN(2)/2))/(LN(2)/2)*BL156*BO156*VLOOKUP('Données projet'!$B$11,Paramètres!$A$1:$I$89,3,0)*0.475*44/12</f>
        <v>1.0418104896405829E-18</v>
      </c>
      <c r="BS156" s="24">
        <f t="shared" si="169"/>
        <v>5.7347830445971588E-2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439.06700232017681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0.29334788360585479</v>
      </c>
      <c r="AB157" s="23">
        <f>EXP(-LN(2)/2)*AB156+(1-EXP(-LN(2)/2))/(LN(2)/2)*V157*Y157*VLOOKUP('Données projet'!$B$9,Paramètres!$A$1:$I$89,3,0)*0.475*44/12</f>
        <v>3.2330420121797404E-18</v>
      </c>
      <c r="AC157" s="24">
        <f t="shared" si="163"/>
        <v>0.29334788360585479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1.4897523215040567E-13</v>
      </c>
      <c r="AK157" s="14">
        <f t="shared" si="164"/>
        <v>2.136562777003313E-12</v>
      </c>
      <c r="AL157" s="22">
        <f t="shared" si="165"/>
        <v>3.9806453659427267E-12</v>
      </c>
      <c r="AM157" s="62">
        <f t="shared" si="113"/>
        <v>293.33333333333729</v>
      </c>
      <c r="AN157" s="62">
        <f ca="1">AVERAGE(OFFSET($AM$3,0,0,'Données projet'!$E$10+1,1))-AVERAGE(OFFSET($H$3,0,0,'Données projet'!$E$10+1,1))</f>
        <v>239.16843440041487</v>
      </c>
      <c r="AO157" s="62">
        <f t="shared" si="144"/>
        <v>241.82319822554194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4.2289419891562589E-18</v>
      </c>
      <c r="AX157" s="23">
        <f t="shared" si="166"/>
        <v>4.2289419891562589E-18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4.4337866711430253E-14</v>
      </c>
      <c r="BF157" s="14">
        <f t="shared" si="167"/>
        <v>7.3222115536967035E-13</v>
      </c>
      <c r="BG157" s="22">
        <f t="shared" si="168"/>
        <v>1.3525069634579169E-12</v>
      </c>
      <c r="BH157" s="62">
        <f t="shared" si="116"/>
        <v>293.33333333333468</v>
      </c>
      <c r="BI157" s="62">
        <f ca="1">AVERAGE(OFFSET($BH$3,0,0,'Données projet'!$E$11+1,1))-AVERAGE(OFFSET($H$3,0,0,'Données projet'!$E$11+1,1))</f>
        <v>0</v>
      </c>
      <c r="BJ157" s="62">
        <f t="shared" si="146"/>
        <v>0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5.5779651006635164E-2</v>
      </c>
      <c r="BR157" s="23">
        <f>EXP(-LN(2)/2)*BR156+(1-EXP(-LN(2)/2))/(LN(2)/2)*BL157*BO157*VLOOKUP('Données projet'!$B$11,Paramètres!$A$1:$I$89,3,0)*0.475*44/12</f>
        <v>7.3667126193613357E-19</v>
      </c>
      <c r="BS157" s="24">
        <f t="shared" si="169"/>
        <v>5.5779651006635164E-2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439.06700232017681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0.28532627030215796</v>
      </c>
      <c r="AB158" s="23">
        <f>EXP(-LN(2)/2)*AB157+(1-EXP(-LN(2)/2))/(LN(2)/2)*V158*Y158*VLOOKUP('Données projet'!$B$9,Paramètres!$A$1:$I$89,3,0)*0.475*44/12</f>
        <v>2.286105930673295E-18</v>
      </c>
      <c r="AC158" s="24">
        <f t="shared" si="163"/>
        <v>0.28532627030215796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1.4897523215040567E-13</v>
      </c>
      <c r="AK158" s="14">
        <f t="shared" si="164"/>
        <v>2.136562777003313E-12</v>
      </c>
      <c r="AL158" s="22">
        <f t="shared" si="165"/>
        <v>3.9806453659427267E-12</v>
      </c>
      <c r="AM158" s="62">
        <f t="shared" si="113"/>
        <v>293.33333333333729</v>
      </c>
      <c r="AN158" s="62">
        <f ca="1">AVERAGE(OFFSET($AM$3,0,0,'Données projet'!$E$10+1,1))-AVERAGE(OFFSET($H$3,0,0,'Données projet'!$E$10+1,1))</f>
        <v>239.16843440041487</v>
      </c>
      <c r="AO158" s="62">
        <f t="shared" si="144"/>
        <v>241.82319822554194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2.9903135577769178E-18</v>
      </c>
      <c r="AX158" s="23">
        <f t="shared" si="166"/>
        <v>2.9903135577769178E-18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4.4337866711430253E-14</v>
      </c>
      <c r="BF158" s="14">
        <f t="shared" si="167"/>
        <v>7.3222115536967035E-13</v>
      </c>
      <c r="BG158" s="22">
        <f t="shared" si="168"/>
        <v>1.3525069634579169E-12</v>
      </c>
      <c r="BH158" s="62">
        <f t="shared" si="116"/>
        <v>293.33333333333468</v>
      </c>
      <c r="BI158" s="62">
        <f ca="1">AVERAGE(OFFSET($BH$3,0,0,'Données projet'!$E$11+1,1))-AVERAGE(OFFSET($H$3,0,0,'Données projet'!$E$11+1,1))</f>
        <v>0</v>
      </c>
      <c r="BJ158" s="62">
        <f t="shared" si="146"/>
        <v>0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5.4254353516534362E-2</v>
      </c>
      <c r="BR158" s="23">
        <f>EXP(-LN(2)/2)*BR157+(1-EXP(-LN(2)/2))/(LN(2)/2)*BL158*BO158*VLOOKUP('Données projet'!$B$11,Paramètres!$A$1:$I$89,3,0)*0.475*44/12</f>
        <v>5.2090524482029143E-19</v>
      </c>
      <c r="BS158" s="24">
        <f t="shared" si="169"/>
        <v>5.4254353516534362E-2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439.06700232017681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0.27752400843608904</v>
      </c>
      <c r="AB159" s="23">
        <f>EXP(-LN(2)/2)*AB158+(1-EXP(-LN(2)/2))/(LN(2)/2)*V159*Y159*VLOOKUP('Données projet'!$B$9,Paramètres!$A$1:$I$89,3,0)*0.475*44/12</f>
        <v>1.6165210060898702E-18</v>
      </c>
      <c r="AC159" s="24">
        <f t="shared" si="163"/>
        <v>0.27752400843608904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1.4897523215040567E-13</v>
      </c>
      <c r="AK159" s="14">
        <f t="shared" si="164"/>
        <v>2.136562777003313E-12</v>
      </c>
      <c r="AL159" s="22">
        <f t="shared" si="165"/>
        <v>3.9806453659427267E-12</v>
      </c>
      <c r="AM159" s="62">
        <f t="shared" si="113"/>
        <v>293.33333333333729</v>
      </c>
      <c r="AN159" s="62">
        <f ca="1">AVERAGE(OFFSET($AM$3,0,0,'Données projet'!$E$10+1,1))-AVERAGE(OFFSET($H$3,0,0,'Données projet'!$E$10+1,1))</f>
        <v>239.16843440041487</v>
      </c>
      <c r="AO159" s="62">
        <f t="shared" si="144"/>
        <v>241.82319822554194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2.1144709945781294E-18</v>
      </c>
      <c r="AX159" s="23">
        <f t="shared" si="166"/>
        <v>2.1144709945781294E-18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4.4337866711430253E-14</v>
      </c>
      <c r="BF159" s="14">
        <f t="shared" si="167"/>
        <v>7.3222115536967035E-13</v>
      </c>
      <c r="BG159" s="22">
        <f t="shared" si="168"/>
        <v>1.3525069634579169E-12</v>
      </c>
      <c r="BH159" s="62">
        <f t="shared" si="116"/>
        <v>293.33333333333468</v>
      </c>
      <c r="BI159" s="62">
        <f ca="1">AVERAGE(OFFSET($BH$3,0,0,'Données projet'!$E$11+1,1))-AVERAGE(OFFSET($H$3,0,0,'Données projet'!$E$11+1,1))</f>
        <v>0</v>
      </c>
      <c r="BJ159" s="62">
        <f t="shared" si="146"/>
        <v>0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5.2770765366512276E-2</v>
      </c>
      <c r="BR159" s="23">
        <f>EXP(-LN(2)/2)*BR158+(1-EXP(-LN(2)/2))/(LN(2)/2)*BL159*BO159*VLOOKUP('Données projet'!$B$11,Paramètres!$A$1:$I$89,3,0)*0.475*44/12</f>
        <v>3.6833563096806679E-19</v>
      </c>
      <c r="BS159" s="24">
        <f t="shared" si="169"/>
        <v>5.2770765366512276E-2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439.06700232017681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0.26993509983105085</v>
      </c>
      <c r="AB160" s="23">
        <f>EXP(-LN(2)/2)*AB159+(1-EXP(-LN(2)/2))/(LN(2)/2)*V160*Y160*VLOOKUP('Données projet'!$B$9,Paramètres!$A$1:$I$89,3,0)*0.475*44/12</f>
        <v>1.1430529653366475E-18</v>
      </c>
      <c r="AC160" s="24">
        <f t="shared" si="163"/>
        <v>0.26993509983105085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1.4897523215040567E-13</v>
      </c>
      <c r="AK160" s="14">
        <f t="shared" si="164"/>
        <v>2.136562777003313E-12</v>
      </c>
      <c r="AL160" s="22">
        <f t="shared" si="165"/>
        <v>3.9806453659427267E-12</v>
      </c>
      <c r="AM160" s="62">
        <f t="shared" si="113"/>
        <v>293.33333333333729</v>
      </c>
      <c r="AN160" s="62">
        <f ca="1">AVERAGE(OFFSET($AM$3,0,0,'Données projet'!$E$10+1,1))-AVERAGE(OFFSET($H$3,0,0,'Données projet'!$E$10+1,1))</f>
        <v>239.16843440041487</v>
      </c>
      <c r="AO160" s="62">
        <f t="shared" si="144"/>
        <v>241.82319822554194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1.4951567788884589E-18</v>
      </c>
      <c r="AX160" s="23">
        <f t="shared" si="166"/>
        <v>1.4951567788884589E-18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4.4337866711430253E-14</v>
      </c>
      <c r="BF160" s="14">
        <f t="shared" si="167"/>
        <v>7.3222115536967035E-13</v>
      </c>
      <c r="BG160" s="22">
        <f t="shared" si="168"/>
        <v>1.3525069634579169E-12</v>
      </c>
      <c r="BH160" s="62">
        <f t="shared" si="116"/>
        <v>293.33333333333468</v>
      </c>
      <c r="BI160" s="62">
        <f ca="1">AVERAGE(OFFSET($BH$3,0,0,'Données projet'!$E$11+1,1))-AVERAGE(OFFSET($H$3,0,0,'Données projet'!$E$11+1,1))</f>
        <v>0</v>
      </c>
      <c r="BJ160" s="62">
        <f t="shared" si="146"/>
        <v>0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5.1327746012471059E-2</v>
      </c>
      <c r="BR160" s="23">
        <f>EXP(-LN(2)/2)*BR159+(1-EXP(-LN(2)/2))/(LN(2)/2)*BL160*BO160*VLOOKUP('Données projet'!$B$11,Paramètres!$A$1:$I$89,3,0)*0.475*44/12</f>
        <v>2.6045262241014572E-19</v>
      </c>
      <c r="BS160" s="24">
        <f t="shared" si="169"/>
        <v>5.1327746012471059E-2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439.06700232017681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0.2625537103309008</v>
      </c>
      <c r="AB161" s="23">
        <f>EXP(-LN(2)/2)*AB160+(1-EXP(-LN(2)/2))/(LN(2)/2)*V161*Y161*VLOOKUP('Données projet'!$B$9,Paramètres!$A$1:$I$89,3,0)*0.475*44/12</f>
        <v>8.082605030449351E-19</v>
      </c>
      <c r="AC161" s="24">
        <f t="shared" si="163"/>
        <v>0.2625537103309008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1.4897523215040567E-13</v>
      </c>
      <c r="AK161" s="14">
        <f t="shared" si="164"/>
        <v>2.136562777003313E-12</v>
      </c>
      <c r="AL161" s="22">
        <f t="shared" si="165"/>
        <v>3.9806453659427267E-12</v>
      </c>
      <c r="AM161" s="62">
        <f t="shared" si="113"/>
        <v>293.33333333333729</v>
      </c>
      <c r="AN161" s="62">
        <f ca="1">AVERAGE(OFFSET($AM$3,0,0,'Données projet'!$E$10+1,1))-AVERAGE(OFFSET($H$3,0,0,'Données projet'!$E$10+1,1))</f>
        <v>239.16843440041487</v>
      </c>
      <c r="AO161" s="62">
        <f t="shared" si="144"/>
        <v>241.82319822554194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1.0572354972890647E-18</v>
      </c>
      <c r="AX161" s="23">
        <f t="shared" si="166"/>
        <v>1.0572354972890647E-18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4.4337866711430253E-14</v>
      </c>
      <c r="BF161" s="14">
        <f t="shared" si="167"/>
        <v>7.3222115536967035E-13</v>
      </c>
      <c r="BG161" s="22">
        <f t="shared" si="168"/>
        <v>1.3525069634579169E-12</v>
      </c>
      <c r="BH161" s="62">
        <f t="shared" si="116"/>
        <v>293.33333333333468</v>
      </c>
      <c r="BI161" s="62">
        <f ca="1">AVERAGE(OFFSET($BH$3,0,0,'Données projet'!$E$11+1,1))-AVERAGE(OFFSET($H$3,0,0,'Données projet'!$E$11+1,1))</f>
        <v>0</v>
      </c>
      <c r="BJ161" s="62">
        <f t="shared" si="146"/>
        <v>0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4.9924186098551183E-2</v>
      </c>
      <c r="BR161" s="23">
        <f>EXP(-LN(2)/2)*BR160+(1-EXP(-LN(2)/2))/(LN(2)/2)*BL161*BO161*VLOOKUP('Données projet'!$B$11,Paramètres!$A$1:$I$89,3,0)*0.475*44/12</f>
        <v>1.8416781548403339E-19</v>
      </c>
      <c r="BS161" s="24">
        <f t="shared" si="169"/>
        <v>4.9924186098551183E-2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439.06700232017681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0.25537416531480278</v>
      </c>
      <c r="AB162" s="23">
        <f>EXP(-LN(2)/2)*AB161+(1-EXP(-LN(2)/2))/(LN(2)/2)*V162*Y162*VLOOKUP('Données projet'!$B$9,Paramètres!$A$1:$I$89,3,0)*0.475*44/12</f>
        <v>5.7152648266832375E-19</v>
      </c>
      <c r="AC162" s="24">
        <f t="shared" si="163"/>
        <v>0.25537416531480278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1.4897523215040567E-13</v>
      </c>
      <c r="AK162" s="14">
        <f t="shared" si="164"/>
        <v>2.136562777003313E-12</v>
      </c>
      <c r="AL162" s="22">
        <f t="shared" si="165"/>
        <v>3.9806453659427267E-12</v>
      </c>
      <c r="AM162" s="62">
        <f t="shared" si="113"/>
        <v>293.33333333333729</v>
      </c>
      <c r="AN162" s="62">
        <f ca="1">AVERAGE(OFFSET($AM$3,0,0,'Données projet'!$E$10+1,1))-AVERAGE(OFFSET($H$3,0,0,'Données projet'!$E$10+1,1))</f>
        <v>239.16843440041487</v>
      </c>
      <c r="AO162" s="62">
        <f t="shared" si="144"/>
        <v>241.82319822554194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7.4757838944422945E-19</v>
      </c>
      <c r="AX162" s="23">
        <f t="shared" si="166"/>
        <v>7.4757838944422945E-19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4.4337866711430253E-14</v>
      </c>
      <c r="BF162" s="14">
        <f t="shared" si="167"/>
        <v>7.3222115536967035E-13</v>
      </c>
      <c r="BG162" s="22">
        <f t="shared" si="168"/>
        <v>1.3525069634579169E-12</v>
      </c>
      <c r="BH162" s="62">
        <f t="shared" si="116"/>
        <v>293.33333333333468</v>
      </c>
      <c r="BI162" s="62">
        <f ca="1">AVERAGE(OFFSET($BH$3,0,0,'Données projet'!$E$11+1,1))-AVERAGE(OFFSET($H$3,0,0,'Données projet'!$E$11+1,1))</f>
        <v>0</v>
      </c>
      <c r="BJ162" s="62">
        <f t="shared" si="146"/>
        <v>0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4.8559006604287455E-2</v>
      </c>
      <c r="BR162" s="23">
        <f>EXP(-LN(2)/2)*BR161+(1-EXP(-LN(2)/2))/(LN(2)/2)*BL162*BO162*VLOOKUP('Données projet'!$B$11,Paramètres!$A$1:$I$89,3,0)*0.475*44/12</f>
        <v>1.3022631120507286E-19</v>
      </c>
      <c r="BS162" s="24">
        <f t="shared" si="169"/>
        <v>4.8559006604287455E-2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439.06700232017681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0.2483909453347258</v>
      </c>
      <c r="AB163" s="23">
        <f>EXP(-LN(2)/2)*AB162+(1-EXP(-LN(2)/2))/(LN(2)/2)*V163*Y163*VLOOKUP('Données projet'!$B$9,Paramètres!$A$1:$I$89,3,0)*0.475*44/12</f>
        <v>4.0413025152246755E-19</v>
      </c>
      <c r="AC163" s="24">
        <f t="shared" si="163"/>
        <v>0.2483909453347258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1.4897523215040567E-13</v>
      </c>
      <c r="AK163" s="14">
        <f t="shared" si="164"/>
        <v>2.136562777003313E-12</v>
      </c>
      <c r="AL163" s="22">
        <f t="shared" si="165"/>
        <v>3.9806453659427267E-12</v>
      </c>
      <c r="AM163" s="62">
        <f t="shared" si="113"/>
        <v>293.33333333333729</v>
      </c>
      <c r="AN163" s="62">
        <f ca="1">AVERAGE(OFFSET($AM$3,0,0,'Données projet'!$E$10+1,1))-AVERAGE(OFFSET($H$3,0,0,'Données projet'!$E$10+1,1))</f>
        <v>239.16843440041487</v>
      </c>
      <c r="AO163" s="62">
        <f t="shared" si="144"/>
        <v>241.82319822554194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5.2861774864453236E-19</v>
      </c>
      <c r="AX163" s="23">
        <f t="shared" si="166"/>
        <v>5.2861774864453236E-19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4.4337866711430253E-14</v>
      </c>
      <c r="BF163" s="14">
        <f t="shared" si="167"/>
        <v>7.3222115536967035E-13</v>
      </c>
      <c r="BG163" s="22">
        <f t="shared" si="168"/>
        <v>1.3525069634579169E-12</v>
      </c>
      <c r="BH163" s="62">
        <f t="shared" si="116"/>
        <v>293.33333333333468</v>
      </c>
      <c r="BI163" s="62">
        <f ca="1">AVERAGE(OFFSET($BH$3,0,0,'Données projet'!$E$11+1,1))-AVERAGE(OFFSET($H$3,0,0,'Données projet'!$E$11+1,1))</f>
        <v>0</v>
      </c>
      <c r="BJ163" s="62">
        <f t="shared" si="146"/>
        <v>0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4.7231158015086039E-2</v>
      </c>
      <c r="BR163" s="23">
        <f>EXP(-LN(2)/2)*BR162+(1-EXP(-LN(2)/2))/(LN(2)/2)*BL163*BO163*VLOOKUP('Données projet'!$B$11,Paramètres!$A$1:$I$89,3,0)*0.475*44/12</f>
        <v>9.2083907742016697E-20</v>
      </c>
      <c r="BS163" s="24">
        <f t="shared" si="169"/>
        <v>4.7231158015086039E-2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439.06700232017681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0.24159868187223563</v>
      </c>
      <c r="AB164" s="23">
        <f>EXP(-LN(2)/2)*AB163+(1-EXP(-LN(2)/2))/(LN(2)/2)*V164*Y164*VLOOKUP('Données projet'!$B$9,Paramètres!$A$1:$I$89,3,0)*0.475*44/12</f>
        <v>2.8576324133416187E-19</v>
      </c>
      <c r="AC164" s="24">
        <f t="shared" si="163"/>
        <v>0.24159868187223563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1.4897523215040567E-13</v>
      </c>
      <c r="AK164" s="14">
        <f t="shared" si="164"/>
        <v>2.136562777003313E-12</v>
      </c>
      <c r="AL164" s="22">
        <f t="shared" si="165"/>
        <v>3.9806453659427267E-12</v>
      </c>
      <c r="AM164" s="62">
        <f t="shared" si="113"/>
        <v>293.33333333333729</v>
      </c>
      <c r="AN164" s="62">
        <f ca="1">AVERAGE(OFFSET($AM$3,0,0,'Données projet'!$E$10+1,1))-AVERAGE(OFFSET($H$3,0,0,'Données projet'!$E$10+1,1))</f>
        <v>239.16843440041487</v>
      </c>
      <c r="AO164" s="62">
        <f t="shared" si="144"/>
        <v>241.82319822554194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3.7378919472211472E-19</v>
      </c>
      <c r="AX164" s="23">
        <f t="shared" si="166"/>
        <v>3.7378919472211472E-19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4.4337866711430253E-14</v>
      </c>
      <c r="BF164" s="14">
        <f t="shared" si="167"/>
        <v>7.3222115536967035E-13</v>
      </c>
      <c r="BG164" s="22">
        <f t="shared" si="168"/>
        <v>1.3525069634579169E-12</v>
      </c>
      <c r="BH164" s="62">
        <f t="shared" si="116"/>
        <v>293.33333333333468</v>
      </c>
      <c r="BI164" s="62">
        <f ca="1">AVERAGE(OFFSET($BH$3,0,0,'Données projet'!$E$11+1,1))-AVERAGE(OFFSET($H$3,0,0,'Données projet'!$E$11+1,1))</f>
        <v>0</v>
      </c>
      <c r="BJ164" s="62">
        <f t="shared" si="146"/>
        <v>0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4.5939619515384861E-2</v>
      </c>
      <c r="BR164" s="23">
        <f>EXP(-LN(2)/2)*BR163+(1-EXP(-LN(2)/2))/(LN(2)/2)*BL164*BO164*VLOOKUP('Données projet'!$B$11,Paramètres!$A$1:$I$89,3,0)*0.475*44/12</f>
        <v>6.5113155602536429E-20</v>
      </c>
      <c r="BS164" s="24">
        <f t="shared" si="169"/>
        <v>4.5939619515384861E-2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439.06700232017681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0.23499215321131683</v>
      </c>
      <c r="AB165" s="23">
        <f>EXP(-LN(2)/2)*AB164+(1-EXP(-LN(2)/2))/(LN(2)/2)*V165*Y165*VLOOKUP('Données projet'!$B$9,Paramètres!$A$1:$I$89,3,0)*0.475*44/12</f>
        <v>2.0206512576123377E-19</v>
      </c>
      <c r="AC165" s="24">
        <f t="shared" si="163"/>
        <v>0.23499215321131683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1.4897523215040567E-13</v>
      </c>
      <c r="AK165" s="14">
        <f t="shared" si="164"/>
        <v>2.136562777003313E-12</v>
      </c>
      <c r="AL165" s="22">
        <f t="shared" si="165"/>
        <v>3.9806453659427267E-12</v>
      </c>
      <c r="AM165" s="62">
        <f t="shared" si="113"/>
        <v>293.33333333333729</v>
      </c>
      <c r="AN165" s="62">
        <f ca="1">AVERAGE(OFFSET($AM$3,0,0,'Données projet'!$E$10+1,1))-AVERAGE(OFFSET($H$3,0,0,'Données projet'!$E$10+1,1))</f>
        <v>239.16843440041487</v>
      </c>
      <c r="AO165" s="62">
        <f t="shared" si="144"/>
        <v>241.82319822554194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2.6430887432226618E-19</v>
      </c>
      <c r="AX165" s="23">
        <f t="shared" si="166"/>
        <v>2.6430887432226618E-19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4.4337866711430253E-14</v>
      </c>
      <c r="BF165" s="14">
        <f t="shared" si="167"/>
        <v>7.3222115536967035E-13</v>
      </c>
      <c r="BG165" s="22">
        <f t="shared" si="168"/>
        <v>1.3525069634579169E-12</v>
      </c>
      <c r="BH165" s="62">
        <f t="shared" si="116"/>
        <v>293.33333333333468</v>
      </c>
      <c r="BI165" s="62">
        <f ca="1">AVERAGE(OFFSET($BH$3,0,0,'Données projet'!$E$11+1,1))-AVERAGE(OFFSET($H$3,0,0,'Données projet'!$E$11+1,1))</f>
        <v>0</v>
      </c>
      <c r="BJ165" s="62">
        <f t="shared" si="146"/>
        <v>0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4.4683398203877067E-2</v>
      </c>
      <c r="BR165" s="23">
        <f>EXP(-LN(2)/2)*BR164+(1-EXP(-LN(2)/2))/(LN(2)/2)*BL165*BO165*VLOOKUP('Données projet'!$B$11,Paramètres!$A$1:$I$89,3,0)*0.475*44/12</f>
        <v>4.6041953871008348E-20</v>
      </c>
      <c r="BS165" s="24">
        <f t="shared" si="169"/>
        <v>4.4683398203877067E-2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439.06700232017681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0.22856628042405311</v>
      </c>
      <c r="AB166" s="23">
        <f>EXP(-LN(2)/2)*AB165+(1-EXP(-LN(2)/2))/(LN(2)/2)*V166*Y166*VLOOKUP('Données projet'!$B$9,Paramètres!$A$1:$I$89,3,0)*0.475*44/12</f>
        <v>1.4288162066708094E-19</v>
      </c>
      <c r="AC166" s="24">
        <f t="shared" si="163"/>
        <v>0.22856628042405311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1.4897523215040567E-13</v>
      </c>
      <c r="AK166" s="14">
        <f t="shared" si="164"/>
        <v>2.136562777003313E-12</v>
      </c>
      <c r="AL166" s="22">
        <f t="shared" si="165"/>
        <v>3.9806453659427267E-12</v>
      </c>
      <c r="AM166" s="62">
        <f t="shared" si="113"/>
        <v>293.33333333333729</v>
      </c>
      <c r="AN166" s="62">
        <f ca="1">AVERAGE(OFFSET($AM$3,0,0,'Données projet'!$E$10+1,1))-AVERAGE(OFFSET($H$3,0,0,'Données projet'!$E$10+1,1))</f>
        <v>239.16843440041487</v>
      </c>
      <c r="AO166" s="62">
        <f t="shared" si="144"/>
        <v>241.82319822554194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1.8689459736105736E-19</v>
      </c>
      <c r="AX166" s="23">
        <f t="shared" si="166"/>
        <v>1.8689459736105736E-19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4.4337866711430253E-14</v>
      </c>
      <c r="BF166" s="14">
        <f t="shared" si="167"/>
        <v>7.3222115536967035E-13</v>
      </c>
      <c r="BG166" s="22">
        <f t="shared" si="168"/>
        <v>1.3525069634579169E-12</v>
      </c>
      <c r="BH166" s="62">
        <f t="shared" si="116"/>
        <v>293.33333333333468</v>
      </c>
      <c r="BI166" s="62">
        <f ca="1">AVERAGE(OFFSET($BH$3,0,0,'Données projet'!$E$11+1,1))-AVERAGE(OFFSET($H$3,0,0,'Données projet'!$E$11+1,1))</f>
        <v>0</v>
      </c>
      <c r="BJ166" s="62">
        <f t="shared" si="146"/>
        <v>0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4.346152833019426E-2</v>
      </c>
      <c r="BR166" s="23">
        <f>EXP(-LN(2)/2)*BR165+(1-EXP(-LN(2)/2))/(LN(2)/2)*BL166*BO166*VLOOKUP('Données projet'!$B$11,Paramètres!$A$1:$I$89,3,0)*0.475*44/12</f>
        <v>3.2556577801268215E-20</v>
      </c>
      <c r="BS166" s="24">
        <f t="shared" si="169"/>
        <v>4.346152833019426E-2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439.06700232017681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0.2223161234660791</v>
      </c>
      <c r="AB167" s="23">
        <f>EXP(-LN(2)/2)*AB166+(1-EXP(-LN(2)/2))/(LN(2)/2)*V167*Y167*VLOOKUP('Données projet'!$B$9,Paramètres!$A$1:$I$89,3,0)*0.475*44/12</f>
        <v>1.0103256288061689E-19</v>
      </c>
      <c r="AC167" s="24">
        <f t="shared" si="163"/>
        <v>0.2223161234660791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1.4897523215040567E-13</v>
      </c>
      <c r="AK167" s="14">
        <f t="shared" si="164"/>
        <v>2.136562777003313E-12</v>
      </c>
      <c r="AL167" s="22">
        <f t="shared" si="165"/>
        <v>3.9806453659427267E-12</v>
      </c>
      <c r="AM167" s="62">
        <f t="shared" si="113"/>
        <v>293.33333333333729</v>
      </c>
      <c r="AN167" s="62">
        <f ca="1">AVERAGE(OFFSET($AM$3,0,0,'Données projet'!$E$10+1,1))-AVERAGE(OFFSET($H$3,0,0,'Données projet'!$E$10+1,1))</f>
        <v>239.16843440041487</v>
      </c>
      <c r="AO167" s="62">
        <f t="shared" si="144"/>
        <v>241.82319822554194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1.3215443716113309E-19</v>
      </c>
      <c r="AX167" s="23">
        <f t="shared" si="166"/>
        <v>1.3215443716113309E-19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4.4337866711430253E-14</v>
      </c>
      <c r="BF167" s="14">
        <f t="shared" si="167"/>
        <v>7.3222115536967035E-13</v>
      </c>
      <c r="BG167" s="22">
        <f t="shared" si="168"/>
        <v>1.3525069634579169E-12</v>
      </c>
      <c r="BH167" s="62">
        <f t="shared" si="116"/>
        <v>293.33333333333468</v>
      </c>
      <c r="BI167" s="62">
        <f ca="1">AVERAGE(OFFSET($BH$3,0,0,'Données projet'!$E$11+1,1))-AVERAGE(OFFSET($H$3,0,0,'Données projet'!$E$11+1,1))</f>
        <v>0</v>
      </c>
      <c r="BJ167" s="62">
        <f t="shared" si="146"/>
        <v>0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4.2273070552462655E-2</v>
      </c>
      <c r="BR167" s="23">
        <f>EXP(-LN(2)/2)*BR166+(1-EXP(-LN(2)/2))/(LN(2)/2)*BL167*BO167*VLOOKUP('Données projet'!$B$11,Paramètres!$A$1:$I$89,3,0)*0.475*44/12</f>
        <v>2.3020976935504174E-20</v>
      </c>
      <c r="BS167" s="24">
        <f t="shared" si="169"/>
        <v>4.2273070552462655E-2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439.06700232017681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0.21623687737880234</v>
      </c>
      <c r="AB168" s="23">
        <f>EXP(-LN(2)/2)*AB167+(1-EXP(-LN(2)/2))/(LN(2)/2)*V168*Y168*VLOOKUP('Données projet'!$B$9,Paramètres!$A$1:$I$89,3,0)*0.475*44/12</f>
        <v>7.1440810333540468E-20</v>
      </c>
      <c r="AC168" s="24">
        <f t="shared" si="163"/>
        <v>0.21623687737880234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1.4897523215040567E-13</v>
      </c>
      <c r="AK168" s="14">
        <f t="shared" si="164"/>
        <v>2.136562777003313E-12</v>
      </c>
      <c r="AL168" s="22">
        <f t="shared" si="165"/>
        <v>3.9806453659427267E-12</v>
      </c>
      <c r="AM168" s="62">
        <f t="shared" si="113"/>
        <v>293.33333333333729</v>
      </c>
      <c r="AN168" s="62">
        <f ca="1">AVERAGE(OFFSET($AM$3,0,0,'Données projet'!$E$10+1,1))-AVERAGE(OFFSET($H$3,0,0,'Données projet'!$E$10+1,1))</f>
        <v>239.16843440041487</v>
      </c>
      <c r="AO168" s="62">
        <f t="shared" si="144"/>
        <v>241.82319822554194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9.3447298680528681E-20</v>
      </c>
      <c r="AX168" s="23">
        <f t="shared" si="166"/>
        <v>9.3447298680528681E-20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4.4337866711430253E-14</v>
      </c>
      <c r="BF168" s="14">
        <f t="shared" si="167"/>
        <v>7.3222115536967035E-13</v>
      </c>
      <c r="BG168" s="22">
        <f t="shared" si="168"/>
        <v>1.3525069634579169E-12</v>
      </c>
      <c r="BH168" s="62">
        <f t="shared" si="116"/>
        <v>293.33333333333468</v>
      </c>
      <c r="BI168" s="62">
        <f ca="1">AVERAGE(OFFSET($BH$3,0,0,'Données projet'!$E$11+1,1))-AVERAGE(OFFSET($H$3,0,0,'Données projet'!$E$11+1,1))</f>
        <v>0</v>
      </c>
      <c r="BJ168" s="62">
        <f t="shared" si="146"/>
        <v>0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4.11171112151614E-2</v>
      </c>
      <c r="BR168" s="23">
        <f>EXP(-LN(2)/2)*BR167+(1-EXP(-LN(2)/2))/(LN(2)/2)*BL168*BO168*VLOOKUP('Données projet'!$B$11,Paramètres!$A$1:$I$89,3,0)*0.475*44/12</f>
        <v>1.6278288900634107E-20</v>
      </c>
      <c r="BS168" s="24">
        <f t="shared" si="169"/>
        <v>4.11171112151614E-2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439.06700232017681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0.21032386859547583</v>
      </c>
      <c r="AB169" s="23">
        <f>EXP(-LN(2)/2)*AB168+(1-EXP(-LN(2)/2))/(LN(2)/2)*V169*Y169*VLOOKUP('Données projet'!$B$9,Paramètres!$A$1:$I$89,3,0)*0.475*44/12</f>
        <v>5.0516281440308444E-20</v>
      </c>
      <c r="AC169" s="24">
        <f t="shared" si="163"/>
        <v>0.21032386859547583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1.4897523215040567E-13</v>
      </c>
      <c r="AK169" s="14">
        <f t="shared" si="164"/>
        <v>2.136562777003313E-12</v>
      </c>
      <c r="AL169" s="22">
        <f t="shared" si="165"/>
        <v>3.9806453659427267E-12</v>
      </c>
      <c r="AM169" s="62">
        <f t="shared" si="113"/>
        <v>293.33333333333729</v>
      </c>
      <c r="AN169" s="62">
        <f ca="1">AVERAGE(OFFSET($AM$3,0,0,'Données projet'!$E$10+1,1))-AVERAGE(OFFSET($H$3,0,0,'Données projet'!$E$10+1,1))</f>
        <v>239.16843440041487</v>
      </c>
      <c r="AO169" s="62">
        <f t="shared" si="144"/>
        <v>241.82319822554194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6.6077218580566545E-20</v>
      </c>
      <c r="AX169" s="23">
        <f t="shared" si="166"/>
        <v>6.6077218580566545E-20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4.4337866711430253E-14</v>
      </c>
      <c r="BF169" s="14">
        <f t="shared" si="167"/>
        <v>7.3222115536967035E-13</v>
      </c>
      <c r="BG169" s="22">
        <f t="shared" si="168"/>
        <v>1.3525069634579169E-12</v>
      </c>
      <c r="BH169" s="62">
        <f t="shared" si="116"/>
        <v>293.33333333333468</v>
      </c>
      <c r="BI169" s="62">
        <f ca="1">AVERAGE(OFFSET($BH$3,0,0,'Données projet'!$E$11+1,1))-AVERAGE(OFFSET($H$3,0,0,'Données projet'!$E$11+1,1))</f>
        <v>0</v>
      </c>
      <c r="BJ169" s="62">
        <f t="shared" si="146"/>
        <v>0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3.9992761646727909E-2</v>
      </c>
      <c r="BR169" s="23">
        <f>EXP(-LN(2)/2)*BR168+(1-EXP(-LN(2)/2))/(LN(2)/2)*BL169*BO169*VLOOKUP('Données projet'!$B$11,Paramètres!$A$1:$I$89,3,0)*0.475*44/12</f>
        <v>1.1510488467752087E-20</v>
      </c>
      <c r="BS169" s="24">
        <f t="shared" si="169"/>
        <v>3.9992761646727909E-2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439.06700232017681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0.20457255134828101</v>
      </c>
      <c r="AB170" s="23">
        <f>EXP(-LN(2)/2)*AB169+(1-EXP(-LN(2)/2))/(LN(2)/2)*V170*Y170*VLOOKUP('Données projet'!$B$9,Paramètres!$A$1:$I$89,3,0)*0.475*44/12</f>
        <v>3.5720405166770234E-20</v>
      </c>
      <c r="AC170" s="24">
        <f t="shared" si="163"/>
        <v>0.20457255134828101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1.4897523215040567E-13</v>
      </c>
      <c r="AK170" s="14">
        <f t="shared" si="164"/>
        <v>2.136562777003313E-12</v>
      </c>
      <c r="AL170" s="22">
        <f t="shared" si="165"/>
        <v>3.9806453659427267E-12</v>
      </c>
      <c r="AM170" s="62">
        <f t="shared" si="113"/>
        <v>293.33333333333729</v>
      </c>
      <c r="AN170" s="62">
        <f ca="1">AVERAGE(OFFSET($AM$3,0,0,'Données projet'!$E$10+1,1))-AVERAGE(OFFSET($H$3,0,0,'Données projet'!$E$10+1,1))</f>
        <v>239.16843440041487</v>
      </c>
      <c r="AO170" s="62">
        <f t="shared" si="144"/>
        <v>241.82319822554194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4.672364934026434E-20</v>
      </c>
      <c r="AX170" s="23">
        <f t="shared" si="166"/>
        <v>4.672364934026434E-20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4.4337866711430253E-14</v>
      </c>
      <c r="BF170" s="14">
        <f t="shared" si="167"/>
        <v>7.3222115536967035E-13</v>
      </c>
      <c r="BG170" s="22">
        <f t="shared" si="168"/>
        <v>1.3525069634579169E-12</v>
      </c>
      <c r="BH170" s="62">
        <f t="shared" si="116"/>
        <v>293.33333333333468</v>
      </c>
      <c r="BI170" s="62">
        <f ca="1">AVERAGE(OFFSET($BH$3,0,0,'Données projet'!$E$11+1,1))-AVERAGE(OFFSET($H$3,0,0,'Données projet'!$E$11+1,1))</f>
        <v>0</v>
      </c>
      <c r="BJ170" s="62">
        <f t="shared" si="146"/>
        <v>0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3.8899157476370204E-2</v>
      </c>
      <c r="BR170" s="23">
        <f>EXP(-LN(2)/2)*BR169+(1-EXP(-LN(2)/2))/(LN(2)/2)*BL170*BO170*VLOOKUP('Données projet'!$B$11,Paramètres!$A$1:$I$89,3,0)*0.475*44/12</f>
        <v>8.1391444503170536E-21</v>
      </c>
      <c r="BS170" s="24">
        <f t="shared" si="169"/>
        <v>3.8899157476370204E-2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439.06700232017681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0.19897850417365934</v>
      </c>
      <c r="AB171" s="23">
        <f>EXP(-LN(2)/2)*AB170+(1-EXP(-LN(2)/2))/(LN(2)/2)*V171*Y171*VLOOKUP('Données projet'!$B$9,Paramètres!$A$1:$I$89,3,0)*0.475*44/12</f>
        <v>2.5258140720154222E-20</v>
      </c>
      <c r="AC171" s="24">
        <f t="shared" si="163"/>
        <v>0.19897850417365934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1.4897523215040567E-13</v>
      </c>
      <c r="AK171" s="14">
        <f t="shared" si="164"/>
        <v>2.136562777003313E-12</v>
      </c>
      <c r="AL171" s="22">
        <f t="shared" si="165"/>
        <v>3.9806453659427267E-12</v>
      </c>
      <c r="AM171" s="62">
        <f t="shared" si="113"/>
        <v>293.33333333333729</v>
      </c>
      <c r="AN171" s="62">
        <f ca="1">AVERAGE(OFFSET($AM$3,0,0,'Données projet'!$E$10+1,1))-AVERAGE(OFFSET($H$3,0,0,'Données projet'!$E$10+1,1))</f>
        <v>239.16843440041487</v>
      </c>
      <c r="AO171" s="62">
        <f t="shared" si="144"/>
        <v>241.82319822554194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3.3038609290283272E-20</v>
      </c>
      <c r="AX171" s="23">
        <f t="shared" si="166"/>
        <v>3.3038609290283272E-20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4.4337866711430253E-14</v>
      </c>
      <c r="BF171" s="14">
        <f t="shared" si="167"/>
        <v>7.3222115536967035E-13</v>
      </c>
      <c r="BG171" s="22">
        <f t="shared" si="168"/>
        <v>1.3525069634579169E-12</v>
      </c>
      <c r="BH171" s="62">
        <f t="shared" si="116"/>
        <v>293.33333333333468</v>
      </c>
      <c r="BI171" s="62">
        <f ca="1">AVERAGE(OFFSET($BH$3,0,0,'Données projet'!$E$11+1,1))-AVERAGE(OFFSET($H$3,0,0,'Données projet'!$E$11+1,1))</f>
        <v>0</v>
      </c>
      <c r="BJ171" s="62">
        <f t="shared" si="146"/>
        <v>0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3.7835457969561073E-2</v>
      </c>
      <c r="BR171" s="23">
        <f>EXP(-LN(2)/2)*BR170+(1-EXP(-LN(2)/2))/(LN(2)/2)*BL171*BO171*VLOOKUP('Données projet'!$B$11,Paramètres!$A$1:$I$89,3,0)*0.475*44/12</f>
        <v>5.7552442338760436E-21</v>
      </c>
      <c r="BS171" s="24">
        <f t="shared" si="169"/>
        <v>3.7835457969561073E-2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439.06700232017681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0.19353742651320585</v>
      </c>
      <c r="AB172" s="23">
        <f>EXP(-LN(2)/2)*AB171+(1-EXP(-LN(2)/2))/(LN(2)/2)*V172*Y172*VLOOKUP('Données projet'!$B$9,Paramètres!$A$1:$I$89,3,0)*0.475*44/12</f>
        <v>1.7860202583385117E-20</v>
      </c>
      <c r="AC172" s="24">
        <f t="shared" si="163"/>
        <v>0.19353742651320585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1.4897523215040567E-13</v>
      </c>
      <c r="AK172" s="14">
        <f t="shared" si="164"/>
        <v>2.136562777003313E-12</v>
      </c>
      <c r="AL172" s="22">
        <f t="shared" si="165"/>
        <v>3.9806453659427267E-12</v>
      </c>
      <c r="AM172" s="62">
        <f t="shared" si="113"/>
        <v>293.33333333333729</v>
      </c>
      <c r="AN172" s="62">
        <f ca="1">AVERAGE(OFFSET($AM$3,0,0,'Données projet'!$E$10+1,1))-AVERAGE(OFFSET($H$3,0,0,'Données projet'!$E$10+1,1))</f>
        <v>239.16843440041487</v>
      </c>
      <c r="AO172" s="62">
        <f t="shared" si="144"/>
        <v>241.82319822554194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2.336182467013217E-20</v>
      </c>
      <c r="AX172" s="23">
        <f t="shared" si="166"/>
        <v>2.336182467013217E-20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4.4337866711430253E-14</v>
      </c>
      <c r="BF172" s="14">
        <f t="shared" si="167"/>
        <v>7.3222115536967035E-13</v>
      </c>
      <c r="BG172" s="22">
        <f t="shared" si="168"/>
        <v>1.3525069634579169E-12</v>
      </c>
      <c r="BH172" s="62">
        <f t="shared" si="116"/>
        <v>293.33333333333468</v>
      </c>
      <c r="BI172" s="62">
        <f ca="1">AVERAGE(OFFSET($BH$3,0,0,'Données projet'!$E$11+1,1))-AVERAGE(OFFSET($H$3,0,0,'Données projet'!$E$11+1,1))</f>
        <v>0</v>
      </c>
      <c r="BJ172" s="62">
        <f t="shared" si="146"/>
        <v>0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3.6800845381703168E-2</v>
      </c>
      <c r="BR172" s="23">
        <f>EXP(-LN(2)/2)*BR171+(1-EXP(-LN(2)/2))/(LN(2)/2)*BL172*BO172*VLOOKUP('Données projet'!$B$11,Paramètres!$A$1:$I$89,3,0)*0.475*44/12</f>
        <v>4.0695722251585268E-21</v>
      </c>
      <c r="BS172" s="24">
        <f t="shared" si="169"/>
        <v>3.6800845381703168E-2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439.06700232017681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0.18824513540751131</v>
      </c>
      <c r="AB173" s="23">
        <f>EXP(-LN(2)/2)*AB172+(1-EXP(-LN(2)/2))/(LN(2)/2)*V173*Y173*VLOOKUP('Données projet'!$B$9,Paramètres!$A$1:$I$89,3,0)*0.475*44/12</f>
        <v>1.2629070360077111E-20</v>
      </c>
      <c r="AC173" s="24">
        <f t="shared" si="163"/>
        <v>0.18824513540751131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1.4897523215040567E-13</v>
      </c>
      <c r="AK173" s="14">
        <f t="shared" si="164"/>
        <v>2.136562777003313E-12</v>
      </c>
      <c r="AL173" s="22">
        <f t="shared" si="165"/>
        <v>3.9806453659427267E-12</v>
      </c>
      <c r="AM173" s="62">
        <f t="shared" si="113"/>
        <v>293.33333333333729</v>
      </c>
      <c r="AN173" s="62">
        <f ca="1">AVERAGE(OFFSET($AM$3,0,0,'Données projet'!$E$10+1,1))-AVERAGE(OFFSET($H$3,0,0,'Données projet'!$E$10+1,1))</f>
        <v>239.16843440041487</v>
      </c>
      <c r="AO173" s="62">
        <f t="shared" si="144"/>
        <v>241.82319822554194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1.6519304645141636E-20</v>
      </c>
      <c r="AX173" s="23">
        <f t="shared" si="166"/>
        <v>1.6519304645141636E-20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4.4337866711430253E-14</v>
      </c>
      <c r="BF173" s="14">
        <f t="shared" si="167"/>
        <v>7.3222115536967035E-13</v>
      </c>
      <c r="BG173" s="22">
        <f t="shared" si="168"/>
        <v>1.3525069634579169E-12</v>
      </c>
      <c r="BH173" s="62">
        <f t="shared" si="116"/>
        <v>293.33333333333468</v>
      </c>
      <c r="BI173" s="62">
        <f ca="1">AVERAGE(OFFSET($BH$3,0,0,'Données projet'!$E$11+1,1))-AVERAGE(OFFSET($H$3,0,0,'Données projet'!$E$11+1,1))</f>
        <v>0</v>
      </c>
      <c r="BJ173" s="62">
        <f t="shared" si="146"/>
        <v>0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3.5794524329468148E-2</v>
      </c>
      <c r="BR173" s="23">
        <f>EXP(-LN(2)/2)*BR172+(1-EXP(-LN(2)/2))/(LN(2)/2)*BL173*BO173*VLOOKUP('Données projet'!$B$11,Paramètres!$A$1:$I$89,3,0)*0.475*44/12</f>
        <v>2.8776221169380218E-21</v>
      </c>
      <c r="BS173" s="24">
        <f t="shared" si="169"/>
        <v>3.5794524329468148E-2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439.06700232017681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0.18309756228041149</v>
      </c>
      <c r="AB174" s="23">
        <f>EXP(-LN(2)/2)*AB173+(1-EXP(-LN(2)/2))/(LN(2)/2)*V174*Y174*VLOOKUP('Données projet'!$B$9,Paramètres!$A$1:$I$89,3,0)*0.475*44/12</f>
        <v>8.9301012916925585E-21</v>
      </c>
      <c r="AC174" s="24">
        <f t="shared" si="163"/>
        <v>0.18309756228041149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1.4897523215040567E-13</v>
      </c>
      <c r="AK174" s="14">
        <f t="shared" si="164"/>
        <v>2.136562777003313E-12</v>
      </c>
      <c r="AL174" s="22">
        <f t="shared" si="165"/>
        <v>3.9806453659427267E-12</v>
      </c>
      <c r="AM174" s="62">
        <f t="shared" si="113"/>
        <v>293.33333333333729</v>
      </c>
      <c r="AN174" s="62">
        <f ca="1">AVERAGE(OFFSET($AM$3,0,0,'Données projet'!$E$10+1,1))-AVERAGE(OFFSET($H$3,0,0,'Données projet'!$E$10+1,1))</f>
        <v>239.16843440041487</v>
      </c>
      <c r="AO174" s="62">
        <f t="shared" si="144"/>
        <v>241.82319822554194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1.1680912335066085E-20</v>
      </c>
      <c r="AX174" s="23">
        <f t="shared" si="166"/>
        <v>1.1680912335066085E-20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4.4337866711430253E-14</v>
      </c>
      <c r="BF174" s="14">
        <f t="shared" si="167"/>
        <v>7.3222115536967035E-13</v>
      </c>
      <c r="BG174" s="22">
        <f t="shared" si="168"/>
        <v>1.3525069634579169E-12</v>
      </c>
      <c r="BH174" s="62">
        <f t="shared" si="116"/>
        <v>293.33333333333468</v>
      </c>
      <c r="BI174" s="62">
        <f ca="1">AVERAGE(OFFSET($BH$3,0,0,'Données projet'!$E$11+1,1))-AVERAGE(OFFSET($H$3,0,0,'Données projet'!$E$11+1,1))</f>
        <v>0</v>
      </c>
      <c r="BJ174" s="62">
        <f t="shared" si="146"/>
        <v>0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3.4815721179326617E-2</v>
      </c>
      <c r="BR174" s="23">
        <f>EXP(-LN(2)/2)*BR173+(1-EXP(-LN(2)/2))/(LN(2)/2)*BL174*BO174*VLOOKUP('Données projet'!$B$11,Paramètres!$A$1:$I$89,3,0)*0.475*44/12</f>
        <v>2.0347861125792634E-21</v>
      </c>
      <c r="BS174" s="24">
        <f t="shared" si="169"/>
        <v>3.4815721179326617E-2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439.06700232017681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0.17809074981117132</v>
      </c>
      <c r="AB175" s="23">
        <f>EXP(-LN(2)/2)*AB174+(1-EXP(-LN(2)/2))/(LN(2)/2)*V175*Y175*VLOOKUP('Données projet'!$B$9,Paramètres!$A$1:$I$89,3,0)*0.475*44/12</f>
        <v>6.3145351800385555E-21</v>
      </c>
      <c r="AC175" s="24">
        <f t="shared" si="163"/>
        <v>0.17809074981117132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1.4897523215040567E-13</v>
      </c>
      <c r="AK175" s="14">
        <f t="shared" si="164"/>
        <v>2.136562777003313E-12</v>
      </c>
      <c r="AL175" s="22">
        <f t="shared" si="165"/>
        <v>3.9806453659427267E-12</v>
      </c>
      <c r="AM175" s="62">
        <f t="shared" si="113"/>
        <v>293.33333333333729</v>
      </c>
      <c r="AN175" s="62">
        <f ca="1">AVERAGE(OFFSET($AM$3,0,0,'Données projet'!$E$10+1,1))-AVERAGE(OFFSET($H$3,0,0,'Données projet'!$E$10+1,1))</f>
        <v>239.16843440041487</v>
      </c>
      <c r="AO175" s="62">
        <f t="shared" si="144"/>
        <v>241.82319822554194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8.2596523225708181E-21</v>
      </c>
      <c r="AX175" s="23">
        <f t="shared" si="166"/>
        <v>8.2596523225708181E-21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4.4337866711430253E-14</v>
      </c>
      <c r="BF175" s="14">
        <f t="shared" si="167"/>
        <v>7.3222115536967035E-13</v>
      </c>
      <c r="BG175" s="22">
        <f t="shared" si="168"/>
        <v>1.3525069634579169E-12</v>
      </c>
      <c r="BH175" s="62">
        <f t="shared" si="116"/>
        <v>293.33333333333468</v>
      </c>
      <c r="BI175" s="62">
        <f ca="1">AVERAGE(OFFSET($BH$3,0,0,'Données projet'!$E$11+1,1))-AVERAGE(OFFSET($H$3,0,0,'Données projet'!$E$11+1,1))</f>
        <v>0</v>
      </c>
      <c r="BJ175" s="62">
        <f t="shared" si="146"/>
        <v>0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3.3863683452798728E-2</v>
      </c>
      <c r="BR175" s="23">
        <f>EXP(-LN(2)/2)*BR174+(1-EXP(-LN(2)/2))/(LN(2)/2)*BL175*BO175*VLOOKUP('Données projet'!$B$11,Paramètres!$A$1:$I$89,3,0)*0.475*44/12</f>
        <v>1.4388110584690109E-21</v>
      </c>
      <c r="BS175" s="24">
        <f t="shared" si="169"/>
        <v>3.3863683452798728E-2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439.06700232017681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0.17322084889219933</v>
      </c>
      <c r="AB176" s="23">
        <f>EXP(-LN(2)/2)*AB175+(1-EXP(-LN(2)/2))/(LN(2)/2)*V176*Y176*VLOOKUP('Données projet'!$B$9,Paramètres!$A$1:$I$89,3,0)*0.475*44/12</f>
        <v>4.4650506458462793E-21</v>
      </c>
      <c r="AC176" s="24">
        <f t="shared" si="163"/>
        <v>0.17322084889219933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1.4897523215040567E-13</v>
      </c>
      <c r="AK176" s="14">
        <f t="shared" si="164"/>
        <v>2.136562777003313E-12</v>
      </c>
      <c r="AL176" s="22">
        <f t="shared" si="165"/>
        <v>3.9806453659427267E-12</v>
      </c>
      <c r="AM176" s="62">
        <f t="shared" si="113"/>
        <v>293.33333333333729</v>
      </c>
      <c r="AN176" s="62">
        <f ca="1">AVERAGE(OFFSET($AM$3,0,0,'Données projet'!$E$10+1,1))-AVERAGE(OFFSET($H$3,0,0,'Données projet'!$E$10+1,1))</f>
        <v>239.16843440041487</v>
      </c>
      <c r="AO176" s="62">
        <f t="shared" si="144"/>
        <v>241.82319822554194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5.8404561675330426E-21</v>
      </c>
      <c r="AX176" s="23">
        <f t="shared" si="166"/>
        <v>5.8404561675330426E-21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4.4337866711430253E-14</v>
      </c>
      <c r="BF176" s="14">
        <f t="shared" si="167"/>
        <v>7.3222115536967035E-13</v>
      </c>
      <c r="BG176" s="22">
        <f t="shared" si="168"/>
        <v>1.3525069634579169E-12</v>
      </c>
      <c r="BH176" s="62">
        <f t="shared" si="116"/>
        <v>293.33333333333468</v>
      </c>
      <c r="BI176" s="62">
        <f ca="1">AVERAGE(OFFSET($BH$3,0,0,'Données projet'!$E$11+1,1))-AVERAGE(OFFSET($H$3,0,0,'Données projet'!$E$11+1,1))</f>
        <v>0</v>
      </c>
      <c r="BJ176" s="62">
        <f t="shared" si="146"/>
        <v>0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3.2937679247968227E-2</v>
      </c>
      <c r="BR176" s="23">
        <f>EXP(-LN(2)/2)*BR175+(1-EXP(-LN(2)/2))/(LN(2)/2)*BL176*BO176*VLOOKUP('Données projet'!$B$11,Paramètres!$A$1:$I$89,3,0)*0.475*44/12</f>
        <v>1.0173930562896317E-21</v>
      </c>
      <c r="BS176" s="24">
        <f t="shared" si="169"/>
        <v>3.2937679247968227E-2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439.06700232017681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0.16848411566995358</v>
      </c>
      <c r="AB177" s="23">
        <f>EXP(-LN(2)/2)*AB176+(1-EXP(-LN(2)/2))/(LN(2)/2)*V177*Y177*VLOOKUP('Données projet'!$B$9,Paramètres!$A$1:$I$89,3,0)*0.475*44/12</f>
        <v>3.1572675900192777E-21</v>
      </c>
      <c r="AC177" s="24">
        <f t="shared" si="163"/>
        <v>0.16848411566995358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1.4897523215040567E-13</v>
      </c>
      <c r="AK177" s="14">
        <f t="shared" si="164"/>
        <v>2.136562777003313E-12</v>
      </c>
      <c r="AL177" s="22">
        <f t="shared" si="165"/>
        <v>3.9806453659427267E-12</v>
      </c>
      <c r="AM177" s="62">
        <f t="shared" si="113"/>
        <v>293.33333333333729</v>
      </c>
      <c r="AN177" s="62">
        <f ca="1">AVERAGE(OFFSET($AM$3,0,0,'Données projet'!$E$10+1,1))-AVERAGE(OFFSET($H$3,0,0,'Données projet'!$E$10+1,1))</f>
        <v>239.16843440041487</v>
      </c>
      <c r="AO177" s="62">
        <f t="shared" si="144"/>
        <v>241.82319822554194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4.129826161285409E-21</v>
      </c>
      <c r="AX177" s="23">
        <f t="shared" si="166"/>
        <v>4.129826161285409E-21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4.4337866711430253E-14</v>
      </c>
      <c r="BF177" s="14">
        <f t="shared" si="167"/>
        <v>7.3222115536967035E-13</v>
      </c>
      <c r="BG177" s="22">
        <f t="shared" si="168"/>
        <v>1.3525069634579169E-12</v>
      </c>
      <c r="BH177" s="62">
        <f t="shared" si="116"/>
        <v>293.33333333333468</v>
      </c>
      <c r="BI177" s="62">
        <f ca="1">AVERAGE(OFFSET($BH$3,0,0,'Données projet'!$E$11+1,1))-AVERAGE(OFFSET($H$3,0,0,'Données projet'!$E$11+1,1))</f>
        <v>0</v>
      </c>
      <c r="BJ177" s="62">
        <f t="shared" si="146"/>
        <v>0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3.2036996676815262E-2</v>
      </c>
      <c r="BR177" s="23">
        <f>EXP(-LN(2)/2)*BR176+(1-EXP(-LN(2)/2))/(LN(2)/2)*BL177*BO177*VLOOKUP('Données projet'!$B$11,Paramètres!$A$1:$I$89,3,0)*0.475*44/12</f>
        <v>7.1940552923450544E-22</v>
      </c>
      <c r="BS177" s="24">
        <f t="shared" si="169"/>
        <v>3.2036996676815262E-2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439.06700232017681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0.16387690866676413</v>
      </c>
      <c r="AB178" s="23">
        <f>EXP(-LN(2)/2)*AB177+(1-EXP(-LN(2)/2))/(LN(2)/2)*V178*Y178*VLOOKUP('Données projet'!$B$9,Paramètres!$A$1:$I$89,3,0)*0.475*44/12</f>
        <v>2.2325253229231396E-21</v>
      </c>
      <c r="AC178" s="24">
        <f t="shared" si="163"/>
        <v>0.16387690866676413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1.4897523215040567E-13</v>
      </c>
      <c r="AK178" s="14">
        <f t="shared" si="164"/>
        <v>2.136562777003313E-12</v>
      </c>
      <c r="AL178" s="22">
        <f t="shared" si="165"/>
        <v>3.9806453659427267E-12</v>
      </c>
      <c r="AM178" s="62">
        <f t="shared" si="113"/>
        <v>293.33333333333729</v>
      </c>
      <c r="AN178" s="62">
        <f ca="1">AVERAGE(OFFSET($AM$3,0,0,'Données projet'!$E$10+1,1))-AVERAGE(OFFSET($H$3,0,0,'Données projet'!$E$10+1,1))</f>
        <v>239.16843440041487</v>
      </c>
      <c r="AO178" s="62">
        <f t="shared" si="144"/>
        <v>241.82319822554194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2.9202280837665213E-21</v>
      </c>
      <c r="AX178" s="23">
        <f t="shared" si="166"/>
        <v>2.9202280837665213E-21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4.4337866711430253E-14</v>
      </c>
      <c r="BF178" s="14">
        <f t="shared" si="167"/>
        <v>7.3222115536967035E-13</v>
      </c>
      <c r="BG178" s="22">
        <f t="shared" si="168"/>
        <v>1.3525069634579169E-12</v>
      </c>
      <c r="BH178" s="62">
        <f t="shared" si="116"/>
        <v>293.33333333333468</v>
      </c>
      <c r="BI178" s="62">
        <f ca="1">AVERAGE(OFFSET($BH$3,0,0,'Données projet'!$E$11+1,1))-AVERAGE(OFFSET($H$3,0,0,'Données projet'!$E$11+1,1))</f>
        <v>0</v>
      </c>
      <c r="BJ178" s="62">
        <f t="shared" si="146"/>
        <v>0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3.1160943317935313E-2</v>
      </c>
      <c r="BR178" s="23">
        <f>EXP(-LN(2)/2)*BR177+(1-EXP(-LN(2)/2))/(LN(2)/2)*BL178*BO178*VLOOKUP('Données projet'!$B$11,Paramètres!$A$1:$I$89,3,0)*0.475*44/12</f>
        <v>5.0869652814481585E-22</v>
      </c>
      <c r="BS178" s="24">
        <f t="shared" si="169"/>
        <v>3.1160943317935313E-2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439.06700232017681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0.15939568598135939</v>
      </c>
      <c r="AB179" s="23">
        <f>EXP(-LN(2)/2)*AB178+(1-EXP(-LN(2)/2))/(LN(2)/2)*V179*Y179*VLOOKUP('Données projet'!$B$9,Paramètres!$A$1:$I$89,3,0)*0.475*44/12</f>
        <v>1.5786337950096389E-21</v>
      </c>
      <c r="AC179" s="24">
        <f t="shared" si="163"/>
        <v>0.15939568598135939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1.4897523215040567E-13</v>
      </c>
      <c r="AK179" s="14">
        <f t="shared" si="164"/>
        <v>2.136562777003313E-12</v>
      </c>
      <c r="AL179" s="22">
        <f t="shared" si="165"/>
        <v>3.9806453659427267E-12</v>
      </c>
      <c r="AM179" s="62">
        <f t="shared" si="113"/>
        <v>293.33333333333729</v>
      </c>
      <c r="AN179" s="62">
        <f ca="1">AVERAGE(OFFSET($AM$3,0,0,'Données projet'!$E$10+1,1))-AVERAGE(OFFSET($H$3,0,0,'Données projet'!$E$10+1,1))</f>
        <v>239.16843440041487</v>
      </c>
      <c r="AO179" s="62">
        <f t="shared" si="144"/>
        <v>241.82319822554194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2.0649130806427045E-21</v>
      </c>
      <c r="AX179" s="23">
        <f t="shared" si="166"/>
        <v>2.0649130806427045E-21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4.4337866711430253E-14</v>
      </c>
      <c r="BF179" s="14">
        <f t="shared" si="167"/>
        <v>7.3222115536967035E-13</v>
      </c>
      <c r="BG179" s="22">
        <f t="shared" si="168"/>
        <v>1.3525069634579169E-12</v>
      </c>
      <c r="BH179" s="62">
        <f t="shared" si="116"/>
        <v>293.33333333333468</v>
      </c>
      <c r="BI179" s="62">
        <f ca="1">AVERAGE(OFFSET($BH$3,0,0,'Données projet'!$E$11+1,1))-AVERAGE(OFFSET($H$3,0,0,'Données projet'!$E$11+1,1))</f>
        <v>0</v>
      </c>
      <c r="BJ179" s="62">
        <f t="shared" si="146"/>
        <v>0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3.0308845684223581E-2</v>
      </c>
      <c r="BR179" s="23">
        <f>EXP(-LN(2)/2)*BR178+(1-EXP(-LN(2)/2))/(LN(2)/2)*BL179*BO179*VLOOKUP('Données projet'!$B$11,Paramètres!$A$1:$I$89,3,0)*0.475*44/12</f>
        <v>3.5970276461725272E-22</v>
      </c>
      <c r="BS179" s="24">
        <f t="shared" si="169"/>
        <v>3.0308845684223581E-2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439.06700232017681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0.1550370025659443</v>
      </c>
      <c r="AB180" s="23">
        <f>EXP(-LN(2)/2)*AB179+(1-EXP(-LN(2)/2))/(LN(2)/2)*V180*Y180*VLOOKUP('Données projet'!$B$9,Paramètres!$A$1:$I$89,3,0)*0.475*44/12</f>
        <v>1.1162626614615698E-21</v>
      </c>
      <c r="AC180" s="24">
        <f t="shared" si="163"/>
        <v>0.1550370025659443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1.4897523215040567E-13</v>
      </c>
      <c r="AK180" s="14">
        <f t="shared" si="164"/>
        <v>2.136562777003313E-12</v>
      </c>
      <c r="AL180" s="22">
        <f t="shared" si="165"/>
        <v>3.9806453659427267E-12</v>
      </c>
      <c r="AM180" s="62">
        <f t="shared" si="113"/>
        <v>293.33333333333729</v>
      </c>
      <c r="AN180" s="62">
        <f ca="1">AVERAGE(OFFSET($AM$3,0,0,'Données projet'!$E$10+1,1))-AVERAGE(OFFSET($H$3,0,0,'Données projet'!$E$10+1,1))</f>
        <v>239.16843440041487</v>
      </c>
      <c r="AO180" s="62">
        <f t="shared" si="144"/>
        <v>241.82319822554194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1.4601140418832606E-21</v>
      </c>
      <c r="AX180" s="23">
        <f t="shared" si="166"/>
        <v>1.4601140418832606E-21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4.4337866711430253E-14</v>
      </c>
      <c r="BF180" s="14">
        <f t="shared" si="167"/>
        <v>7.3222115536967035E-13</v>
      </c>
      <c r="BG180" s="22">
        <f t="shared" si="168"/>
        <v>1.3525069634579169E-12</v>
      </c>
      <c r="BH180" s="62">
        <f t="shared" si="116"/>
        <v>293.33333333333468</v>
      </c>
      <c r="BI180" s="62">
        <f ca="1">AVERAGE(OFFSET($BH$3,0,0,'Données projet'!$E$11+1,1))-AVERAGE(OFFSET($H$3,0,0,'Données projet'!$E$11+1,1))</f>
        <v>0</v>
      </c>
      <c r="BJ180" s="62">
        <f t="shared" si="146"/>
        <v>0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2.9480048705115565E-2</v>
      </c>
      <c r="BR180" s="23">
        <f>EXP(-LN(2)/2)*BR179+(1-EXP(-LN(2)/2))/(LN(2)/2)*BL180*BO180*VLOOKUP('Données projet'!$B$11,Paramètres!$A$1:$I$89,3,0)*0.475*44/12</f>
        <v>2.5434826407240793E-22</v>
      </c>
      <c r="BS180" s="24">
        <f t="shared" si="169"/>
        <v>2.9480048705115565E-2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439.06700232017681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0.15079750757773694</v>
      </c>
      <c r="AB181" s="23">
        <f>EXP(-LN(2)/2)*AB180+(1-EXP(-LN(2)/2))/(LN(2)/2)*V181*Y181*VLOOKUP('Données projet'!$B$9,Paramètres!$A$1:$I$89,3,0)*0.475*44/12</f>
        <v>7.8931689750481943E-22</v>
      </c>
      <c r="AC181" s="24">
        <f t="shared" si="163"/>
        <v>0.15079750757773694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1.4897523215040567E-13</v>
      </c>
      <c r="AK181" s="14">
        <f t="shared" si="164"/>
        <v>2.136562777003313E-12</v>
      </c>
      <c r="AL181" s="22">
        <f t="shared" si="165"/>
        <v>3.9806453659427267E-12</v>
      </c>
      <c r="AM181" s="62">
        <f t="shared" si="113"/>
        <v>293.33333333333729</v>
      </c>
      <c r="AN181" s="62">
        <f ca="1">AVERAGE(OFFSET($AM$3,0,0,'Données projet'!$E$10+1,1))-AVERAGE(OFFSET($H$3,0,0,'Données projet'!$E$10+1,1))</f>
        <v>239.16843440041487</v>
      </c>
      <c r="AO181" s="62">
        <f t="shared" si="144"/>
        <v>241.82319822554194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1.0324565403213523E-21</v>
      </c>
      <c r="AX181" s="23">
        <f t="shared" si="166"/>
        <v>1.0324565403213523E-21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4.4337866711430253E-14</v>
      </c>
      <c r="BF181" s="14">
        <f t="shared" si="167"/>
        <v>7.3222115536967035E-13</v>
      </c>
      <c r="BG181" s="22">
        <f t="shared" si="168"/>
        <v>1.3525069634579169E-12</v>
      </c>
      <c r="BH181" s="62">
        <f t="shared" si="116"/>
        <v>293.33333333333468</v>
      </c>
      <c r="BI181" s="62">
        <f ca="1">AVERAGE(OFFSET($BH$3,0,0,'Données projet'!$E$11+1,1))-AVERAGE(OFFSET($H$3,0,0,'Données projet'!$E$11+1,1))</f>
        <v>0</v>
      </c>
      <c r="BJ181" s="62">
        <f t="shared" si="146"/>
        <v>0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2.8673915222985794E-2</v>
      </c>
      <c r="BR181" s="23">
        <f>EXP(-LN(2)/2)*BR180+(1-EXP(-LN(2)/2))/(LN(2)/2)*BL181*BO181*VLOOKUP('Données projet'!$B$11,Paramètres!$A$1:$I$89,3,0)*0.475*44/12</f>
        <v>1.7985138230862636E-22</v>
      </c>
      <c r="BS181" s="24">
        <f t="shared" si="169"/>
        <v>2.8673915222985794E-2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439.06700232017681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0.14667394180292745</v>
      </c>
      <c r="AB182" s="23">
        <f>EXP(-LN(2)/2)*AB181+(1-EXP(-LN(2)/2))/(LN(2)/2)*V182*Y182*VLOOKUP('Données projet'!$B$9,Paramètres!$A$1:$I$89,3,0)*0.475*44/12</f>
        <v>5.5813133073078491E-22</v>
      </c>
      <c r="AC182" s="24">
        <f t="shared" si="163"/>
        <v>0.14667394180292745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1.4897523215040567E-13</v>
      </c>
      <c r="AK182" s="14">
        <f t="shared" si="164"/>
        <v>2.136562777003313E-12</v>
      </c>
      <c r="AL182" s="22">
        <f t="shared" si="165"/>
        <v>3.9806453659427267E-12</v>
      </c>
      <c r="AM182" s="62">
        <f t="shared" si="113"/>
        <v>293.33333333333729</v>
      </c>
      <c r="AN182" s="62">
        <f ca="1">AVERAGE(OFFSET($AM$3,0,0,'Données projet'!$E$10+1,1))-AVERAGE(OFFSET($H$3,0,0,'Données projet'!$E$10+1,1))</f>
        <v>239.16843440041487</v>
      </c>
      <c r="AO182" s="62">
        <f t="shared" si="144"/>
        <v>241.82319822554194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7.3005702094163032E-22</v>
      </c>
      <c r="AX182" s="23">
        <f t="shared" si="166"/>
        <v>7.3005702094163032E-22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4.4337866711430253E-14</v>
      </c>
      <c r="BF182" s="14">
        <f t="shared" si="167"/>
        <v>7.3222115536967035E-13</v>
      </c>
      <c r="BG182" s="22">
        <f t="shared" si="168"/>
        <v>1.3525069634579169E-12</v>
      </c>
      <c r="BH182" s="62">
        <f t="shared" si="116"/>
        <v>293.33333333333468</v>
      </c>
      <c r="BI182" s="62">
        <f ca="1">AVERAGE(OFFSET($BH$3,0,0,'Données projet'!$E$11+1,1))-AVERAGE(OFFSET($H$3,0,0,'Données projet'!$E$11+1,1))</f>
        <v>0</v>
      </c>
      <c r="BJ182" s="62">
        <f t="shared" si="146"/>
        <v>0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2.7889825503317582E-2</v>
      </c>
      <c r="BR182" s="23">
        <f>EXP(-LN(2)/2)*BR181+(1-EXP(-LN(2)/2))/(LN(2)/2)*BL182*BO182*VLOOKUP('Données projet'!$B$11,Paramètres!$A$1:$I$89,3,0)*0.475*44/12</f>
        <v>1.2717413203620396E-22</v>
      </c>
      <c r="BS182" s="24">
        <f t="shared" si="169"/>
        <v>2.7889825503317582E-2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439.06700232017681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0.14266313515107903</v>
      </c>
      <c r="AB183" s="23">
        <f>EXP(-LN(2)/2)*AB182+(1-EXP(-LN(2)/2))/(LN(2)/2)*V183*Y183*VLOOKUP('Données projet'!$B$9,Paramètres!$A$1:$I$89,3,0)*0.475*44/12</f>
        <v>3.9465844875240972E-22</v>
      </c>
      <c r="AC183" s="24">
        <f t="shared" si="163"/>
        <v>0.14266313515107903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1.4897523215040567E-13</v>
      </c>
      <c r="AK183" s="14">
        <f t="shared" si="164"/>
        <v>2.136562777003313E-12</v>
      </c>
      <c r="AL183" s="22">
        <f t="shared" si="165"/>
        <v>3.9806453659427267E-12</v>
      </c>
      <c r="AM183" s="62">
        <f t="shared" si="113"/>
        <v>293.33333333333729</v>
      </c>
      <c r="AN183" s="62">
        <f ca="1">AVERAGE(OFFSET($AM$3,0,0,'Données projet'!$E$10+1,1))-AVERAGE(OFFSET($H$3,0,0,'Données projet'!$E$10+1,1))</f>
        <v>239.16843440041487</v>
      </c>
      <c r="AO183" s="62">
        <f t="shared" si="144"/>
        <v>241.82319822554194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5.1622827016067613E-22</v>
      </c>
      <c r="AX183" s="23">
        <f t="shared" si="166"/>
        <v>5.1622827016067613E-22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4.4337866711430253E-14</v>
      </c>
      <c r="BF183" s="14">
        <f t="shared" si="167"/>
        <v>7.3222115536967035E-13</v>
      </c>
      <c r="BG183" s="22">
        <f t="shared" si="168"/>
        <v>1.3525069634579169E-12</v>
      </c>
      <c r="BH183" s="62">
        <f t="shared" si="116"/>
        <v>293.33333333333468</v>
      </c>
      <c r="BI183" s="62">
        <f ca="1">AVERAGE(OFFSET($BH$3,0,0,'Données projet'!$E$11+1,1))-AVERAGE(OFFSET($H$3,0,0,'Données projet'!$E$11+1,1))</f>
        <v>0</v>
      </c>
      <c r="BJ183" s="62">
        <f t="shared" si="146"/>
        <v>0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2.7127176758267181E-2</v>
      </c>
      <c r="BR183" s="23">
        <f>EXP(-LN(2)/2)*BR182+(1-EXP(-LN(2)/2))/(LN(2)/2)*BL183*BO183*VLOOKUP('Données projet'!$B$11,Paramètres!$A$1:$I$89,3,0)*0.475*44/12</f>
        <v>8.992569115431318E-23</v>
      </c>
      <c r="BS183" s="24">
        <f t="shared" si="169"/>
        <v>2.7127176758267181E-2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439.06700232017681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0.13876200421804455</v>
      </c>
      <c r="AB184" s="23">
        <f>EXP(-LN(2)/2)*AB183+(1-EXP(-LN(2)/2))/(LN(2)/2)*V184*Y184*VLOOKUP('Données projet'!$B$9,Paramètres!$A$1:$I$89,3,0)*0.475*44/12</f>
        <v>2.7906566536539245E-22</v>
      </c>
      <c r="AC184" s="24">
        <f t="shared" si="163"/>
        <v>0.13876200421804455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1.4897523215040567E-13</v>
      </c>
      <c r="AK184" s="14">
        <f t="shared" si="164"/>
        <v>2.136562777003313E-12</v>
      </c>
      <c r="AL184" s="22">
        <f t="shared" si="165"/>
        <v>3.9806453659427267E-12</v>
      </c>
      <c r="AM184" s="62">
        <f t="shared" si="113"/>
        <v>293.33333333333729</v>
      </c>
      <c r="AN184" s="62">
        <f ca="1">AVERAGE(OFFSET($AM$3,0,0,'Données projet'!$E$10+1,1))-AVERAGE(OFFSET($H$3,0,0,'Données projet'!$E$10+1,1))</f>
        <v>239.16843440041487</v>
      </c>
      <c r="AO184" s="62">
        <f t="shared" si="144"/>
        <v>241.82319822554194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3.6502851047081516E-22</v>
      </c>
      <c r="AX184" s="23">
        <f t="shared" si="166"/>
        <v>3.6502851047081516E-22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4.4337866711430253E-14</v>
      </c>
      <c r="BF184" s="14">
        <f t="shared" si="167"/>
        <v>7.3222115536967035E-13</v>
      </c>
      <c r="BG184" s="22">
        <f t="shared" si="168"/>
        <v>1.3525069634579169E-12</v>
      </c>
      <c r="BH184" s="62">
        <f t="shared" si="116"/>
        <v>293.33333333333468</v>
      </c>
      <c r="BI184" s="62">
        <f ca="1">AVERAGE(OFFSET($BH$3,0,0,'Données projet'!$E$11+1,1))-AVERAGE(OFFSET($H$3,0,0,'Données projet'!$E$11+1,1))</f>
        <v>0</v>
      </c>
      <c r="BJ184" s="62">
        <f t="shared" si="146"/>
        <v>0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2.6385382683256138E-2</v>
      </c>
      <c r="BR184" s="23">
        <f>EXP(-LN(2)/2)*BR183+(1-EXP(-LN(2)/2))/(LN(2)/2)*BL184*BO184*VLOOKUP('Données projet'!$B$11,Paramètres!$A$1:$I$89,3,0)*0.475*44/12</f>
        <v>6.3587066018101982E-23</v>
      </c>
      <c r="BS184" s="24">
        <f t="shared" si="169"/>
        <v>2.6385382683256138E-2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439.06700232017681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0.13496754991552545</v>
      </c>
      <c r="AB185" s="23">
        <f>EXP(-LN(2)/2)*AB184+(1-EXP(-LN(2)/2))/(LN(2)/2)*V185*Y185*VLOOKUP('Données projet'!$B$9,Paramètres!$A$1:$I$89,3,0)*0.475*44/12</f>
        <v>1.9732922437620486E-22</v>
      </c>
      <c r="AC185" s="24">
        <f t="shared" si="163"/>
        <v>0.13496754991552545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1.4897523215040567E-13</v>
      </c>
      <c r="AK185" s="14">
        <f t="shared" si="164"/>
        <v>2.136562777003313E-12</v>
      </c>
      <c r="AL185" s="22">
        <f t="shared" si="165"/>
        <v>3.9806453659427267E-12</v>
      </c>
      <c r="AM185" s="62">
        <f t="shared" si="113"/>
        <v>293.33333333333729</v>
      </c>
      <c r="AN185" s="62">
        <f ca="1">AVERAGE(OFFSET($AM$3,0,0,'Données projet'!$E$10+1,1))-AVERAGE(OFFSET($H$3,0,0,'Données projet'!$E$10+1,1))</f>
        <v>239.16843440041487</v>
      </c>
      <c r="AO185" s="62">
        <f t="shared" si="144"/>
        <v>241.82319822554194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2.5811413508033807E-22</v>
      </c>
      <c r="AX185" s="23">
        <f t="shared" si="166"/>
        <v>2.5811413508033807E-22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4.4337866711430253E-14</v>
      </c>
      <c r="BF185" s="14">
        <f t="shared" si="167"/>
        <v>7.3222115536967035E-13</v>
      </c>
      <c r="BG185" s="22">
        <f t="shared" si="168"/>
        <v>1.3525069634579169E-12</v>
      </c>
      <c r="BH185" s="62">
        <f t="shared" si="116"/>
        <v>293.33333333333468</v>
      </c>
      <c r="BI185" s="62">
        <f ca="1">AVERAGE(OFFSET($BH$3,0,0,'Données projet'!$E$11+1,1))-AVERAGE(OFFSET($H$3,0,0,'Données projet'!$E$11+1,1))</f>
        <v>0</v>
      </c>
      <c r="BJ185" s="62">
        <f t="shared" si="146"/>
        <v>0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2.566387300623553E-2</v>
      </c>
      <c r="BR185" s="23">
        <f>EXP(-LN(2)/2)*BR184+(1-EXP(-LN(2)/2))/(LN(2)/2)*BL185*BO185*VLOOKUP('Données projet'!$B$11,Paramètres!$A$1:$I$89,3,0)*0.475*44/12</f>
        <v>4.496284557715659E-23</v>
      </c>
      <c r="BS185" s="24">
        <f t="shared" si="169"/>
        <v>2.566387300623553E-2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439.06700232017681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0.13127685516545043</v>
      </c>
      <c r="AB186" s="23">
        <f>EXP(-LN(2)/2)*AB185+(1-EXP(-LN(2)/2))/(LN(2)/2)*V186*Y186*VLOOKUP('Données projet'!$B$9,Paramètres!$A$1:$I$89,3,0)*0.475*44/12</f>
        <v>1.3953283268269623E-22</v>
      </c>
      <c r="AC186" s="24">
        <f t="shared" si="163"/>
        <v>0.13127685516545043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1.4897523215040567E-13</v>
      </c>
      <c r="AK186" s="14">
        <f t="shared" si="164"/>
        <v>2.136562777003313E-12</v>
      </c>
      <c r="AL186" s="22">
        <f t="shared" si="165"/>
        <v>3.9806453659427267E-12</v>
      </c>
      <c r="AM186" s="62">
        <f t="shared" si="113"/>
        <v>293.33333333333729</v>
      </c>
      <c r="AN186" s="62">
        <f ca="1">AVERAGE(OFFSET($AM$3,0,0,'Données projet'!$E$10+1,1))-AVERAGE(OFFSET($H$3,0,0,'Données projet'!$E$10+1,1))</f>
        <v>239.16843440041487</v>
      </c>
      <c r="AO186" s="62">
        <f t="shared" si="144"/>
        <v>241.82319822554194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1.8251425523540758E-22</v>
      </c>
      <c r="AX186" s="23">
        <f t="shared" si="166"/>
        <v>1.8251425523540758E-22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4.4337866711430253E-14</v>
      </c>
      <c r="BF186" s="14">
        <f t="shared" si="167"/>
        <v>7.3222115536967035E-13</v>
      </c>
      <c r="BG186" s="22">
        <f t="shared" si="168"/>
        <v>1.3525069634579169E-12</v>
      </c>
      <c r="BH186" s="62">
        <f t="shared" si="116"/>
        <v>293.33333333333468</v>
      </c>
      <c r="BI186" s="62">
        <f ca="1">AVERAGE(OFFSET($BH$3,0,0,'Données projet'!$E$11+1,1))-AVERAGE(OFFSET($H$3,0,0,'Données projet'!$E$11+1,1))</f>
        <v>0</v>
      </c>
      <c r="BJ186" s="62">
        <f t="shared" si="146"/>
        <v>0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2.4962093049275592E-2</v>
      </c>
      <c r="BR186" s="23">
        <f>EXP(-LN(2)/2)*BR185+(1-EXP(-LN(2)/2))/(LN(2)/2)*BL186*BO186*VLOOKUP('Données projet'!$B$11,Paramètres!$A$1:$I$89,3,0)*0.475*44/12</f>
        <v>3.1793533009050991E-23</v>
      </c>
      <c r="BS186" s="24">
        <f t="shared" si="169"/>
        <v>2.4962093049275592E-2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439.06700232017681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0.12768708265740142</v>
      </c>
      <c r="AB187" s="23">
        <f>EXP(-LN(2)/2)*AB186+(1-EXP(-LN(2)/2))/(LN(2)/2)*V187*Y187*VLOOKUP('Données projet'!$B$9,Paramètres!$A$1:$I$89,3,0)*0.475*44/12</f>
        <v>9.8664612188102429E-23</v>
      </c>
      <c r="AC187" s="24">
        <f t="shared" si="163"/>
        <v>0.12768708265740142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1.4897523215040567E-13</v>
      </c>
      <c r="AK187" s="14">
        <f t="shared" si="164"/>
        <v>2.136562777003313E-12</v>
      </c>
      <c r="AL187" s="22">
        <f t="shared" si="165"/>
        <v>3.9806453659427267E-12</v>
      </c>
      <c r="AM187" s="62">
        <f t="shared" si="113"/>
        <v>293.33333333333729</v>
      </c>
      <c r="AN187" s="62">
        <f ca="1">AVERAGE(OFFSET($AM$3,0,0,'Données projet'!$E$10+1,1))-AVERAGE(OFFSET($H$3,0,0,'Données projet'!$E$10+1,1))</f>
        <v>239.16843440041487</v>
      </c>
      <c r="AO187" s="62">
        <f t="shared" si="144"/>
        <v>241.82319822554194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1.2905706754016903E-22</v>
      </c>
      <c r="AX187" s="23">
        <f t="shared" si="166"/>
        <v>1.2905706754016903E-22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4.4337866711430253E-14</v>
      </c>
      <c r="BF187" s="14">
        <f t="shared" si="167"/>
        <v>7.3222115536967035E-13</v>
      </c>
      <c r="BG187" s="22">
        <f t="shared" si="168"/>
        <v>1.3525069634579169E-12</v>
      </c>
      <c r="BH187" s="62">
        <f t="shared" si="116"/>
        <v>293.33333333333468</v>
      </c>
      <c r="BI187" s="62">
        <f ca="1">AVERAGE(OFFSET($BH$3,0,0,'Données projet'!$E$11+1,1))-AVERAGE(OFFSET($H$3,0,0,'Données projet'!$E$11+1,1))</f>
        <v>0</v>
      </c>
      <c r="BJ187" s="62">
        <f t="shared" si="146"/>
        <v>0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2.4279503302143728E-2</v>
      </c>
      <c r="BR187" s="23">
        <f>EXP(-LN(2)/2)*BR186+(1-EXP(-LN(2)/2))/(LN(2)/2)*BL187*BO187*VLOOKUP('Données projet'!$B$11,Paramètres!$A$1:$I$89,3,0)*0.475*44/12</f>
        <v>2.2481422788578295E-23</v>
      </c>
      <c r="BS187" s="24">
        <f t="shared" si="169"/>
        <v>2.4279503302143728E-2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439.06700232017681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0.12419547266736293</v>
      </c>
      <c r="AB188" s="23">
        <f>EXP(-LN(2)/2)*AB187+(1-EXP(-LN(2)/2))/(LN(2)/2)*V188*Y188*VLOOKUP('Données projet'!$B$9,Paramètres!$A$1:$I$89,3,0)*0.475*44/12</f>
        <v>6.9766416341348114E-23</v>
      </c>
      <c r="AC188" s="24">
        <f t="shared" si="163"/>
        <v>0.12419547266736293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1.4897523215040567E-13</v>
      </c>
      <c r="AK188" s="14">
        <f t="shared" si="164"/>
        <v>2.136562777003313E-12</v>
      </c>
      <c r="AL188" s="22">
        <f t="shared" si="165"/>
        <v>3.9806453659427267E-12</v>
      </c>
      <c r="AM188" s="62">
        <f t="shared" si="113"/>
        <v>293.33333333333729</v>
      </c>
      <c r="AN188" s="62">
        <f ca="1">AVERAGE(OFFSET($AM$3,0,0,'Données projet'!$E$10+1,1))-AVERAGE(OFFSET($H$3,0,0,'Données projet'!$E$10+1,1))</f>
        <v>239.16843440041487</v>
      </c>
      <c r="AO188" s="62">
        <f t="shared" si="144"/>
        <v>241.82319822554194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9.125712761770379E-23</v>
      </c>
      <c r="AX188" s="23">
        <f t="shared" si="166"/>
        <v>9.125712761770379E-23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4.4337866711430253E-14</v>
      </c>
      <c r="BF188" s="14">
        <f t="shared" si="167"/>
        <v>7.3222115536967035E-13</v>
      </c>
      <c r="BG188" s="22">
        <f t="shared" si="168"/>
        <v>1.3525069634579169E-12</v>
      </c>
      <c r="BH188" s="62">
        <f t="shared" si="116"/>
        <v>293.33333333333468</v>
      </c>
      <c r="BI188" s="62">
        <f ca="1">AVERAGE(OFFSET($BH$3,0,0,'Données projet'!$E$11+1,1))-AVERAGE(OFFSET($H$3,0,0,'Données projet'!$E$11+1,1))</f>
        <v>0</v>
      </c>
      <c r="BJ188" s="62">
        <f t="shared" si="146"/>
        <v>0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2.3615579007543019E-2</v>
      </c>
      <c r="BR188" s="23">
        <f>EXP(-LN(2)/2)*BR187+(1-EXP(-LN(2)/2))/(LN(2)/2)*BL188*BO188*VLOOKUP('Données projet'!$B$11,Paramètres!$A$1:$I$89,3,0)*0.475*44/12</f>
        <v>1.5896766504525495E-23</v>
      </c>
      <c r="BS188" s="24">
        <f t="shared" si="169"/>
        <v>2.3615579007543019E-2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439.06700232017681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0.12079934093611784</v>
      </c>
      <c r="AB189" s="23">
        <f>EXP(-LN(2)/2)*AB188+(1-EXP(-LN(2)/2))/(LN(2)/2)*V189*Y189*VLOOKUP('Données projet'!$B$9,Paramètres!$A$1:$I$89,3,0)*0.475*44/12</f>
        <v>4.9332306094051215E-23</v>
      </c>
      <c r="AC189" s="24">
        <f t="shared" si="163"/>
        <v>0.12079934093611784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1.4897523215040567E-13</v>
      </c>
      <c r="AK189" s="14">
        <f t="shared" si="164"/>
        <v>2.136562777003313E-12</v>
      </c>
      <c r="AL189" s="22">
        <f t="shared" si="165"/>
        <v>3.9806453659427267E-12</v>
      </c>
      <c r="AM189" s="62">
        <f t="shared" si="113"/>
        <v>293.33333333333729</v>
      </c>
      <c r="AN189" s="62">
        <f ca="1">AVERAGE(OFFSET($AM$3,0,0,'Données projet'!$E$10+1,1))-AVERAGE(OFFSET($H$3,0,0,'Données projet'!$E$10+1,1))</f>
        <v>239.16843440041487</v>
      </c>
      <c r="AO189" s="62">
        <f t="shared" si="144"/>
        <v>241.82319822554194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6.4528533770084516E-23</v>
      </c>
      <c r="AX189" s="23">
        <f t="shared" si="166"/>
        <v>6.4528533770084516E-23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4.4337866711430253E-14</v>
      </c>
      <c r="BF189" s="14">
        <f t="shared" si="167"/>
        <v>7.3222115536967035E-13</v>
      </c>
      <c r="BG189" s="22">
        <f t="shared" si="168"/>
        <v>1.3525069634579169E-12</v>
      </c>
      <c r="BH189" s="62">
        <f t="shared" si="116"/>
        <v>293.33333333333468</v>
      </c>
      <c r="BI189" s="62">
        <f ca="1">AVERAGE(OFFSET($BH$3,0,0,'Données projet'!$E$11+1,1))-AVERAGE(OFFSET($H$3,0,0,'Données projet'!$E$11+1,1))</f>
        <v>0</v>
      </c>
      <c r="BJ189" s="62">
        <f t="shared" si="146"/>
        <v>0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2.296980975769243E-2</v>
      </c>
      <c r="BR189" s="23">
        <f>EXP(-LN(2)/2)*BR188+(1-EXP(-LN(2)/2))/(LN(2)/2)*BL189*BO189*VLOOKUP('Données projet'!$B$11,Paramètres!$A$1:$I$89,3,0)*0.475*44/12</f>
        <v>1.1240711394289148E-23</v>
      </c>
      <c r="BS189" s="24">
        <f t="shared" si="169"/>
        <v>2.296980975769243E-2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439.06700232017681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0.11749607660565844</v>
      </c>
      <c r="AB190" s="23">
        <f>EXP(-LN(2)/2)*AB189+(1-EXP(-LN(2)/2))/(LN(2)/2)*V190*Y190*VLOOKUP('Données projet'!$B$9,Paramètres!$A$1:$I$89,3,0)*0.475*44/12</f>
        <v>3.4883208170674057E-23</v>
      </c>
      <c r="AC190" s="24">
        <f t="shared" si="163"/>
        <v>0.11749607660565844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1.4897523215040567E-13</v>
      </c>
      <c r="AK190" s="14">
        <f t="shared" si="164"/>
        <v>2.136562777003313E-12</v>
      </c>
      <c r="AL190" s="22">
        <f t="shared" si="165"/>
        <v>3.9806453659427267E-12</v>
      </c>
      <c r="AM190" s="62">
        <f t="shared" si="113"/>
        <v>293.33333333333729</v>
      </c>
      <c r="AN190" s="62">
        <f ca="1">AVERAGE(OFFSET($AM$3,0,0,'Données projet'!$E$10+1,1))-AVERAGE(OFFSET($H$3,0,0,'Données projet'!$E$10+1,1))</f>
        <v>239.16843440041487</v>
      </c>
      <c r="AO190" s="62">
        <f t="shared" si="144"/>
        <v>241.82319822554194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4.5628563808851895E-23</v>
      </c>
      <c r="AX190" s="23">
        <f t="shared" si="166"/>
        <v>4.5628563808851895E-23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4.4337866711430253E-14</v>
      </c>
      <c r="BF190" s="14">
        <f t="shared" si="167"/>
        <v>7.3222115536967035E-13</v>
      </c>
      <c r="BG190" s="22">
        <f t="shared" si="168"/>
        <v>1.3525069634579169E-12</v>
      </c>
      <c r="BH190" s="62">
        <f t="shared" si="116"/>
        <v>293.33333333333468</v>
      </c>
      <c r="BI190" s="62">
        <f ca="1">AVERAGE(OFFSET($BH$3,0,0,'Données projet'!$E$11+1,1))-AVERAGE(OFFSET($H$3,0,0,'Données projet'!$E$11+1,1))</f>
        <v>0</v>
      </c>
      <c r="BJ190" s="62">
        <f t="shared" si="146"/>
        <v>0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2.2341699101938534E-2</v>
      </c>
      <c r="BR190" s="23">
        <f>EXP(-LN(2)/2)*BR189+(1-EXP(-LN(2)/2))/(LN(2)/2)*BL190*BO190*VLOOKUP('Données projet'!$B$11,Paramètres!$A$1:$I$89,3,0)*0.475*44/12</f>
        <v>7.9483832522627477E-24</v>
      </c>
      <c r="BS190" s="24">
        <f t="shared" si="169"/>
        <v>2.2341699101938534E-2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439.06700232017681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0.11428314021202658</v>
      </c>
      <c r="AB191" s="23">
        <f>EXP(-LN(2)/2)*AB190+(1-EXP(-LN(2)/2))/(LN(2)/2)*V191*Y191*VLOOKUP('Données projet'!$B$9,Paramètres!$A$1:$I$89,3,0)*0.475*44/12</f>
        <v>2.4666153047025607E-23</v>
      </c>
      <c r="AC191" s="24">
        <f t="shared" si="163"/>
        <v>0.11428314021202658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1.4897523215040567E-13</v>
      </c>
      <c r="AK191" s="14">
        <f t="shared" si="164"/>
        <v>2.136562777003313E-12</v>
      </c>
      <c r="AL191" s="22">
        <f t="shared" si="165"/>
        <v>3.9806453659427267E-12</v>
      </c>
      <c r="AM191" s="62">
        <f t="shared" si="113"/>
        <v>293.33333333333729</v>
      </c>
      <c r="AN191" s="62">
        <f ca="1">AVERAGE(OFFSET($AM$3,0,0,'Données projet'!$E$10+1,1))-AVERAGE(OFFSET($H$3,0,0,'Données projet'!$E$10+1,1))</f>
        <v>239.16843440041487</v>
      </c>
      <c r="AO191" s="62">
        <f t="shared" si="144"/>
        <v>241.82319822554194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3.2264266885042258E-23</v>
      </c>
      <c r="AX191" s="23">
        <f t="shared" si="166"/>
        <v>3.2264266885042258E-23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4.4337866711430253E-14</v>
      </c>
      <c r="BF191" s="14">
        <f t="shared" si="167"/>
        <v>7.3222115536967035E-13</v>
      </c>
      <c r="BG191" s="22">
        <f t="shared" si="168"/>
        <v>1.3525069634579169E-12</v>
      </c>
      <c r="BH191" s="62">
        <f t="shared" si="116"/>
        <v>293.33333333333468</v>
      </c>
      <c r="BI191" s="62">
        <f ca="1">AVERAGE(OFFSET($BH$3,0,0,'Données projet'!$E$11+1,1))-AVERAGE(OFFSET($H$3,0,0,'Données projet'!$E$11+1,1))</f>
        <v>0</v>
      </c>
      <c r="BJ191" s="62">
        <f t="shared" si="146"/>
        <v>0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2.173076416509713E-2</v>
      </c>
      <c r="BR191" s="23">
        <f>EXP(-LN(2)/2)*BR190+(1-EXP(-LN(2)/2))/(LN(2)/2)*BL191*BO191*VLOOKUP('Données projet'!$B$11,Paramètres!$A$1:$I$89,3,0)*0.475*44/12</f>
        <v>5.6203556971445738E-24</v>
      </c>
      <c r="BS191" s="24">
        <f t="shared" si="169"/>
        <v>2.173076416509713E-2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439.06700232017681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0.11115806173303958</v>
      </c>
      <c r="AB192" s="23">
        <f>EXP(-LN(2)/2)*AB191+(1-EXP(-LN(2)/2))/(LN(2)/2)*V192*Y192*VLOOKUP('Données projet'!$B$9,Paramètres!$A$1:$I$89,3,0)*0.475*44/12</f>
        <v>1.7441604085337028E-23</v>
      </c>
      <c r="AC192" s="24">
        <f t="shared" si="163"/>
        <v>0.11115806173303958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1.4897523215040567E-13</v>
      </c>
      <c r="AK192" s="14">
        <f t="shared" si="164"/>
        <v>2.136562777003313E-12</v>
      </c>
      <c r="AL192" s="22">
        <f t="shared" si="165"/>
        <v>3.9806453659427267E-12</v>
      </c>
      <c r="AM192" s="62">
        <f t="shared" si="113"/>
        <v>293.33333333333729</v>
      </c>
      <c r="AN192" s="62">
        <f ca="1">AVERAGE(OFFSET($AM$3,0,0,'Données projet'!$E$10+1,1))-AVERAGE(OFFSET($H$3,0,0,'Données projet'!$E$10+1,1))</f>
        <v>239.16843440041487</v>
      </c>
      <c r="AO192" s="62">
        <f t="shared" si="144"/>
        <v>241.82319822554194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2.2814281904425947E-23</v>
      </c>
      <c r="AX192" s="23">
        <f t="shared" si="166"/>
        <v>2.2814281904425947E-23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4.4337866711430253E-14</v>
      </c>
      <c r="BF192" s="14">
        <f t="shared" si="167"/>
        <v>7.3222115536967035E-13</v>
      </c>
      <c r="BG192" s="22">
        <f t="shared" si="168"/>
        <v>1.3525069634579169E-12</v>
      </c>
      <c r="BH192" s="62">
        <f t="shared" si="116"/>
        <v>293.33333333333468</v>
      </c>
      <c r="BI192" s="62">
        <f ca="1">AVERAGE(OFFSET($BH$3,0,0,'Données projet'!$E$11+1,1))-AVERAGE(OFFSET($H$3,0,0,'Données projet'!$E$11+1,1))</f>
        <v>0</v>
      </c>
      <c r="BJ192" s="62">
        <f t="shared" si="146"/>
        <v>0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2.1136535276231327E-2</v>
      </c>
      <c r="BR192" s="23">
        <f>EXP(-LN(2)/2)*BR191+(1-EXP(-LN(2)/2))/(LN(2)/2)*BL192*BO192*VLOOKUP('Données projet'!$B$11,Paramètres!$A$1:$I$89,3,0)*0.475*44/12</f>
        <v>3.9741916261313738E-24</v>
      </c>
      <c r="BS192" s="24">
        <f t="shared" si="169"/>
        <v>2.1136535276231327E-2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439.06700232017681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0.1081184386894012</v>
      </c>
      <c r="AB193" s="23">
        <f>EXP(-LN(2)/2)*AB192+(1-EXP(-LN(2)/2))/(LN(2)/2)*V193*Y193*VLOOKUP('Données projet'!$B$9,Paramètres!$A$1:$I$89,3,0)*0.475*44/12</f>
        <v>1.2333076523512804E-23</v>
      </c>
      <c r="AC193" s="24">
        <f t="shared" si="163"/>
        <v>0.1081184386894012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1.4897523215040567E-13</v>
      </c>
      <c r="AK193" s="14">
        <f t="shared" si="164"/>
        <v>2.136562777003313E-12</v>
      </c>
      <c r="AL193" s="22">
        <f t="shared" si="165"/>
        <v>3.9806453659427267E-12</v>
      </c>
      <c r="AM193" s="62">
        <f t="shared" si="113"/>
        <v>293.33333333333729</v>
      </c>
      <c r="AN193" s="62">
        <f ca="1">AVERAGE(OFFSET($AM$3,0,0,'Données projet'!$E$10+1,1))-AVERAGE(OFFSET($H$3,0,0,'Données projet'!$E$10+1,1))</f>
        <v>239.16843440041487</v>
      </c>
      <c r="AO193" s="62">
        <f t="shared" si="144"/>
        <v>241.82319822554194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1.6132133442521129E-23</v>
      </c>
      <c r="AX193" s="23">
        <f t="shared" si="166"/>
        <v>1.6132133442521129E-23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4.4337866711430253E-14</v>
      </c>
      <c r="BF193" s="14">
        <f t="shared" si="167"/>
        <v>7.3222115536967035E-13</v>
      </c>
      <c r="BG193" s="22">
        <f t="shared" si="168"/>
        <v>1.3525069634579169E-12</v>
      </c>
      <c r="BH193" s="62">
        <f t="shared" si="116"/>
        <v>293.33333333333468</v>
      </c>
      <c r="BI193" s="62">
        <f ca="1">AVERAGE(OFFSET($BH$3,0,0,'Données projet'!$E$11+1,1))-AVERAGE(OFFSET($H$3,0,0,'Données projet'!$E$11+1,1))</f>
        <v>0</v>
      </c>
      <c r="BJ193" s="62">
        <f t="shared" si="146"/>
        <v>0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2.05585556075807E-2</v>
      </c>
      <c r="BR193" s="23">
        <f>EXP(-LN(2)/2)*BR192+(1-EXP(-LN(2)/2))/(LN(2)/2)*BL193*BO193*VLOOKUP('Données projet'!$B$11,Paramètres!$A$1:$I$89,3,0)*0.475*44/12</f>
        <v>2.8101778485722869E-24</v>
      </c>
      <c r="BS193" s="24">
        <f t="shared" si="169"/>
        <v>2.05585556075807E-2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439.06700232017681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0.10516193429773794</v>
      </c>
      <c r="AB194" s="23">
        <f>EXP(-LN(2)/2)*AB193+(1-EXP(-LN(2)/2))/(LN(2)/2)*V194*Y194*VLOOKUP('Données projet'!$B$9,Paramètres!$A$1:$I$89,3,0)*0.475*44/12</f>
        <v>8.7208020426685142E-24</v>
      </c>
      <c r="AC194" s="24">
        <f t="shared" si="163"/>
        <v>0.10516193429773794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1.4897523215040567E-13</v>
      </c>
      <c r="AK194" s="14">
        <f t="shared" si="164"/>
        <v>2.136562777003313E-12</v>
      </c>
      <c r="AL194" s="22">
        <f t="shared" si="165"/>
        <v>3.9806453659427267E-12</v>
      </c>
      <c r="AM194" s="62">
        <f t="shared" si="113"/>
        <v>293.33333333333729</v>
      </c>
      <c r="AN194" s="62">
        <f ca="1">AVERAGE(OFFSET($AM$3,0,0,'Données projet'!$E$10+1,1))-AVERAGE(OFFSET($H$3,0,0,'Données projet'!$E$10+1,1))</f>
        <v>239.16843440041487</v>
      </c>
      <c r="AO194" s="62">
        <f t="shared" si="144"/>
        <v>241.82319822554194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1.1407140952212974E-23</v>
      </c>
      <c r="AX194" s="23">
        <f t="shared" si="166"/>
        <v>1.1407140952212974E-23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4.4337866711430253E-14</v>
      </c>
      <c r="BF194" s="14">
        <f t="shared" si="167"/>
        <v>7.3222115536967035E-13</v>
      </c>
      <c r="BG194" s="22">
        <f t="shared" si="168"/>
        <v>1.3525069634579169E-12</v>
      </c>
      <c r="BH194" s="62">
        <f t="shared" si="116"/>
        <v>293.33333333333468</v>
      </c>
      <c r="BI194" s="62">
        <f ca="1">AVERAGE(OFFSET($BH$3,0,0,'Données projet'!$E$11+1,1))-AVERAGE(OFFSET($H$3,0,0,'Données projet'!$E$11+1,1))</f>
        <v>0</v>
      </c>
      <c r="BJ194" s="62">
        <f t="shared" si="146"/>
        <v>0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1.9996380823363955E-2</v>
      </c>
      <c r="BR194" s="23">
        <f>EXP(-LN(2)/2)*BR193+(1-EXP(-LN(2)/2))/(LN(2)/2)*BL194*BO194*VLOOKUP('Données projet'!$B$11,Paramètres!$A$1:$I$89,3,0)*0.475*44/12</f>
        <v>1.9870958130656869E-24</v>
      </c>
      <c r="BS194" s="24">
        <f t="shared" si="169"/>
        <v>1.9996380823363955E-2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439.06700232017681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0.10228627567414053</v>
      </c>
      <c r="AB195" s="23">
        <f>EXP(-LN(2)/2)*AB194+(1-EXP(-LN(2)/2))/(LN(2)/2)*V195*Y195*VLOOKUP('Données projet'!$B$9,Paramètres!$A$1:$I$89,3,0)*0.475*44/12</f>
        <v>6.1665382617564018E-24</v>
      </c>
      <c r="AC195" s="24">
        <f t="shared" si="163"/>
        <v>0.10228627567414053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1.4897523215040567E-13</v>
      </c>
      <c r="AK195" s="14">
        <f t="shared" si="164"/>
        <v>2.136562777003313E-12</v>
      </c>
      <c r="AL195" s="22">
        <f t="shared" si="165"/>
        <v>3.9806453659427267E-12</v>
      </c>
      <c r="AM195" s="62">
        <f t="shared" si="113"/>
        <v>293.33333333333729</v>
      </c>
      <c r="AN195" s="62">
        <f ca="1">AVERAGE(OFFSET($AM$3,0,0,'Données projet'!$E$10+1,1))-AVERAGE(OFFSET($H$3,0,0,'Données projet'!$E$10+1,1))</f>
        <v>239.16843440041487</v>
      </c>
      <c r="AO195" s="62">
        <f t="shared" si="144"/>
        <v>241.82319822554194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8.0660667212605645E-24</v>
      </c>
      <c r="AX195" s="23">
        <f t="shared" si="166"/>
        <v>8.0660667212605645E-24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4.4337866711430253E-14</v>
      </c>
      <c r="BF195" s="14">
        <f t="shared" si="167"/>
        <v>7.3222115536967035E-13</v>
      </c>
      <c r="BG195" s="22">
        <f t="shared" si="168"/>
        <v>1.3525069634579169E-12</v>
      </c>
      <c r="BH195" s="62">
        <f t="shared" si="116"/>
        <v>293.33333333333468</v>
      </c>
      <c r="BI195" s="62">
        <f ca="1">AVERAGE(OFFSET($BH$3,0,0,'Données projet'!$E$11+1,1))-AVERAGE(OFFSET($H$3,0,0,'Données projet'!$E$11+1,1))</f>
        <v>0</v>
      </c>
      <c r="BJ195" s="62">
        <f t="shared" si="146"/>
        <v>0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1.9449578738185102E-2</v>
      </c>
      <c r="BR195" s="23">
        <f>EXP(-LN(2)/2)*BR194+(1-EXP(-LN(2)/2))/(LN(2)/2)*BL195*BO195*VLOOKUP('Données projet'!$B$11,Paramètres!$A$1:$I$89,3,0)*0.475*44/12</f>
        <v>1.4050889242861434E-24</v>
      </c>
      <c r="BS195" s="24">
        <f t="shared" si="169"/>
        <v>1.9449578738185102E-2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439.06700232017681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9.9489252086829696E-2</v>
      </c>
      <c r="AB196" s="23">
        <f>EXP(-LN(2)/2)*AB195+(1-EXP(-LN(2)/2))/(LN(2)/2)*V196*Y196*VLOOKUP('Données projet'!$B$9,Paramètres!$A$1:$I$89,3,0)*0.475*44/12</f>
        <v>4.3604010213342571E-24</v>
      </c>
      <c r="AC196" s="24">
        <f t="shared" si="163"/>
        <v>9.9489252086829696E-2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1.4897523215040567E-13</v>
      </c>
      <c r="AK196" s="14">
        <f t="shared" si="164"/>
        <v>2.136562777003313E-12</v>
      </c>
      <c r="AL196" s="22">
        <f t="shared" si="165"/>
        <v>3.9806453659427267E-12</v>
      </c>
      <c r="AM196" s="62">
        <f t="shared" ref="AM196:AM203" si="193">AL196+(AD196+AE196)*44/12</f>
        <v>293.33333333333729</v>
      </c>
      <c r="AN196" s="62">
        <f ca="1">AVERAGE(OFFSET($AM$3,0,0,'Données projet'!$E$10+1,1))-AVERAGE(OFFSET($H$3,0,0,'Données projet'!$E$10+1,1))</f>
        <v>239.16843440041487</v>
      </c>
      <c r="AO196" s="62">
        <f t="shared" si="144"/>
        <v>241.82319822554194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5.7035704761064869E-24</v>
      </c>
      <c r="AX196" s="23">
        <f t="shared" si="166"/>
        <v>5.7035704761064869E-24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4.4337866711430253E-14</v>
      </c>
      <c r="BF196" s="14">
        <f t="shared" si="167"/>
        <v>7.3222115536967035E-13</v>
      </c>
      <c r="BG196" s="22">
        <f t="shared" si="168"/>
        <v>1.3525069634579169E-12</v>
      </c>
      <c r="BH196" s="62">
        <f t="shared" ref="BH196:BH203" si="194">BG196+(AY196+AZ196)*44/12</f>
        <v>293.33333333333468</v>
      </c>
      <c r="BI196" s="62">
        <f ca="1">AVERAGE(OFFSET($BH$3,0,0,'Données projet'!$E$11+1,1))-AVERAGE(OFFSET($H$3,0,0,'Données projet'!$E$11+1,1))</f>
        <v>0</v>
      </c>
      <c r="BJ196" s="62">
        <f t="shared" si="146"/>
        <v>0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1.8917728984780537E-2</v>
      </c>
      <c r="BR196" s="23">
        <f>EXP(-LN(2)/2)*BR195+(1-EXP(-LN(2)/2))/(LN(2)/2)*BL196*BO196*VLOOKUP('Données projet'!$B$11,Paramètres!$A$1:$I$89,3,0)*0.475*44/12</f>
        <v>9.9354790653284346E-25</v>
      </c>
      <c r="BS196" s="24">
        <f t="shared" si="169"/>
        <v>1.8917728984780537E-2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439.06700232017681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9.6768713256602953E-2</v>
      </c>
      <c r="AB197" s="23">
        <f>EXP(-LN(2)/2)*AB196+(1-EXP(-LN(2)/2))/(LN(2)/2)*V197*Y197*VLOOKUP('Données projet'!$B$9,Paramètres!$A$1:$I$89,3,0)*0.475*44/12</f>
        <v>3.0832691308782009E-24</v>
      </c>
      <c r="AC197" s="24">
        <f t="shared" si="163"/>
        <v>9.6768713256602953E-2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1.4897523215040567E-13</v>
      </c>
      <c r="AK197" s="14">
        <f t="shared" si="164"/>
        <v>2.136562777003313E-12</v>
      </c>
      <c r="AL197" s="22">
        <f t="shared" si="165"/>
        <v>3.9806453659427267E-12</v>
      </c>
      <c r="AM197" s="62">
        <f t="shared" si="193"/>
        <v>293.33333333333729</v>
      </c>
      <c r="AN197" s="62">
        <f ca="1">AVERAGE(OFFSET($AM$3,0,0,'Données projet'!$E$10+1,1))-AVERAGE(OFFSET($H$3,0,0,'Données projet'!$E$10+1,1))</f>
        <v>239.16843440041487</v>
      </c>
      <c r="AO197" s="62">
        <f t="shared" ref="AO197:AO203" si="205">$AO$3</f>
        <v>241.82319822554194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4.0330333606302823E-24</v>
      </c>
      <c r="AX197" s="23">
        <f t="shared" si="166"/>
        <v>4.0330333606302823E-24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4.4337866711430253E-14</v>
      </c>
      <c r="BF197" s="14">
        <f t="shared" si="167"/>
        <v>7.3222115536967035E-13</v>
      </c>
      <c r="BG197" s="22">
        <f t="shared" si="168"/>
        <v>1.3525069634579169E-12</v>
      </c>
      <c r="BH197" s="62">
        <f t="shared" si="194"/>
        <v>293.33333333333468</v>
      </c>
      <c r="BI197" s="62">
        <f ca="1">AVERAGE(OFFSET($BH$3,0,0,'Données projet'!$E$11+1,1))-AVERAGE(OFFSET($H$3,0,0,'Données projet'!$E$11+1,1))</f>
        <v>0</v>
      </c>
      <c r="BJ197" s="62">
        <f t="shared" ref="BJ197:BJ203" si="206">$BJ$3</f>
        <v>0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1.8400422690851584E-2</v>
      </c>
      <c r="BR197" s="23">
        <f>EXP(-LN(2)/2)*BR196+(1-EXP(-LN(2)/2))/(LN(2)/2)*BL197*BO197*VLOOKUP('Données projet'!$B$11,Paramètres!$A$1:$I$89,3,0)*0.475*44/12</f>
        <v>7.0254446214307172E-25</v>
      </c>
      <c r="BS197" s="24">
        <f t="shared" si="169"/>
        <v>1.8400422690851584E-2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439.06700232017681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9.4122567703755683E-2</v>
      </c>
      <c r="AB198" s="23">
        <f>EXP(-LN(2)/2)*AB197+(1-EXP(-LN(2)/2))/(LN(2)/2)*V198*Y198*VLOOKUP('Données projet'!$B$9,Paramètres!$A$1:$I$89,3,0)*0.475*44/12</f>
        <v>2.1802005106671286E-24</v>
      </c>
      <c r="AC198" s="24">
        <f t="shared" si="163"/>
        <v>9.4122567703755683E-2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1.4897523215040567E-13</v>
      </c>
      <c r="AK198" s="14">
        <f t="shared" si="164"/>
        <v>2.136562777003313E-12</v>
      </c>
      <c r="AL198" s="22">
        <f t="shared" si="165"/>
        <v>3.9806453659427267E-12</v>
      </c>
      <c r="AM198" s="62">
        <f t="shared" si="193"/>
        <v>293.33333333333729</v>
      </c>
      <c r="AN198" s="62">
        <f ca="1">AVERAGE(OFFSET($AM$3,0,0,'Données projet'!$E$10+1,1))-AVERAGE(OFFSET($H$3,0,0,'Données projet'!$E$10+1,1))</f>
        <v>239.16843440041487</v>
      </c>
      <c r="AO198" s="62">
        <f t="shared" si="205"/>
        <v>241.82319822554194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2.8517852380532434E-24</v>
      </c>
      <c r="AX198" s="23">
        <f t="shared" si="166"/>
        <v>2.8517852380532434E-24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4.4337866711430253E-14</v>
      </c>
      <c r="BF198" s="14">
        <f t="shared" si="167"/>
        <v>7.3222115536967035E-13</v>
      </c>
      <c r="BG198" s="22">
        <f t="shared" si="168"/>
        <v>1.3525069634579169E-12</v>
      </c>
      <c r="BH198" s="62">
        <f t="shared" si="194"/>
        <v>293.33333333333468</v>
      </c>
      <c r="BI198" s="62">
        <f ca="1">AVERAGE(OFFSET($BH$3,0,0,'Données projet'!$E$11+1,1))-AVERAGE(OFFSET($H$3,0,0,'Données projet'!$E$11+1,1))</f>
        <v>0</v>
      </c>
      <c r="BJ198" s="62">
        <f t="shared" si="206"/>
        <v>0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1.7897262164734074E-2</v>
      </c>
      <c r="BR198" s="23">
        <f>EXP(-LN(2)/2)*BR197+(1-EXP(-LN(2)/2))/(LN(2)/2)*BL198*BO198*VLOOKUP('Données projet'!$B$11,Paramètres!$A$1:$I$89,3,0)*0.475*44/12</f>
        <v>4.9677395326642173E-25</v>
      </c>
      <c r="BS198" s="24">
        <f t="shared" si="169"/>
        <v>1.7897262164734074E-2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439.06700232017681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9.1548781140205773E-2</v>
      </c>
      <c r="AB199" s="23">
        <f>EXP(-LN(2)/2)*AB198+(1-EXP(-LN(2)/2))/(LN(2)/2)*V199*Y199*VLOOKUP('Données projet'!$B$9,Paramètres!$A$1:$I$89,3,0)*0.475*44/12</f>
        <v>1.5416345654391005E-24</v>
      </c>
      <c r="AC199" s="24">
        <f t="shared" si="163"/>
        <v>9.1548781140205773E-2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1.4897523215040567E-13</v>
      </c>
      <c r="AK199" s="14">
        <f t="shared" si="164"/>
        <v>2.136562777003313E-12</v>
      </c>
      <c r="AL199" s="22">
        <f t="shared" si="165"/>
        <v>3.9806453659427267E-12</v>
      </c>
      <c r="AM199" s="62">
        <f t="shared" si="193"/>
        <v>293.33333333333729</v>
      </c>
      <c r="AN199" s="62">
        <f ca="1">AVERAGE(OFFSET($AM$3,0,0,'Données projet'!$E$10+1,1))-AVERAGE(OFFSET($H$3,0,0,'Données projet'!$E$10+1,1))</f>
        <v>239.16843440041487</v>
      </c>
      <c r="AO199" s="62">
        <f t="shared" si="205"/>
        <v>241.82319822554194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2.0165166803151411E-24</v>
      </c>
      <c r="AX199" s="23">
        <f t="shared" si="166"/>
        <v>2.0165166803151411E-24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4.4337866711430253E-14</v>
      </c>
      <c r="BF199" s="14">
        <f t="shared" si="167"/>
        <v>7.3222115536967035E-13</v>
      </c>
      <c r="BG199" s="22">
        <f t="shared" si="168"/>
        <v>1.3525069634579169E-12</v>
      </c>
      <c r="BH199" s="62">
        <f t="shared" si="194"/>
        <v>293.33333333333468</v>
      </c>
      <c r="BI199" s="62">
        <f ca="1">AVERAGE(OFFSET($BH$3,0,0,'Données projet'!$E$11+1,1))-AVERAGE(OFFSET($H$3,0,0,'Données projet'!$E$11+1,1))</f>
        <v>0</v>
      </c>
      <c r="BJ199" s="62">
        <f t="shared" si="206"/>
        <v>0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1.7407860589663308E-2</v>
      </c>
      <c r="BR199" s="23">
        <f>EXP(-LN(2)/2)*BR198+(1-EXP(-LN(2)/2))/(LN(2)/2)*BL199*BO199*VLOOKUP('Données projet'!$B$11,Paramètres!$A$1:$I$89,3,0)*0.475*44/12</f>
        <v>3.5127223107153586E-25</v>
      </c>
      <c r="BS199" s="24">
        <f t="shared" si="169"/>
        <v>1.7407860589663308E-2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439.06700232017681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8.9045374905585686E-2</v>
      </c>
      <c r="AB200" s="23">
        <f>EXP(-LN(2)/2)*AB199+(1-EXP(-LN(2)/2))/(LN(2)/2)*V200*Y200*VLOOKUP('Données projet'!$B$9,Paramètres!$A$1:$I$89,3,0)*0.475*44/12</f>
        <v>1.0901002553335643E-24</v>
      </c>
      <c r="AC200" s="24">
        <f t="shared" si="163"/>
        <v>8.9045374905585686E-2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1.4897523215040567E-13</v>
      </c>
      <c r="AK200" s="14">
        <f t="shared" si="164"/>
        <v>2.136562777003313E-12</v>
      </c>
      <c r="AL200" s="22">
        <f t="shared" si="165"/>
        <v>3.9806453659427267E-12</v>
      </c>
      <c r="AM200" s="62">
        <f t="shared" si="193"/>
        <v>293.33333333333729</v>
      </c>
      <c r="AN200" s="62">
        <f ca="1">AVERAGE(OFFSET($AM$3,0,0,'Données projet'!$E$10+1,1))-AVERAGE(OFFSET($H$3,0,0,'Données projet'!$E$10+1,1))</f>
        <v>239.16843440041487</v>
      </c>
      <c r="AO200" s="62">
        <f t="shared" si="205"/>
        <v>241.82319822554194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1.4258926190266217E-24</v>
      </c>
      <c r="AX200" s="23">
        <f t="shared" si="166"/>
        <v>1.4258926190266217E-24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4.4337866711430253E-14</v>
      </c>
      <c r="BF200" s="14">
        <f t="shared" si="167"/>
        <v>7.3222115536967035E-13</v>
      </c>
      <c r="BG200" s="22">
        <f t="shared" si="168"/>
        <v>1.3525069634579169E-12</v>
      </c>
      <c r="BH200" s="62">
        <f t="shared" si="194"/>
        <v>293.33333333333468</v>
      </c>
      <c r="BI200" s="62">
        <f ca="1">AVERAGE(OFFSET($BH$3,0,0,'Données projet'!$E$11+1,1))-AVERAGE(OFFSET($H$3,0,0,'Données projet'!$E$11+1,1))</f>
        <v>0</v>
      </c>
      <c r="BJ200" s="62">
        <f t="shared" si="206"/>
        <v>0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1.6931841726399364E-2</v>
      </c>
      <c r="BR200" s="23">
        <f>EXP(-LN(2)/2)*BR199+(1-EXP(-LN(2)/2))/(LN(2)/2)*BL200*BO200*VLOOKUP('Données projet'!$B$11,Paramètres!$A$1:$I$89,3,0)*0.475*44/12</f>
        <v>2.4838697663321087E-25</v>
      </c>
      <c r="BS200" s="24">
        <f t="shared" si="169"/>
        <v>1.6931841726399364E-2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439.06700232017681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8.661042444609969E-2</v>
      </c>
      <c r="AB201" s="23">
        <f>EXP(-LN(2)/2)*AB200+(1-EXP(-LN(2)/2))/(LN(2)/2)*V201*Y201*VLOOKUP('Données projet'!$B$9,Paramètres!$A$1:$I$89,3,0)*0.475*44/12</f>
        <v>7.7081728271955023E-25</v>
      </c>
      <c r="AC201" s="24">
        <f t="shared" si="163"/>
        <v>8.661042444609969E-2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1.4897523215040567E-13</v>
      </c>
      <c r="AK201" s="14">
        <f t="shared" si="164"/>
        <v>2.136562777003313E-12</v>
      </c>
      <c r="AL201" s="22">
        <f t="shared" si="165"/>
        <v>3.9806453659427267E-12</v>
      </c>
      <c r="AM201" s="62">
        <f t="shared" si="193"/>
        <v>293.33333333333729</v>
      </c>
      <c r="AN201" s="62">
        <f ca="1">AVERAGE(OFFSET($AM$3,0,0,'Données projet'!$E$10+1,1))-AVERAGE(OFFSET($H$3,0,0,'Données projet'!$E$10+1,1))</f>
        <v>239.16843440041487</v>
      </c>
      <c r="AO201" s="62">
        <f t="shared" si="205"/>
        <v>241.82319822554194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1.0082583401575706E-24</v>
      </c>
      <c r="AX201" s="23">
        <f t="shared" si="166"/>
        <v>1.0082583401575706E-24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4.4337866711430253E-14</v>
      </c>
      <c r="BF201" s="14">
        <f t="shared" si="167"/>
        <v>7.3222115536967035E-13</v>
      </c>
      <c r="BG201" s="22">
        <f t="shared" si="168"/>
        <v>1.3525069634579169E-12</v>
      </c>
      <c r="BH201" s="62">
        <f t="shared" si="194"/>
        <v>293.33333333333468</v>
      </c>
      <c r="BI201" s="62">
        <f ca="1">AVERAGE(OFFSET($BH$3,0,0,'Données projet'!$E$11+1,1))-AVERAGE(OFFSET($H$3,0,0,'Données projet'!$E$11+1,1))</f>
        <v>0</v>
      </c>
      <c r="BJ201" s="62">
        <f t="shared" si="206"/>
        <v>0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1.6468839623984113E-2</v>
      </c>
      <c r="BR201" s="23">
        <f>EXP(-LN(2)/2)*BR200+(1-EXP(-LN(2)/2))/(LN(2)/2)*BL201*BO201*VLOOKUP('Données projet'!$B$11,Paramètres!$A$1:$I$89,3,0)*0.475*44/12</f>
        <v>1.7563611553576793E-25</v>
      </c>
      <c r="BS201" s="24">
        <f t="shared" si="169"/>
        <v>1.6468839623984113E-2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439.06700232017681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8.4242057834976819E-2</v>
      </c>
      <c r="AB202" s="23">
        <f>EXP(-LN(2)/2)*AB201+(1-EXP(-LN(2)/2))/(LN(2)/2)*V202*Y202*VLOOKUP('Données projet'!$B$9,Paramètres!$A$1:$I$89,3,0)*0.475*44/12</f>
        <v>5.4505012766678214E-25</v>
      </c>
      <c r="AC202" s="24">
        <f t="shared" si="163"/>
        <v>8.4242057834976819E-2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1.4897523215040567E-13</v>
      </c>
      <c r="AK202" s="14">
        <f t="shared" si="164"/>
        <v>2.136562777003313E-12</v>
      </c>
      <c r="AL202" s="22">
        <f t="shared" si="165"/>
        <v>3.9806453659427267E-12</v>
      </c>
      <c r="AM202" s="62">
        <f t="shared" si="193"/>
        <v>293.33333333333729</v>
      </c>
      <c r="AN202" s="62">
        <f ca="1">AVERAGE(OFFSET($AM$3,0,0,'Données projet'!$E$10+1,1))-AVERAGE(OFFSET($H$3,0,0,'Données projet'!$E$10+1,1))</f>
        <v>239.16843440041487</v>
      </c>
      <c r="AO202" s="62">
        <f t="shared" si="205"/>
        <v>241.82319822554194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7.1294630951331086E-25</v>
      </c>
      <c r="AX202" s="23">
        <f t="shared" si="166"/>
        <v>7.1294630951331086E-25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4.4337866711430253E-14</v>
      </c>
      <c r="BF202" s="14">
        <f t="shared" si="167"/>
        <v>7.3222115536967035E-13</v>
      </c>
      <c r="BG202" s="22">
        <f t="shared" si="168"/>
        <v>1.3525069634579169E-12</v>
      </c>
      <c r="BH202" s="62">
        <f t="shared" si="194"/>
        <v>293.33333333333468</v>
      </c>
      <c r="BI202" s="62">
        <f ca="1">AVERAGE(OFFSET($BH$3,0,0,'Données projet'!$E$11+1,1))-AVERAGE(OFFSET($H$3,0,0,'Données projet'!$E$11+1,1))</f>
        <v>0</v>
      </c>
      <c r="BJ202" s="62">
        <f t="shared" si="206"/>
        <v>0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1.6018498338407631E-2</v>
      </c>
      <c r="BR202" s="23">
        <f>EXP(-LN(2)/2)*BR201+(1-EXP(-LN(2)/2))/(LN(2)/2)*BL202*BO202*VLOOKUP('Données projet'!$B$11,Paramètres!$A$1:$I$89,3,0)*0.475*44/12</f>
        <v>1.2419348831660543E-25</v>
      </c>
      <c r="BS202" s="24">
        <f t="shared" si="169"/>
        <v>1.6018498338407631E-2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439.06700232017681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8.1938454333382094E-2</v>
      </c>
      <c r="AB203" s="23">
        <f>EXP(-LN(2)/2)*AB202+(1-EXP(-LN(2)/2))/(LN(2)/2)*V203*Y203*VLOOKUP('Données projet'!$B$9,Paramètres!$A$1:$I$89,3,0)*0.475*44/12</f>
        <v>3.8540864135977511E-25</v>
      </c>
      <c r="AC203" s="24">
        <f t="shared" si="163"/>
        <v>8.1938454333382094E-2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1.4897523215040567E-13</v>
      </c>
      <c r="AK203" s="14">
        <f t="shared" si="164"/>
        <v>2.136562777003313E-12</v>
      </c>
      <c r="AL203" s="22">
        <f t="shared" si="165"/>
        <v>3.9806453659427267E-12</v>
      </c>
      <c r="AM203" s="62">
        <f t="shared" si="193"/>
        <v>293.33333333333729</v>
      </c>
      <c r="AN203" s="62">
        <f ca="1">AVERAGE(OFFSET($AM$3,0,0,'Données projet'!$E$10+1,1))-AVERAGE(OFFSET($H$3,0,0,'Données projet'!$E$10+1,1))</f>
        <v>239.16843440041487</v>
      </c>
      <c r="AO203" s="62">
        <f t="shared" si="205"/>
        <v>241.82319822554194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5.0412917007878528E-25</v>
      </c>
      <c r="AX203" s="23">
        <f t="shared" si="166"/>
        <v>5.0412917007878528E-25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4.4337866711430253E-14</v>
      </c>
      <c r="BF203" s="14">
        <f t="shared" si="167"/>
        <v>7.3222115536967035E-13</v>
      </c>
      <c r="BG203" s="22">
        <f t="shared" si="168"/>
        <v>1.3525069634579169E-12</v>
      </c>
      <c r="BH203" s="62">
        <f t="shared" si="194"/>
        <v>293.33333333333468</v>
      </c>
      <c r="BI203" s="62">
        <f ca="1">AVERAGE(OFFSET($BH$3,0,0,'Données projet'!$E$11+1,1))-AVERAGE(OFFSET($H$3,0,0,'Données projet'!$E$11+1,1))</f>
        <v>0</v>
      </c>
      <c r="BJ203" s="62">
        <f t="shared" si="206"/>
        <v>0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1.5580471658967657E-2</v>
      </c>
      <c r="BR203" s="23">
        <f>EXP(-LN(2)/2)*BR202+(1-EXP(-LN(2)/2))/(LN(2)/2)*BL203*BO203*VLOOKUP('Données projet'!$B$11,Paramètres!$A$1:$I$89,3,0)*0.475*44/12</f>
        <v>8.7818057767883965E-26</v>
      </c>
      <c r="BS203" s="24">
        <f t="shared" si="169"/>
        <v>1.5580471658967657E-2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1.2240347367580502</v>
      </c>
      <c r="BA205" s="88">
        <f>EXP(LN('Données projet'!B88)/'Données projet'!A88)</f>
        <v>1.2788040393997409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13" workbookViewId="0">
      <selection activeCell="M28" sqref="M2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1.2960000000000003</v>
      </c>
      <c r="C6" s="156">
        <f ca="1">IF(OR('Données projet'!B9="",'Données projet'!C9="",'Données projet'!C9=0%),0,Calculateur!S3)</f>
        <v>439.06700232017681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360.56976636283116</v>
      </c>
      <c r="G6" s="156">
        <f ca="1">F6*(100%-'Données projet'!$C$24)*(100%-'Données projet'!$C$25)*(100%-'Données projet'!$C$26)*(100%-'Données projet'!$C$27)</f>
        <v>324.51278972654808</v>
      </c>
      <c r="H6" s="157">
        <f>IF(OR('Données projet'!B9="",'Données projet'!C9="",'Données projet'!C9=0%),0,AVERAGE(Calculateur!$AC$3:$AC$33)*B6)</f>
        <v>3.6833716395659621</v>
      </c>
      <c r="I6" s="158">
        <f>H6*(100%-'Données projet'!$C$24)*(100%-'Données projet'!$C$25)*(100%-'Données projet'!$C$26)*(100%-'Données projet'!$C$27)</f>
        <v>3.3150344756093659</v>
      </c>
      <c r="J6" s="159">
        <f>IF(OR('Données projet'!B9="",'Données projet'!C9="",'Données projet'!C9=0%),0,SUM(Calculateur!$V$3:$V$33)*VLOOKUP('Données projet'!$B$9,Paramètres!$A$1:$I$89,9,0)*B6)</f>
        <v>20.088000000000005</v>
      </c>
      <c r="K6" s="160">
        <f>J6*(100%-'Données projet'!$C$24)*(100%-'Données projet'!$C$25)*(100%-'Données projet'!$C$26)*(100%-'Données projet'!$C$27)</f>
        <v>18.079200000000004</v>
      </c>
      <c r="L6" s="161">
        <f ca="1">G6+I6+K6</f>
        <v>345.90702420215746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0.16200000000000003</v>
      </c>
      <c r="C7" s="156">
        <f ca="1">IF(OR('Données projet'!B10="",'Données projet'!C10="",'Données projet'!C10=0%),0,Calculateur!AN3)</f>
        <v>239.16843440041487</v>
      </c>
      <c r="D7" s="156">
        <f>IF(OR('Données projet'!B10="",'Données projet'!C10="",'Données projet'!C10=0%),0,Calculateur!AO3)</f>
        <v>241.82319822554194</v>
      </c>
      <c r="E7" s="156">
        <f t="shared" ref="E7:E15" ca="1" si="0">MIN(C7,D7)</f>
        <v>239.16843440041487</v>
      </c>
      <c r="F7" s="156">
        <f t="shared" ref="F7:F15" ca="1" si="1">E7*B7</f>
        <v>38.745286372867213</v>
      </c>
      <c r="G7" s="156">
        <f ca="1">F7*(100%-'Données projet'!$C$24)*(100%-'Données projet'!$C$25)*(100%-'Données projet'!$C$26)*(100%-'Données projet'!$C$27)</f>
        <v>34.87075773558049</v>
      </c>
      <c r="H7" s="164">
        <f>IF(OR('Données projet'!B10="",'Données projet'!C10="",'Données projet'!C10=0%),0,AVERAGE(Calculateur!$AX$3:$AX$33)*B7)</f>
        <v>0.40104002218994383</v>
      </c>
      <c r="I7" s="158">
        <f>H7*(100%-'Données projet'!$C$24)*(100%-'Données projet'!$C$25)*(100%-'Données projet'!$C$26)*(100%-'Données projet'!$C$27)</f>
        <v>0.36093601997094948</v>
      </c>
      <c r="J7" s="159">
        <f>IF(OR('Données projet'!B10="",'Données projet'!C10="",'Données projet'!C10=0%),0,SUM(Calculateur!$AQ$3:$AQ$33)*VLOOKUP('Données projet'!$B$10,Paramètres!$A$1:$I$89,9,0)*B7)</f>
        <v>1.7820000000000005</v>
      </c>
      <c r="K7" s="160">
        <f>J7*(100%-'Données projet'!$C$24)*(100%-'Données projet'!$C$25)*(100%-'Données projet'!$C$26)*(100%-'Données projet'!$C$27)</f>
        <v>1.6038000000000006</v>
      </c>
      <c r="L7" s="161">
        <f t="shared" ref="L7:L15" ca="1" si="2">G7+I7+K7</f>
        <v>36.83549375555144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merisier</v>
      </c>
      <c r="B8" s="163">
        <f>'Données projet'!D11</f>
        <v>0.16200000000000003</v>
      </c>
      <c r="C8" s="156">
        <f ca="1"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ca="1" si="0"/>
        <v>0</v>
      </c>
      <c r="F8" s="156">
        <f t="shared" ca="1" si="1"/>
        <v>0</v>
      </c>
      <c r="G8" s="156">
        <f ca="1"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0.66683811514696434</v>
      </c>
      <c r="I8" s="158">
        <f>H8*(100%-'Données projet'!$C$24)*(100%-'Données projet'!$C$25)*(100%-'Données projet'!$C$26)*(100%-'Données projet'!$C$27)</f>
        <v>0.60015430363226796</v>
      </c>
      <c r="J8" s="159">
        <f>IF(OR('Données projet'!B11="",'Données projet'!C11="",'Données projet'!C11=0%),0,SUM(Calculateur!$BL$3:$BL$33)*VLOOKUP('Données projet'!$B$11,Paramètres!$A$1:$I$89,9,0)*B8)</f>
        <v>2.2275000000000005</v>
      </c>
      <c r="K8" s="160">
        <f>J8*(100%-'Données projet'!$C$24)*(100%-'Données projet'!$C$25)*(100%-'Données projet'!$C$26)*(100%-'Données projet'!$C$27)</f>
        <v>2.0047500000000005</v>
      </c>
      <c r="L8" s="161">
        <f t="shared" ca="1" si="2"/>
        <v>2.6049043036322685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399.31505273569837</v>
      </c>
      <c r="G16" s="175">
        <f t="shared" ca="1" si="3"/>
        <v>359.38354746212855</v>
      </c>
      <c r="H16" s="176">
        <f t="shared" si="3"/>
        <v>4.7512497769028705</v>
      </c>
      <c r="I16" s="176">
        <f t="shared" si="3"/>
        <v>4.2761247992125835</v>
      </c>
      <c r="J16" s="177">
        <f t="shared" si="3"/>
        <v>24.097500000000004</v>
      </c>
      <c r="K16" s="177">
        <f t="shared" si="3"/>
        <v>21.687750000000005</v>
      </c>
      <c r="L16" s="178">
        <f t="shared" ca="1" si="3"/>
        <v>385.34742226134119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D21" sqref="D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910.11277300185668</v>
      </c>
      <c r="U10" s="190">
        <f>'Données projet'!D9</f>
        <v>1.2960000000000003</v>
      </c>
      <c r="V10" s="189">
        <f>U10*T10</f>
        <v>1179.5061538104064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0.16200000000000003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0.16200000000000003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8427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250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>
        <v>3</v>
      </c>
      <c r="I23" s="204">
        <v>450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-14910.31088267954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>
        <v>4</v>
      </c>
      <c r="I24" s="204">
        <v>270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280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-14910.31088267954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28</v>
      </c>
      <c r="C27" s="292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28</v>
      </c>
      <c r="C28" s="292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28</v>
      </c>
      <c r="C31" s="292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28</v>
      </c>
      <c r="C32" s="292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28</v>
      </c>
      <c r="C35" s="292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28</v>
      </c>
      <c r="C36" s="292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28</v>
      </c>
      <c r="C37" s="292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28</v>
      </c>
      <c r="C38" s="292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27</v>
      </c>
      <c r="C39" s="292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105</v>
      </c>
      <c r="B40" s="193">
        <f>'Données projet'!D53</f>
        <v>26</v>
      </c>
      <c r="C40" s="292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110</v>
      </c>
      <c r="B41" s="193">
        <f>'Données projet'!D54</f>
        <v>25</v>
      </c>
      <c r="C41" s="292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115</v>
      </c>
      <c r="B42" s="193">
        <f>'Données projet'!D55</f>
        <v>330</v>
      </c>
      <c r="C42" s="292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20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19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17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16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14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13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11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10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9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8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7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171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3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25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27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31</v>
      </c>
      <c r="B88" s="193">
        <f>'Données projet'!D91</f>
        <v>36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37</v>
      </c>
      <c r="B89" s="193">
        <f>'Données projet'!D92</f>
        <v>36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44</v>
      </c>
      <c r="B90" s="193">
        <f>'Données projet'!D93</f>
        <v>43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52</v>
      </c>
      <c r="B91" s="193">
        <f>'Données projet'!D94</f>
        <v>48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47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69</v>
      </c>
      <c r="B93" s="193">
        <f>'Données projet'!D96</f>
        <v>328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str">
        <f>IF(O123+1&lt;=MIN('Données projet'!$E$9:$E$18),O123+1,"STOP")</f>
        <v>STOP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2024-06-17T12:14:23Z</dcterms:modified>
</cp:coreProperties>
</file>