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Andreville (53)\Doc 8\"/>
    </mc:Choice>
  </mc:AlternateContent>
  <xr:revisionPtr revIDLastSave="0" documentId="13_ncr:1_{B95773E9-5840-4AB6-A766-6EB9FAA78756}" xr6:coauthVersionLast="47" xr6:coauthVersionMax="47" xr10:uidLastSave="{00000000-0000-0000-0000-000000000000}"/>
  <bookViews>
    <workbookView xWindow="22932" yWindow="3372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1" l="1"/>
  <c r="D172" i="1" s="1"/>
  <c r="D171" i="1"/>
  <c r="B171" i="1"/>
  <c r="D170" i="1"/>
  <c r="B170" i="1"/>
  <c r="D169" i="1"/>
  <c r="B169" i="1"/>
  <c r="D168" i="1"/>
  <c r="B168" i="1"/>
  <c r="D167" i="1"/>
  <c r="B167" i="1"/>
  <c r="B94" i="1"/>
  <c r="D94" i="1" s="1"/>
  <c r="D93" i="1"/>
  <c r="B93" i="1"/>
  <c r="D92" i="1"/>
  <c r="B92" i="1"/>
  <c r="D91" i="1"/>
  <c r="B91" i="1"/>
  <c r="D90" i="1"/>
  <c r="B90" i="1"/>
  <c r="D89" i="1"/>
  <c r="B89" i="1"/>
  <c r="B150" i="1"/>
  <c r="D150" i="1" s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24" i="1"/>
  <c r="D124" i="1" s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72" i="1"/>
  <c r="D72" i="1" s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B46" i="1"/>
  <c r="D46" i="1" s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I23" i="6" l="1"/>
  <c r="I22" i="6"/>
  <c r="E17" i="6"/>
  <c r="E172" i="6" l="1"/>
  <c r="E141" i="6"/>
  <c r="E110" i="6"/>
  <c r="E79" i="6"/>
  <c r="E4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D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DH156" i="2" l="1"/>
  <c r="ED155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C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G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A179" i="2"/>
  <c r="EB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D194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FS201" i="2"/>
  <c r="EB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185" i="2" a="1"/>
  <c r="BC185" i="2" s="1"/>
  <c r="BC7" i="2" a="1"/>
  <c r="BC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" i="2" l="1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8" i="2" a="1"/>
  <c r="BC58" i="2" s="1"/>
  <c r="BC181" i="2" a="1"/>
  <c r="BC181" i="2" s="1"/>
  <c r="BC34" i="2" a="1"/>
  <c r="BC34" i="2" s="1"/>
  <c r="BC143" i="2" a="1"/>
  <c r="BC143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37" i="2"/>
  <c r="CY12" i="2"/>
  <c r="CY171" i="2"/>
  <c r="CY107" i="2"/>
  <c r="CY4" i="2"/>
  <c r="CY10" i="2"/>
  <c r="CY37" i="2"/>
  <c r="CY178" i="2"/>
  <c r="CY9" i="2"/>
  <c r="CY76" i="2"/>
  <c r="CY108" i="2"/>
  <c r="CY40" i="2"/>
  <c r="CY180" i="2"/>
  <c r="CY158" i="2"/>
  <c r="CY128" i="2"/>
  <c r="CY15" i="2"/>
  <c r="CY176" i="2"/>
  <c r="CY112" i="2"/>
  <c r="CY149" i="2"/>
  <c r="CY21" i="2"/>
  <c r="CY25" i="2"/>
  <c r="CY138" i="2"/>
  <c r="CY35" i="2"/>
  <c r="CY118" i="2"/>
  <c r="CY65" i="2"/>
  <c r="CY81" i="2"/>
  <c r="CY129" i="2"/>
  <c r="CY7" i="2"/>
  <c r="CY117" i="2"/>
  <c r="CY139" i="2"/>
  <c r="CY196" i="2"/>
  <c r="CY38" i="2"/>
  <c r="CY39" i="2"/>
  <c r="CY59" i="2"/>
  <c r="CY199" i="2"/>
  <c r="CY110" i="2"/>
  <c r="CY51" i="2"/>
  <c r="CY61" i="2"/>
  <c r="CY148" i="2"/>
  <c r="CY67" i="2"/>
  <c r="CY184" i="2"/>
  <c r="CY89" i="2"/>
  <c r="CY30" i="2"/>
  <c r="CY121" i="2"/>
  <c r="CY135" i="2"/>
  <c r="CY44" i="2"/>
  <c r="CY144" i="2"/>
  <c r="CY41" i="2"/>
  <c r="CY49" i="2"/>
  <c r="CY151" i="2"/>
  <c r="CY147" i="2"/>
  <c r="CY163" i="2"/>
  <c r="CY126" i="2"/>
  <c r="CY63" i="2"/>
  <c r="CY57" i="2"/>
  <c r="CY142" i="2"/>
  <c r="CY34" i="2"/>
  <c r="CY6" i="2"/>
  <c r="CY55" i="2"/>
  <c r="CY18" i="2"/>
  <c r="CY93" i="2"/>
  <c r="CY79" i="2"/>
  <c r="CY53" i="2"/>
  <c r="CY189" i="2"/>
  <c r="CY3" i="2"/>
  <c r="C10" i="4" s="1"/>
  <c r="E10" i="4" s="1"/>
  <c r="F10" i="4" s="1"/>
  <c r="G10" i="4" s="1"/>
  <c r="L10" i="4" s="1"/>
  <c r="CY109" i="2"/>
  <c r="CY166" i="2"/>
  <c r="CY86" i="2"/>
  <c r="CY133" i="2"/>
  <c r="CY162" i="2"/>
  <c r="CY84" i="2"/>
  <c r="CY95" i="2"/>
  <c r="CY90" i="2"/>
  <c r="CY62" i="2"/>
  <c r="CY85" i="2"/>
  <c r="CY169" i="2"/>
  <c r="CY119" i="2"/>
  <c r="CY114" i="2"/>
  <c r="CY17" i="2"/>
  <c r="CY80" i="2"/>
  <c r="CY29" i="2"/>
  <c r="CY8" i="2"/>
  <c r="CY186" i="2"/>
  <c r="CY88" i="2"/>
  <c r="CY48" i="2"/>
  <c r="CY191" i="2"/>
  <c r="CY181" i="2"/>
  <c r="CY201" i="2"/>
  <c r="CY46" i="2"/>
  <c r="CY170" i="2"/>
  <c r="CY66" i="2"/>
  <c r="CY77" i="2"/>
  <c r="CY96" i="2"/>
  <c r="CY16" i="2"/>
  <c r="CY143" i="2"/>
  <c r="CY87" i="2"/>
  <c r="CY115" i="2"/>
  <c r="CY91" i="2"/>
  <c r="CY31" i="2"/>
  <c r="CY74" i="2"/>
  <c r="CY97" i="2"/>
  <c r="CY103" i="2"/>
  <c r="CY50" i="2"/>
  <c r="CY120" i="2"/>
  <c r="CY47" i="2"/>
  <c r="CY102" i="2"/>
  <c r="CY185" i="2"/>
  <c r="CY154" i="2"/>
  <c r="CY160" i="2"/>
  <c r="CY200" i="2"/>
  <c r="CY192" i="2"/>
  <c r="CY198" i="2"/>
  <c r="CY177" i="2"/>
  <c r="CY152" i="2"/>
  <c r="CY140" i="2"/>
  <c r="CY168" i="2"/>
  <c r="CY19" i="2"/>
  <c r="CY94" i="2"/>
  <c r="CY123" i="2"/>
  <c r="CY105" i="2"/>
  <c r="CY71" i="2"/>
  <c r="CY131" i="2"/>
  <c r="CY36" i="2"/>
  <c r="CY202" i="2"/>
  <c r="CY122" i="2"/>
  <c r="CY173" i="2"/>
  <c r="CY125" i="2"/>
  <c r="CY165" i="2"/>
  <c r="CY72" i="2"/>
  <c r="CY159" i="2"/>
  <c r="CY179" i="2"/>
  <c r="CY42" i="2"/>
  <c r="CY183" i="2"/>
  <c r="CY157" i="2"/>
  <c r="CY136" i="2"/>
  <c r="CY132" i="2"/>
  <c r="CY193" i="2"/>
  <c r="CY75" i="2"/>
  <c r="CY127" i="2"/>
  <c r="CY174" i="2"/>
  <c r="CY33" i="2"/>
  <c r="CY54" i="2"/>
  <c r="CY175" i="2"/>
  <c r="CY23" i="2"/>
  <c r="CY172" i="2"/>
  <c r="CY68" i="2"/>
  <c r="CY164" i="2"/>
  <c r="CY78" i="2"/>
  <c r="CY70" i="2"/>
  <c r="CY83" i="2"/>
  <c r="CY56" i="2"/>
  <c r="CY32" i="2"/>
  <c r="CY188" i="2"/>
  <c r="CY98" i="2"/>
  <c r="CY69" i="2"/>
  <c r="CY27" i="2"/>
  <c r="CY190" i="2"/>
  <c r="CY60" i="2"/>
  <c r="CY92" i="2"/>
  <c r="CY156" i="2"/>
  <c r="CY116" i="2"/>
  <c r="CY146" i="2"/>
  <c r="CY52" i="2"/>
  <c r="CY194" i="2"/>
  <c r="CY167" i="2"/>
  <c r="CY145" i="2"/>
  <c r="CY153" i="2"/>
  <c r="CY141" i="2"/>
  <c r="CY101" i="2"/>
  <c r="CY45" i="2"/>
  <c r="CY182" i="2"/>
  <c r="CY58" i="2"/>
  <c r="CY155" i="2"/>
  <c r="CY82" i="2"/>
  <c r="CY99" i="2"/>
  <c r="CY161" i="2"/>
  <c r="CY14" i="2"/>
  <c r="CY73" i="2"/>
  <c r="CY134" i="2"/>
  <c r="CY5" i="2"/>
  <c r="CY20" i="2"/>
  <c r="CY150" i="2"/>
  <c r="CY28" i="2"/>
  <c r="CY64" i="2"/>
  <c r="CY104" i="2"/>
  <c r="CY203" i="2"/>
  <c r="CY22" i="2"/>
  <c r="CY130" i="2"/>
  <c r="CY13" i="2"/>
  <c r="CY11" i="2"/>
  <c r="CY113" i="2"/>
  <c r="CY111" i="2"/>
  <c r="CY197" i="2"/>
  <c r="CY43" i="2"/>
  <c r="CY106" i="2"/>
  <c r="CY187" i="2"/>
  <c r="CY26" i="2"/>
  <c r="CY100" i="2"/>
  <c r="CY195" i="2"/>
  <c r="CY124" i="2"/>
  <c r="CD27" i="2"/>
  <c r="CD135" i="2"/>
  <c r="CD151" i="2"/>
  <c r="CD30" i="2"/>
  <c r="CD69" i="2"/>
  <c r="CD203" i="2"/>
  <c r="CD113" i="2"/>
  <c r="CD162" i="2"/>
  <c r="CD141" i="2"/>
  <c r="CD5" i="2"/>
  <c r="CD10" i="2"/>
  <c r="CD177" i="2"/>
  <c r="CD50" i="2"/>
  <c r="CD173" i="2"/>
  <c r="CD92" i="2"/>
  <c r="CD7" i="2"/>
  <c r="CD201" i="2"/>
  <c r="CD191" i="2"/>
  <c r="CD185" i="2"/>
  <c r="CD156" i="2"/>
  <c r="CD20" i="2"/>
  <c r="CD64" i="2"/>
  <c r="CD73" i="2"/>
  <c r="CD104" i="2"/>
  <c r="CD174" i="2"/>
  <c r="CD109" i="2"/>
  <c r="CD146" i="2"/>
  <c r="CD86" i="2"/>
  <c r="CD100" i="2"/>
  <c r="CD67" i="2"/>
  <c r="CD78" i="2"/>
  <c r="CD51" i="2"/>
  <c r="CD62" i="2"/>
  <c r="CD153" i="2"/>
  <c r="CD193" i="2"/>
  <c r="CD65" i="2"/>
  <c r="CD171" i="2"/>
  <c r="CD168" i="2"/>
  <c r="CD87" i="2"/>
  <c r="CD79" i="2"/>
  <c r="CD183" i="2"/>
  <c r="CD54" i="2"/>
  <c r="CD129" i="2"/>
  <c r="CD14" i="2"/>
  <c r="CD111" i="2"/>
  <c r="CD63" i="2"/>
  <c r="CD124" i="2"/>
  <c r="CD42" i="2"/>
  <c r="CD45" i="2"/>
  <c r="CD34" i="2"/>
  <c r="CD80" i="2"/>
  <c r="CD189" i="2"/>
  <c r="CD56" i="2"/>
  <c r="CD131" i="2"/>
  <c r="CD8" i="2"/>
  <c r="CD166" i="2"/>
  <c r="CD93" i="2"/>
  <c r="CD32" i="2"/>
  <c r="CD49" i="2"/>
  <c r="CD127" i="2"/>
  <c r="CD172" i="2"/>
  <c r="CD186" i="2"/>
  <c r="CD101" i="2"/>
  <c r="CD95" i="2"/>
  <c r="CD112" i="2"/>
  <c r="CD149" i="2"/>
  <c r="CD60" i="2"/>
  <c r="CD74" i="2"/>
  <c r="CD199" i="2"/>
  <c r="CD77" i="2"/>
  <c r="CD167" i="2"/>
  <c r="CD103" i="2"/>
  <c r="CD46" i="2"/>
  <c r="CD202" i="2"/>
  <c r="CD164" i="2"/>
  <c r="CD105" i="2"/>
  <c r="CD9" i="2"/>
  <c r="CD33" i="2"/>
  <c r="CD140" i="2"/>
  <c r="CD61" i="2"/>
  <c r="CD176" i="2"/>
  <c r="CD82" i="2"/>
  <c r="CD125" i="2"/>
  <c r="CD144" i="2"/>
  <c r="CD29" i="2"/>
  <c r="CD75" i="2"/>
  <c r="CD128" i="2"/>
  <c r="CD121" i="2"/>
  <c r="CD152" i="2"/>
  <c r="CD110" i="2"/>
  <c r="CD106" i="2"/>
  <c r="CD21" i="2"/>
  <c r="CD130" i="2"/>
  <c r="CD198" i="2"/>
  <c r="CD37" i="2"/>
  <c r="CD40" i="2"/>
  <c r="CD43" i="2"/>
  <c r="CD139" i="2"/>
  <c r="CD187" i="2"/>
  <c r="CD197" i="2"/>
  <c r="CD15" i="2"/>
  <c r="CD165" i="2"/>
  <c r="CD70" i="2"/>
  <c r="CD182" i="2"/>
  <c r="CD13" i="2"/>
  <c r="CD24" i="2"/>
  <c r="CD3" i="2"/>
  <c r="C9" i="4" s="1"/>
  <c r="E9" i="4" s="1"/>
  <c r="F9" i="4" s="1"/>
  <c r="G9" i="4" s="1"/>
  <c r="L9" i="4" s="1"/>
  <c r="CD57" i="2"/>
  <c r="CD119" i="2"/>
  <c r="CD163" i="2"/>
  <c r="CD122" i="2"/>
  <c r="CD147" i="2"/>
  <c r="CD53" i="2"/>
  <c r="CD154" i="2"/>
  <c r="CD44" i="2"/>
  <c r="CD28" i="2"/>
  <c r="CD81" i="2"/>
  <c r="CD180" i="2"/>
  <c r="CD68" i="2"/>
  <c r="CD48" i="2"/>
  <c r="CD196" i="2"/>
  <c r="CD36" i="2"/>
  <c r="CD31" i="2"/>
  <c r="CD118" i="2"/>
  <c r="CD59" i="2"/>
  <c r="CD35" i="2"/>
  <c r="CD114" i="2"/>
  <c r="CD181" i="2"/>
  <c r="CD66" i="2"/>
  <c r="CD19" i="2"/>
  <c r="CD126" i="2"/>
  <c r="CD117" i="2"/>
  <c r="CD97" i="2"/>
  <c r="CD133" i="2"/>
  <c r="CD116" i="2"/>
  <c r="CD47" i="2"/>
  <c r="CD192" i="2"/>
  <c r="CD76" i="2"/>
  <c r="CD194" i="2"/>
  <c r="CD145" i="2"/>
  <c r="CD179" i="2"/>
  <c r="CD195" i="2"/>
  <c r="CD160" i="2"/>
  <c r="CD190" i="2"/>
  <c r="CD115" i="2"/>
  <c r="CD98" i="2"/>
  <c r="CD41" i="2"/>
  <c r="CD17" i="2"/>
  <c r="CD134" i="2"/>
  <c r="CD6" i="2"/>
  <c r="CD84" i="2"/>
  <c r="CD25" i="2"/>
  <c r="CD143" i="2"/>
  <c r="CD39" i="2"/>
  <c r="CD23" i="2"/>
  <c r="CD90" i="2"/>
  <c r="CD138" i="2"/>
  <c r="CD150" i="2"/>
  <c r="CD22" i="2"/>
  <c r="CD178" i="2"/>
  <c r="CD85" i="2"/>
  <c r="CD200" i="2"/>
  <c r="CD132" i="2"/>
  <c r="CD155" i="2"/>
  <c r="CD157" i="2"/>
  <c r="CD18" i="2"/>
  <c r="CD89" i="2"/>
  <c r="CD52" i="2"/>
  <c r="CD26" i="2"/>
  <c r="CD55" i="2"/>
  <c r="CD159" i="2"/>
  <c r="CD161" i="2"/>
  <c r="CD71" i="2"/>
  <c r="CD38" i="2"/>
  <c r="CD72" i="2"/>
  <c r="CD170" i="2"/>
  <c r="CD108" i="2"/>
  <c r="CD136" i="2"/>
  <c r="CD12" i="2"/>
  <c r="CD158" i="2"/>
  <c r="CD175" i="2"/>
  <c r="CD123" i="2"/>
  <c r="CD142" i="2"/>
  <c r="CD107" i="2"/>
  <c r="CD58" i="2"/>
  <c r="CD4" i="2"/>
  <c r="CD99" i="2"/>
  <c r="CD120" i="2"/>
  <c r="CD96" i="2"/>
  <c r="CD94" i="2"/>
  <c r="CD83" i="2"/>
  <c r="CD169" i="2"/>
  <c r="CD88" i="2"/>
  <c r="CD11" i="2"/>
  <c r="CD102" i="2"/>
  <c r="CD148" i="2"/>
  <c r="CD184" i="2"/>
  <c r="CD91" i="2"/>
  <c r="CD16" i="2"/>
  <c r="CD137" i="2"/>
  <c r="CD18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<sst xmlns="http://schemas.openxmlformats.org/spreadsheetml/2006/main" count="1182" uniqueCount="331">
  <si>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</si>
  <si>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</si>
  <si>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</si>
  <si>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</si>
  <si>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</si>
  <si>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</si>
  <si>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</si>
  <si>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</si>
  <si>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</si>
  <si>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</si>
  <si>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</si>
  <si>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</si>
  <si>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</si>
  <si>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</si>
  <si>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</si>
  <si>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</si>
  <si>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</si>
  <si>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</si>
  <si>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</si>
  <si>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</si>
  <si>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</si>
  <si>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</si>
  <si>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</si>
  <si>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</si>
  <si>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</si>
  <si>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</si>
  <si>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</si>
  <si>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</si>
  <si>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</si>
  <si>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</si>
  <si>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</si>
  <si>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</si>
  <si>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</si>
  <si>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</si>
  <si>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</si>
  <si>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</si>
  <si>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</si>
  <si>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</si>
  <si>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</si>
  <si>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</si>
  <si>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</si>
  <si>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</si>
  <si>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</si>
  <si>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</si>
  <si>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</si>
  <si>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</si>
  <si>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</si>
  <si>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</si>
  <si>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</si>
  <si>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</si>
  <si>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</si>
  <si>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</si>
  <si>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</si>
  <si>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</si>
  <si>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</si>
  <si>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</si>
  <si>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</si>
  <si>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</si>
  <si>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</si>
  <si>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</si>
  <si>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</si>
  <si>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</si>
  <si>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</si>
  <si>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</si>
  <si>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</si>
  <si>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</si>
  <si>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</si>
  <si>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</si>
  <si>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</si>
  <si>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</si>
  <si>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</si>
  <si>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</si>
  <si>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</si>
  <si>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</si>
  <si>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</si>
  <si>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</si>
  <si>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</si>
  <si>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</si>
  <si>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</si>
  <si>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</si>
  <si>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</si>
  <si>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</si>
  <si>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</si>
  <si>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</si>
  <si>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</si>
  <si>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</si>
  <si>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</si>
  <si>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</si>
  <si>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</si>
  <si>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</si>
  <si>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</si>
  <si>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</si>
  <si>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</si>
  <si>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</si>
  <si>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</si>
  <si>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</si>
  <si>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</si>
  <si>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</si>
  <si>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</si>
  <si>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</si>
  <si>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</si>
  <si>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</si>
  <si>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</si>
  <si>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</si>
  <si>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</si>
  <si>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</si>
  <si>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</si>
  <si>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</si>
  <si>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</si>
  <si>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</si>
  <si>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</si>
  <si>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</si>
  <si>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</si>
  <si>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</si>
  <si>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</si>
  <si>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</si>
  <si>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</si>
  <si>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</si>
  <si>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</si>
  <si>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</si>
  <si>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</si>
  <si>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</si>
  <si>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</si>
  <si>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</si>
  <si>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</si>
  <si>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</si>
  <si>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</si>
  <si>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</si>
  <si>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</si>
  <si>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</si>
  <si>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</si>
  <si>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</si>
  <si>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</si>
  <si>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</si>
  <si>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</si>
  <si>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</si>
  <si>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</si>
  <si>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</si>
  <si>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</si>
  <si>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</si>
  <si>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</si>
  <si>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</si>
  <si>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</si>
  <si>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</si>
  <si>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</si>
  <si>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</si>
  <si>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</si>
  <si>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</si>
  <si>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</si>
  <si>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</si>
  <si>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</si>
  <si>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</si>
  <si>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</si>
  <si>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</si>
  <si>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</si>
  <si>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</si>
  <si>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</si>
  <si>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</si>
  <si>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</si>
  <si>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</si>
  <si>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</si>
  <si>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</si>
  <si>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</si>
  <si>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</si>
  <si>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</si>
  <si>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</si>
  <si>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</si>
  <si>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</si>
  <si>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</si>
  <si>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</si>
  <si>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</si>
  <si>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</si>
  <si>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</si>
  <si>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</si>
  <si>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</si>
  <si>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</si>
  <si>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</si>
  <si>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</si>
  <si>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</si>
  <si>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</si>
  <si>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</si>
  <si>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</si>
  <si>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</si>
  <si>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</si>
  <si>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</si>
  <si>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</si>
  <si>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</si>
  <si>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</si>
  <si>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</si>
  <si>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</si>
  <si>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</si>
  <si>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</si>
  <si>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</si>
  <si>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</si>
  <si>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</si>
  <si>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</si>
  <si>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</si>
  <si>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</si>
  <si>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</si>
  <si>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</si>
  <si>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</si>
  <si>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</si>
  <si>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</si>
  <si>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</si>
  <si>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</si>
  <si>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</si>
  <si>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</si>
  <si>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</si>
  <si>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</si>
  <si>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</si>
  <si>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</si>
  <si>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</si>
  <si>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</si>
  <si>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</si>
  <si>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</si>
  <si>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</si>
  <si>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</si>
  <si>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</si>
  <si>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</si>
  <si>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</si>
  <si>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</si>
  <si>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</si>
  <si>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</si>
  <si>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</si>
  <si>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</si>
  <si>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</si>
  <si>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</si>
  <si>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</si>
  <si>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</si>
  <si>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</si>
  <si>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</si>
  <si>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</si>
  <si>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</si>
  <si>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</si>
  <si>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</si>
  <si>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</si>
  <si>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</si>
  <si>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</si>
  <si>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</si>
  <si>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</si>
  <si>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</si>
  <si>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</si>
  <si>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</si>
  <si>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</si>
  <si>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</si>
  <si>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</si>
  <si>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</si>
  <si>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</si>
  <si>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</si>
  <si>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</si>
  <si>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</si>
  <si>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</si>
  <si>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</si>
  <si>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</si>
  <si>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</si>
  <si>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</si>
  <si>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</si>
  <si>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</si>
  <si>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</si>
  <si>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</si>
  <si>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</si>
  <si>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</si>
  <si>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</si>
  <si>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</si>
  <si>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</si>
  <si>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</si>
  <si>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</si>
  <si>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</si>
  <si>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</si>
  <si>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</si>
  <si>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</si>
  <si>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</si>
  <si>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</si>
  <si>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</si>
  <si>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</si>
  <si>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</si>
  <si>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</si>
  <si>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</si>
  <si>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</si>
  <si>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</si>
  <si>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</si>
  <si>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</si>
  <si>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</si>
  <si>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</si>
  <si>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</si>
  <si>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</si>
  <si>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</si>
  <si>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</si>
  <si>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</si>
  <si>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</si>
  <si>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</si>
  <si>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</si>
  <si>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</si>
  <si>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</si>
  <si>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</si>
  <si>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</si>
  <si>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</si>
  <si>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</si>
  <si>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</si>
  <si>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</si>
  <si>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</si>
  <si>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</si>
  <si>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</si>
  <si>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</si>
  <si>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</si>
  <si>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</si>
  <si>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</si>
  <si>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</si>
  <si>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</si>
  <si>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</si>
  <si>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</si>
  <si>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</si>
  <si>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</si>
  <si>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</si>
  <si>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</si>
  <si>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</si>
  <si>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</si>
  <si>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</si>
  <si>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</si>
  <si>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</si>
  <si>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</si>
  <si>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</si>
  <si>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</si>
  <si>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</si>
  <si>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cloture</t>
  </si>
  <si>
    <t>MO expert</t>
  </si>
  <si>
    <t>côut plantation</t>
  </si>
  <si>
    <t>prépa sol</t>
  </si>
  <si>
    <t>Etretien 1</t>
  </si>
  <si>
    <t>Entretien 2</t>
  </si>
  <si>
    <t>Entretien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</si>
</sst>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179.93756030525932</c:v>
                </c:pt>
                <c:pt idx="22">
                  <c:v>199.04102959808708</c:v>
                </c:pt>
                <c:pt idx="23">
                  <c:v>218.10197382914802</c:v>
                </c:pt>
                <c:pt idx="24">
                  <c:v>237.12463272796364</c:v>
                </c:pt>
                <c:pt idx="25">
                  <c:v>256.11250961635932</c:v>
                </c:pt>
                <c:pt idx="26">
                  <c:v>275.06854562533431</c:v>
                </c:pt>
                <c:pt idx="27">
                  <c:v>293.99524327269938</c:v>
                </c:pt>
                <c:pt idx="28">
                  <c:v>312.894756501372</c:v>
                </c:pt>
                <c:pt idx="29">
                  <c:v>331.76895779885058</c:v>
                </c:pt>
                <c:pt idx="30">
                  <c:v>350.61948923031787</c:v>
                </c:pt>
                <c:pt idx="31">
                  <c:v>246.85427908940071</c:v>
                </c:pt>
                <c:pt idx="32">
                  <c:v>272.29637963914485</c:v>
                </c:pt>
                <c:pt idx="33">
                  <c:v>297.6850256263923</c:v>
                </c:pt>
                <c:pt idx="34">
                  <c:v>323.02541433745813</c:v>
                </c:pt>
                <c:pt idx="35">
                  <c:v>348.32186095767747</c:v>
                </c:pt>
                <c:pt idx="36">
                  <c:v>373.57800283389633</c:v>
                </c:pt>
                <c:pt idx="37">
                  <c:v>398.79694553728069</c:v>
                </c:pt>
                <c:pt idx="38">
                  <c:v>423.98137001578152</c:v>
                </c:pt>
                <c:pt idx="39">
                  <c:v>449.13361294375403</c:v>
                </c:pt>
                <c:pt idx="40">
                  <c:v>474.2557281284935</c:v>
                </c:pt>
                <c:pt idx="41">
                  <c:v>371.74248159061835</c:v>
                </c:pt>
                <c:pt idx="42">
                  <c:v>397.42227955689009</c:v>
                </c:pt>
                <c:pt idx="43">
                  <c:v>423.06614984150383</c:v>
                </c:pt>
                <c:pt idx="44">
                  <c:v>448.67657418793851</c:v>
                </c:pt>
                <c:pt idx="45">
                  <c:v>474.25572812849327</c:v>
                </c:pt>
                <c:pt idx="46">
                  <c:v>499.80553357858707</c:v>
                </c:pt>
                <c:pt idx="47">
                  <c:v>525.3277001173027</c:v>
                </c:pt>
                <c:pt idx="48">
                  <c:v>550.82375783003147</c:v>
                </c:pt>
                <c:pt idx="49">
                  <c:v>576.29508375625198</c:v>
                </c:pt>
                <c:pt idx="50">
                  <c:v>601.74292342066076</c:v>
                </c:pt>
                <c:pt idx="51">
                  <c:v>496.61335261438325</c:v>
                </c:pt>
                <c:pt idx="52">
                  <c:v>518.94966315449369</c:v>
                </c:pt>
                <c:pt idx="53">
                  <c:v>541.26570533267216</c:v>
                </c:pt>
                <c:pt idx="54">
                  <c:v>563.56243156269738</c:v>
                </c:pt>
                <c:pt idx="55">
                  <c:v>585.84071282237755</c:v>
                </c:pt>
                <c:pt idx="56">
                  <c:v>608.10134851099394</c:v>
                </c:pt>
                <c:pt idx="57">
                  <c:v>630.3450747892648</c:v>
                </c:pt>
                <c:pt idx="58">
                  <c:v>652.57257168177659</c:v>
                </c:pt>
                <c:pt idx="59">
                  <c:v>674.78446916222094</c:v>
                </c:pt>
                <c:pt idx="60">
                  <c:v>696.98135239645615</c:v>
                </c:pt>
                <c:pt idx="61">
                  <c:v>589.24907767799414</c:v>
                </c:pt>
                <c:pt idx="62">
                  <c:v>608.55546873013759</c:v>
                </c:pt>
                <c:pt idx="63">
                  <c:v>627.84915070361444</c:v>
                </c:pt>
                <c:pt idx="64">
                  <c:v>647.1305687794046</c:v>
                </c:pt>
                <c:pt idx="65">
                  <c:v>666.40013947144041</c:v>
                </c:pt>
                <c:pt idx="66">
                  <c:v>685.6582532649245</c:v>
                </c:pt>
                <c:pt idx="67">
                  <c:v>704.90527694308173</c:v>
                </c:pt>
                <c:pt idx="68">
                  <c:v>724.14155564680505</c:v>
                </c:pt>
                <c:pt idx="69">
                  <c:v>743.36741470427978</c:v>
                </c:pt>
                <c:pt idx="70">
                  <c:v>762.58316126167267</c:v>
                </c:pt>
                <c:pt idx="71">
                  <c:v>652.57257168177659</c:v>
                </c:pt>
                <c:pt idx="72">
                  <c:v>669.34623078085167</c:v>
                </c:pt>
                <c:pt idx="73">
                  <c:v>686.11125041916955</c:v>
                </c:pt>
                <c:pt idx="74">
                  <c:v>702.86787126188608</c:v>
                </c:pt>
                <c:pt idx="75">
                  <c:v>719.61632157321708</c:v>
                </c:pt>
                <c:pt idx="76">
                  <c:v>736.35681813507574</c:v>
                </c:pt>
                <c:pt idx="77">
                  <c:v>753.08956707789741</c:v>
                </c:pt>
                <c:pt idx="78">
                  <c:v>769.81476463385764</c:v>
                </c:pt>
                <c:pt idx="79">
                  <c:v>786.53259782128953</c:v>
                </c:pt>
                <c:pt idx="80">
                  <c:v>803.2432450679421</c:v>
                </c:pt>
                <c:pt idx="81">
                  <c:v>691.54673911683574</c:v>
                </c:pt>
                <c:pt idx="82">
                  <c:v>706.48984251569482</c:v>
                </c:pt>
                <c:pt idx="83">
                  <c:v>721.42648468096968</c:v>
                </c:pt>
                <c:pt idx="84">
                  <c:v>736.35681813507574</c:v>
                </c:pt>
                <c:pt idx="85">
                  <c:v>751.28098871588327</c:v>
                </c:pt>
                <c:pt idx="86">
                  <c:v>766.19913599937854</c:v>
                </c:pt>
                <c:pt idx="87">
                  <c:v>781.11139368772456</c:v>
                </c:pt>
                <c:pt idx="88">
                  <c:v>796.01788996617279</c:v>
                </c:pt>
                <c:pt idx="89">
                  <c:v>810.91874783187575</c:v>
                </c:pt>
                <c:pt idx="90">
                  <c:v>825.81408539729807</c:v>
                </c:pt>
                <c:pt idx="91">
                  <c:v>712.60105917771614</c:v>
                </c:pt>
                <c:pt idx="92">
                  <c:v>725.95148754575155</c:v>
                </c:pt>
                <c:pt idx="93">
                  <c:v>739.29691040004263</c:v>
                </c:pt>
                <c:pt idx="94">
                  <c:v>752.6374307699972</c:v>
                </c:pt>
                <c:pt idx="95">
                  <c:v>765.97314773736252</c:v>
                </c:pt>
                <c:pt idx="96">
                  <c:v>779.30415665500288</c:v>
                </c:pt>
                <c:pt idx="97">
                  <c:v>792.63054934994159</c:v>
                </c:pt>
                <c:pt idx="98">
                  <c:v>805.95241431204886</c:v>
                </c:pt>
                <c:pt idx="99">
                  <c:v>819.26983686961739</c:v>
                </c:pt>
                <c:pt idx="100">
                  <c:v>832.58289935293715</c:v>
                </c:pt>
                <c:pt idx="101">
                  <c:v>720.0688710536175</c:v>
                </c:pt>
                <c:pt idx="102">
                  <c:v>731.83313203630826</c:v>
                </c:pt>
                <c:pt idx="103">
                  <c:v>743.59354051117077</c:v>
                </c:pt>
                <c:pt idx="104">
                  <c:v>755.35016596146079</c:v>
                </c:pt>
                <c:pt idx="105">
                  <c:v>767.10307553239488</c:v>
                </c:pt>
                <c:pt idx="106">
                  <c:v>778.852334145187</c:v>
                </c:pt>
                <c:pt idx="107">
                  <c:v>790.59800460385122</c:v>
                </c:pt>
                <c:pt idx="108">
                  <c:v>802.34014769533258</c:v>
                </c:pt>
                <c:pt idx="109">
                  <c:v>814.07882228347592</c:v>
                </c:pt>
                <c:pt idx="110">
                  <c:v>825.81408539729716</c:v>
                </c:pt>
                <c:pt idx="111">
                  <c:v>720.74768439099</c:v>
                </c:pt>
                <c:pt idx="112">
                  <c:v>730.92832656071676</c:v>
                </c:pt>
                <c:pt idx="113">
                  <c:v>741.10607958467165</c:v>
                </c:pt>
                <c:pt idx="114">
                  <c:v>751.2809887158827</c:v>
                </c:pt>
                <c:pt idx="115">
                  <c:v>761.45309788222482</c:v>
                </c:pt>
                <c:pt idx="116">
                  <c:v>771.62244974278201</c:v>
                </c:pt>
                <c:pt idx="117">
                  <c:v>781.7890857410847</c:v>
                </c:pt>
                <c:pt idx="118">
                  <c:v>791.95304615543637</c:v>
                </c:pt>
                <c:pt idx="119">
                  <c:v>802.11437014652449</c:v>
                </c:pt>
                <c:pt idx="120">
                  <c:v>812.27309580249312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174.22927696087757</c:v>
                </c:pt>
                <c:pt idx="22">
                  <c:v>191.80061564080484</c:v>
                </c:pt>
                <c:pt idx="23">
                  <c:v>209.3344847569399</c:v>
                </c:pt>
                <c:pt idx="24">
                  <c:v>226.83446508061613</c:v>
                </c:pt>
                <c:pt idx="25">
                  <c:v>244.30353923844885</c:v>
                </c:pt>
                <c:pt idx="26">
                  <c:v>261.74422819048431</c:v>
                </c:pt>
                <c:pt idx="27">
                  <c:v>279.15868935410384</c:v>
                </c:pt>
                <c:pt idx="28">
                  <c:v>296.54878892259609</c:v>
                </c:pt>
                <c:pt idx="29">
                  <c:v>313.91615631143918</c:v>
                </c:pt>
                <c:pt idx="30">
                  <c:v>331.26222591378041</c:v>
                </c:pt>
                <c:pt idx="31">
                  <c:v>285.34825454721073</c:v>
                </c:pt>
                <c:pt idx="32">
                  <c:v>304.56723069319679</c:v>
                </c:pt>
                <c:pt idx="33">
                  <c:v>323.75924405165364</c:v>
                </c:pt>
                <c:pt idx="34">
                  <c:v>342.92611721533939</c:v>
                </c:pt>
                <c:pt idx="35">
                  <c:v>362.06945244173676</c:v>
                </c:pt>
                <c:pt idx="36">
                  <c:v>381.19066877305704</c:v>
                </c:pt>
                <c:pt idx="37">
                  <c:v>400.29103131634889</c:v>
                </c:pt>
                <c:pt idx="38">
                  <c:v>419.3716746420655</c:v>
                </c:pt>
                <c:pt idx="39">
                  <c:v>438.43362170168365</c:v>
                </c:pt>
                <c:pt idx="40">
                  <c:v>457.47779928386626</c:v>
                </c:pt>
                <c:pt idx="41">
                  <c:v>374.54223769767958</c:v>
                </c:pt>
                <c:pt idx="42">
                  <c:v>392.81938482304872</c:v>
                </c:pt>
                <c:pt idx="43">
                  <c:v>411.07809777850667</c:v>
                </c:pt>
                <c:pt idx="44">
                  <c:v>429.3193102010203</c:v>
                </c:pt>
                <c:pt idx="45">
                  <c:v>447.54386995067097</c:v>
                </c:pt>
                <c:pt idx="46">
                  <c:v>465.75255023516047</c:v>
                </c:pt>
                <c:pt idx="47">
                  <c:v>483.94605890429256</c:v>
                </c:pt>
                <c:pt idx="48">
                  <c:v>502.12504627431434</c:v>
                </c:pt>
                <c:pt idx="49">
                  <c:v>520.29011176051074</c:v>
                </c:pt>
                <c:pt idx="50">
                  <c:v>538.44180953565865</c:v>
                </c:pt>
                <c:pt idx="51">
                  <c:v>437.10815848543353</c:v>
                </c:pt>
                <c:pt idx="52">
                  <c:v>453.17366886059966</c:v>
                </c:pt>
                <c:pt idx="53">
                  <c:v>469.22700746867486</c:v>
                </c:pt>
                <c:pt idx="54">
                  <c:v>485.26864921222455</c:v>
                </c:pt>
                <c:pt idx="55">
                  <c:v>501.29903504753059</c:v>
                </c:pt>
                <c:pt idx="56">
                  <c:v>517.31857544145475</c:v>
                </c:pt>
                <c:pt idx="57">
                  <c:v>533.32765337796297</c:v>
                </c:pt>
                <c:pt idx="58">
                  <c:v>549.32662698500246</c:v>
                </c:pt>
                <c:pt idx="59">
                  <c:v>565.31583183955229</c:v>
                </c:pt>
                <c:pt idx="60">
                  <c:v>581.29558299844416</c:v>
                </c:pt>
                <c:pt idx="61">
                  <c:v>477.49732710594367</c:v>
                </c:pt>
                <c:pt idx="62">
                  <c:v>492.54153399430999</c:v>
                </c:pt>
                <c:pt idx="63">
                  <c:v>507.57600167435936</c:v>
                </c:pt>
                <c:pt idx="64">
                  <c:v>522.6010591481828</c:v>
                </c:pt>
                <c:pt idx="65">
                  <c:v>537.61701496454418</c:v>
                </c:pt>
                <c:pt idx="66">
                  <c:v>552.62415903802355</c:v>
                </c:pt>
                <c:pt idx="67">
                  <c:v>567.622764260351</c:v>
                </c:pt>
                <c:pt idx="68">
                  <c:v>582.61308793264345</c:v>
                </c:pt>
                <c:pt idx="69">
                  <c:v>597.59537304263813</c:v>
                </c:pt>
                <c:pt idx="70">
                  <c:v>612.56984940724203</c:v>
                </c:pt>
                <c:pt idx="71">
                  <c:v>512.86059483221413</c:v>
                </c:pt>
                <c:pt idx="72">
                  <c:v>526.89224796595829</c:v>
                </c:pt>
                <c:pt idx="73">
                  <c:v>540.91603412545055</c:v>
                </c:pt>
                <c:pt idx="74">
                  <c:v>554.9321859329973</c:v>
                </c:pt>
                <c:pt idx="75">
                  <c:v>568.94092330618594</c:v>
                </c:pt>
                <c:pt idx="76">
                  <c:v>582.94245445400566</c:v>
                </c:pt>
                <c:pt idx="77">
                  <c:v>596.93697677232785</c:v>
                </c:pt>
                <c:pt idx="78">
                  <c:v>610.92467765108358</c:v>
                </c:pt>
                <c:pt idx="79">
                  <c:v>624.90573520370583</c:v>
                </c:pt>
                <c:pt idx="80">
                  <c:v>638.88031892793185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116.89485563510304</c:v>
                </c:pt>
                <c:pt idx="22">
                  <c:v>131.72001628084266</c:v>
                </c:pt>
                <c:pt idx="23">
                  <c:v>146.50486807208301</c:v>
                </c:pt>
                <c:pt idx="24">
                  <c:v>161.25405583173711</c:v>
                </c:pt>
                <c:pt idx="25">
                  <c:v>175.97130339884507</c:v>
                </c:pt>
                <c:pt idx="26">
                  <c:v>190.65965977632126</c:v>
                </c:pt>
                <c:pt idx="27">
                  <c:v>205.32166516759025</c:v>
                </c:pt>
                <c:pt idx="28">
                  <c:v>219.95946695955351</c:v>
                </c:pt>
                <c:pt idx="29">
                  <c:v>234.57490313969427</c:v>
                </c:pt>
                <c:pt idx="30">
                  <c:v>249.16956379358496</c:v>
                </c:pt>
                <c:pt idx="31">
                  <c:v>200.90243103308021</c:v>
                </c:pt>
                <c:pt idx="32">
                  <c:v>219.95946695955351</c:v>
                </c:pt>
                <c:pt idx="33">
                  <c:v>238.97858846210613</c:v>
                </c:pt>
                <c:pt idx="34">
                  <c:v>257.96323733243617</c:v>
                </c:pt>
                <c:pt idx="35">
                  <c:v>276.91630711457987</c:v>
                </c:pt>
                <c:pt idx="36">
                  <c:v>295.84026279064108</c:v>
                </c:pt>
                <c:pt idx="37">
                  <c:v>314.7372281920492</c:v>
                </c:pt>
                <c:pt idx="38">
                  <c:v>333.60905129466971</c:v>
                </c:pt>
                <c:pt idx="39">
                  <c:v>352.45735395348788</c:v>
                </c:pt>
                <c:pt idx="40">
                  <c:v>371.28357043570469</c:v>
                </c:pt>
                <c:pt idx="41">
                  <c:v>293.76459769344609</c:v>
                </c:pt>
                <c:pt idx="42">
                  <c:v>312.89475650137189</c:v>
                </c:pt>
                <c:pt idx="43">
                  <c:v>331.9989817691162</c:v>
                </c:pt>
                <c:pt idx="44">
                  <c:v>351.07897517630312</c:v>
                </c:pt>
                <c:pt idx="45">
                  <c:v>370.13623838046755</c:v>
                </c:pt>
                <c:pt idx="46">
                  <c:v>389.17210583018453</c:v>
                </c:pt>
                <c:pt idx="47">
                  <c:v>408.18777082091782</c:v>
                </c:pt>
                <c:pt idx="48">
                  <c:v>427.18430644135782</c:v>
                </c:pt>
                <c:pt idx="49">
                  <c:v>446.16268259938101</c:v>
                </c:pt>
                <c:pt idx="50">
                  <c:v>465.12378000022363</c:v>
                </c:pt>
                <c:pt idx="51">
                  <c:v>386.87972063328522</c:v>
                </c:pt>
                <c:pt idx="52">
                  <c:v>404.75265083611265</c:v>
                </c:pt>
                <c:pt idx="53">
                  <c:v>422.60852377532825</c:v>
                </c:pt>
                <c:pt idx="54">
                  <c:v>440.44816126040695</c:v>
                </c:pt>
                <c:pt idx="55">
                  <c:v>458.27231312639077</c:v>
                </c:pt>
                <c:pt idx="56">
                  <c:v>476.08166614924016</c:v>
                </c:pt>
                <c:pt idx="57">
                  <c:v>493.87685155793548</c:v>
                </c:pt>
                <c:pt idx="58">
                  <c:v>511.65845140779737</c:v>
                </c:pt>
                <c:pt idx="59">
                  <c:v>529.42700402201615</c:v>
                </c:pt>
                <c:pt idx="60">
                  <c:v>547.18300866493496</c:v>
                </c:pt>
                <c:pt idx="61">
                  <c:v>467.40712233198627</c:v>
                </c:pt>
                <c:pt idx="62">
                  <c:v>483.3839347860071</c:v>
                </c:pt>
                <c:pt idx="63">
                  <c:v>499.34953422631787</c:v>
                </c:pt>
                <c:pt idx="64">
                  <c:v>515.30432949652743</c:v>
                </c:pt>
                <c:pt idx="65">
                  <c:v>531.2487020698627</c:v>
                </c:pt>
                <c:pt idx="66">
                  <c:v>547.18300866493496</c:v>
                </c:pt>
                <c:pt idx="67">
                  <c:v>563.10758354108691</c:v>
                </c:pt>
                <c:pt idx="68">
                  <c:v>579.02274052069481</c:v>
                </c:pt>
                <c:pt idx="69">
                  <c:v>594.92877477767308</c:v>
                </c:pt>
                <c:pt idx="70">
                  <c:v>610.82596442486022</c:v>
                </c:pt>
                <c:pt idx="71">
                  <c:v>529.19928249776444</c:v>
                </c:pt>
                <c:pt idx="72">
                  <c:v>543.08655802570433</c:v>
                </c:pt>
                <c:pt idx="73">
                  <c:v>556.96637999303061</c:v>
                </c:pt>
                <c:pt idx="74">
                  <c:v>570.83896024648345</c:v>
                </c:pt>
                <c:pt idx="75">
                  <c:v>584.70449950058844</c:v>
                </c:pt>
                <c:pt idx="76">
                  <c:v>598.56318817825183</c:v>
                </c:pt>
                <c:pt idx="77">
                  <c:v>612.4152071694856</c:v>
                </c:pt>
                <c:pt idx="78">
                  <c:v>626.26072851795345</c:v>
                </c:pt>
                <c:pt idx="79">
                  <c:v>640.09991604367588</c:v>
                </c:pt>
                <c:pt idx="80">
                  <c:v>653.93292590911119</c:v>
                </c:pt>
                <c:pt idx="81">
                  <c:v>571.29367866643076</c:v>
                </c:pt>
                <c:pt idx="82">
                  <c:v>584.02274942390375</c:v>
                </c:pt>
                <c:pt idx="83">
                  <c:v>596.74603902946581</c:v>
                </c:pt>
                <c:pt idx="84">
                  <c:v>609.46368807028455</c:v>
                </c:pt>
                <c:pt idx="85">
                  <c:v>622.17583079004964</c:v>
                </c:pt>
                <c:pt idx="86">
                  <c:v>634.8825955016722</c:v>
                </c:pt>
                <c:pt idx="87">
                  <c:v>647.58410496524175</c:v>
                </c:pt>
                <c:pt idx="88">
                  <c:v>660.28047673480012</c:v>
                </c:pt>
                <c:pt idx="89">
                  <c:v>672.97182347707405</c:v>
                </c:pt>
                <c:pt idx="90">
                  <c:v>685.65825326492529</c:v>
                </c:pt>
                <c:pt idx="91">
                  <c:v>601.51581107912864</c:v>
                </c:pt>
                <c:pt idx="92">
                  <c:v>612.6422348572687</c:v>
                </c:pt>
                <c:pt idx="93">
                  <c:v>623.76446791937724</c:v>
                </c:pt>
                <c:pt idx="94">
                  <c:v>634.8825955016722</c:v>
                </c:pt>
                <c:pt idx="95">
                  <c:v>645.9966996124806</c:v>
                </c:pt>
                <c:pt idx="96">
                  <c:v>657.10685920908134</c:v>
                </c:pt>
                <c:pt idx="97">
                  <c:v>668.213150361972</c:v>
                </c:pt>
                <c:pt idx="98">
                  <c:v>679.31564640765021</c:v>
                </c:pt>
                <c:pt idx="99">
                  <c:v>690.41441809089395</c:v>
                </c:pt>
                <c:pt idx="100">
                  <c:v>701.50953369741922</c:v>
                </c:pt>
                <c:pt idx="101">
                  <c:v>616.2744410035516</c:v>
                </c:pt>
                <c:pt idx="102">
                  <c:v>626.26072851795345</c:v>
                </c:pt>
                <c:pt idx="103">
                  <c:v>636.24372076531847</c:v>
                </c:pt>
                <c:pt idx="104">
                  <c:v>646.22347672875947</c:v>
                </c:pt>
                <c:pt idx="105">
                  <c:v>656.20005342145384</c:v>
                </c:pt>
                <c:pt idx="106">
                  <c:v>666.17350598202279</c:v>
                </c:pt>
                <c:pt idx="107">
                  <c:v>676.14388776390194</c:v>
                </c:pt>
                <c:pt idx="108">
                  <c:v>686.11125041916978</c:v>
                </c:pt>
                <c:pt idx="109">
                  <c:v>696.07564397725218</c:v>
                </c:pt>
                <c:pt idx="110">
                  <c:v>706.03711691888964</c:v>
                </c:pt>
                <c:pt idx="111">
                  <c:v>626.03380426043839</c:v>
                </c:pt>
                <c:pt idx="112">
                  <c:v>634.42887368260006</c:v>
                </c:pt>
                <c:pt idx="113">
                  <c:v>642.82164719403238</c:v>
                </c:pt>
                <c:pt idx="114">
                  <c:v>651.21215899492643</c:v>
                </c:pt>
                <c:pt idx="115">
                  <c:v>659.60044233238023</c:v>
                </c:pt>
                <c:pt idx="116">
                  <c:v>667.98652953900239</c:v>
                </c:pt>
                <c:pt idx="117">
                  <c:v>676.37045206947698</c:v>
                </c:pt>
                <c:pt idx="118">
                  <c:v>684.75224053522061</c:v>
                </c:pt>
                <c:pt idx="119">
                  <c:v>693.13192473725724</c:v>
                </c:pt>
                <c:pt idx="120">
                  <c:v>701.50953369741853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174.22927696087757</c:v>
                </c:pt>
                <c:pt idx="22">
                  <c:v>191.80061564080484</c:v>
                </c:pt>
                <c:pt idx="23">
                  <c:v>209.3344847569399</c:v>
                </c:pt>
                <c:pt idx="24">
                  <c:v>226.83446508061613</c:v>
                </c:pt>
                <c:pt idx="25">
                  <c:v>244.30353923844885</c:v>
                </c:pt>
                <c:pt idx="26">
                  <c:v>261.74422819048431</c:v>
                </c:pt>
                <c:pt idx="27">
                  <c:v>279.15868935410384</c:v>
                </c:pt>
                <c:pt idx="28">
                  <c:v>296.54878892259609</c:v>
                </c:pt>
                <c:pt idx="29">
                  <c:v>313.91615631143918</c:v>
                </c:pt>
                <c:pt idx="30">
                  <c:v>331.26222591378041</c:v>
                </c:pt>
                <c:pt idx="31">
                  <c:v>285.34825454721073</c:v>
                </c:pt>
                <c:pt idx="32">
                  <c:v>304.56723069319679</c:v>
                </c:pt>
                <c:pt idx="33">
                  <c:v>323.75924405165364</c:v>
                </c:pt>
                <c:pt idx="34">
                  <c:v>342.92611721533939</c:v>
                </c:pt>
                <c:pt idx="35">
                  <c:v>362.06945244173676</c:v>
                </c:pt>
                <c:pt idx="36">
                  <c:v>381.19066877305704</c:v>
                </c:pt>
                <c:pt idx="37">
                  <c:v>400.29103131634889</c:v>
                </c:pt>
                <c:pt idx="38">
                  <c:v>419.3716746420655</c:v>
                </c:pt>
                <c:pt idx="39">
                  <c:v>438.43362170168365</c:v>
                </c:pt>
                <c:pt idx="40">
                  <c:v>457.47779928386626</c:v>
                </c:pt>
                <c:pt idx="41">
                  <c:v>374.54223769767958</c:v>
                </c:pt>
                <c:pt idx="42">
                  <c:v>392.81938482304872</c:v>
                </c:pt>
                <c:pt idx="43">
                  <c:v>411.07809777850667</c:v>
                </c:pt>
                <c:pt idx="44">
                  <c:v>429.3193102010203</c:v>
                </c:pt>
                <c:pt idx="45">
                  <c:v>447.54386995067097</c:v>
                </c:pt>
                <c:pt idx="46">
                  <c:v>465.75255023516047</c:v>
                </c:pt>
                <c:pt idx="47">
                  <c:v>483.94605890429256</c:v>
                </c:pt>
                <c:pt idx="48">
                  <c:v>502.12504627431434</c:v>
                </c:pt>
                <c:pt idx="49">
                  <c:v>520.29011176051074</c:v>
                </c:pt>
                <c:pt idx="50">
                  <c:v>538.44180953565865</c:v>
                </c:pt>
                <c:pt idx="51">
                  <c:v>437.10815848543353</c:v>
                </c:pt>
                <c:pt idx="52">
                  <c:v>453.17366886059966</c:v>
                </c:pt>
                <c:pt idx="53">
                  <c:v>469.22700746867486</c:v>
                </c:pt>
                <c:pt idx="54">
                  <c:v>485.26864921222455</c:v>
                </c:pt>
                <c:pt idx="55">
                  <c:v>501.29903504753059</c:v>
                </c:pt>
                <c:pt idx="56">
                  <c:v>517.31857544145475</c:v>
                </c:pt>
                <c:pt idx="57">
                  <c:v>533.32765337796297</c:v>
                </c:pt>
                <c:pt idx="58">
                  <c:v>549.32662698500246</c:v>
                </c:pt>
                <c:pt idx="59">
                  <c:v>565.31583183955229</c:v>
                </c:pt>
                <c:pt idx="60">
                  <c:v>581.29558299844416</c:v>
                </c:pt>
                <c:pt idx="61">
                  <c:v>477.49732710594367</c:v>
                </c:pt>
                <c:pt idx="62">
                  <c:v>492.54153399430999</c:v>
                </c:pt>
                <c:pt idx="63">
                  <c:v>507.57600167435936</c:v>
                </c:pt>
                <c:pt idx="64">
                  <c:v>522.6010591481828</c:v>
                </c:pt>
                <c:pt idx="65">
                  <c:v>537.61701496454418</c:v>
                </c:pt>
                <c:pt idx="66">
                  <c:v>552.62415903802355</c:v>
                </c:pt>
                <c:pt idx="67">
                  <c:v>567.622764260351</c:v>
                </c:pt>
                <c:pt idx="68">
                  <c:v>582.61308793264345</c:v>
                </c:pt>
                <c:pt idx="69">
                  <c:v>597.59537304263813</c:v>
                </c:pt>
                <c:pt idx="70">
                  <c:v>612.56984940724203</c:v>
                </c:pt>
                <c:pt idx="71">
                  <c:v>512.86059483221413</c:v>
                </c:pt>
                <c:pt idx="72">
                  <c:v>526.89224796595829</c:v>
                </c:pt>
                <c:pt idx="73">
                  <c:v>540.91603412545055</c:v>
                </c:pt>
                <c:pt idx="74">
                  <c:v>554.9321859329973</c:v>
                </c:pt>
                <c:pt idx="75">
                  <c:v>568.94092330618594</c:v>
                </c:pt>
                <c:pt idx="76">
                  <c:v>582.94245445400566</c:v>
                </c:pt>
                <c:pt idx="77">
                  <c:v>596.93697677232785</c:v>
                </c:pt>
                <c:pt idx="78">
                  <c:v>610.92467765108358</c:v>
                </c:pt>
                <c:pt idx="79">
                  <c:v>624.90573520370583</c:v>
                </c:pt>
                <c:pt idx="80">
                  <c:v>638.88031892793185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Bureau\VSN\VSN%203%20-%20Client%20ponctuel\27-Louviers\GAIGNON\Subventions\LBC\Formulaire_Annexe_LBC_ANDREVILLE_GAIGNON_Emmanuel.xlsx" TargetMode="External"/><Relationship Id="rId1" Type="http://schemas.openxmlformats.org/officeDocument/2006/relationships/externalLinkPath" Target="/Bureau/VSN/VSN%203%20-%20Client%20ponctuel/27-Louviers/GAIGNON/Subventions/LBC/Formulaire_Annexe_LBC_ANDREVILLE_GAIGNON_Emman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e_signalétique_projet"/>
      <sheetName val="Cobenefices boisement"/>
      <sheetName val="Essences autochtones"/>
      <sheetName val="Cobénéfices reconstitution"/>
      <sheetName val="Diag Stationnel"/>
      <sheetName val="Description des itinéraires"/>
      <sheetName val="Vérification parcellaire"/>
      <sheetName val="Devis"/>
      <sheetName val="listes déroulantes"/>
      <sheetName val="autochtonie"/>
      <sheetName val="REE_ha_fertilit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H8">
            <v>1859.0000000000002</v>
          </cell>
        </row>
        <row r="9">
          <cell r="H9">
            <v>3717.9999999999995</v>
          </cell>
        </row>
        <row r="10">
          <cell r="H10">
            <v>1830.3999999999996</v>
          </cell>
        </row>
      </sheetData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F22" sqref="F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0.62483776087903253</v>
      </c>
      <c r="D9" s="33">
        <f t="shared" ref="D9:D18" si="0">C9*$C$5</f>
        <v>9.3725664131854884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52</v>
      </c>
      <c r="C10" s="32">
        <v>5.9508358178955487E-2</v>
      </c>
      <c r="D10" s="33">
        <f t="shared" si="0"/>
        <v>0.89262537268433229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29</v>
      </c>
      <c r="C11" s="32">
        <v>5.9508358178955487E-2</v>
      </c>
      <c r="D11" s="33">
        <f t="shared" si="0"/>
        <v>0.89262537268433229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14</v>
      </c>
      <c r="C12" s="32">
        <v>0.21516223912096749</v>
      </c>
      <c r="D12" s="33">
        <f t="shared" si="0"/>
        <v>3.2274335868145125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52</v>
      </c>
      <c r="C13" s="32">
        <v>2.0491641821044525E-2</v>
      </c>
      <c r="D13" s="33">
        <f t="shared" si="0"/>
        <v>0.30737462731566789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29</v>
      </c>
      <c r="C14" s="32">
        <v>2.0491641821044525E-2</v>
      </c>
      <c r="D14" s="33">
        <f t="shared" si="0"/>
        <v>0.30737462731566789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15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f>67+6</f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f>93+28+28</f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f>147+28+28</f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203+28+28</f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f>245+28+28</f>
        <v>301</v>
      </c>
      <c r="C40" s="60">
        <v>5</v>
      </c>
      <c r="D40" s="60">
        <f t="shared" ref="D40:D43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f>274+28+28</f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292+28+28</f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f>302+28+28</f>
        <v>358</v>
      </c>
      <c r="C43" s="60">
        <v>8</v>
      </c>
      <c r="D43" s="60">
        <f t="shared" si="2"/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f>306+28+27</f>
        <v>361</v>
      </c>
      <c r="C44" s="60">
        <v>9</v>
      </c>
      <c r="D44" s="60">
        <f>28+27</f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f>307+26+25</f>
        <v>358</v>
      </c>
      <c r="C45" s="60">
        <v>10</v>
      </c>
      <c r="D45" s="60">
        <f>26+25</f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305+24+23</f>
        <v>352</v>
      </c>
      <c r="C46" s="60">
        <v>11</v>
      </c>
      <c r="D46" s="60">
        <f>B46</f>
        <v>352</v>
      </c>
      <c r="E46" s="51"/>
      <c r="F46" s="51"/>
      <c r="G46" s="51"/>
      <c r="H46" s="51"/>
      <c r="I46" s="49">
        <f t="shared" si="1"/>
        <v>4.5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Cormier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f>67+6</f>
        <v>73</v>
      </c>
      <c r="C62" s="60">
        <v>1</v>
      </c>
      <c r="D62" s="60">
        <v>6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93+28+28</f>
        <v>149</v>
      </c>
      <c r="C63" s="60">
        <v>2</v>
      </c>
      <c r="D63" s="60">
        <f>28+28</f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147+28+28</f>
        <v>203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203+28+28</f>
        <v>259</v>
      </c>
      <c r="C65" s="60">
        <v>4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245+28+28</f>
        <v>301</v>
      </c>
      <c r="C66" s="60">
        <v>5</v>
      </c>
      <c r="D66" s="60">
        <f t="shared" ref="D66:D69" si="3">28+28</f>
        <v>56</v>
      </c>
      <c r="E66" s="51"/>
      <c r="F66" s="51"/>
      <c r="G66" s="51"/>
      <c r="H66" s="51"/>
      <c r="I66" s="49">
        <f t="shared" ref="I66:I81" si="4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274+28+28</f>
        <v>330</v>
      </c>
      <c r="C67" s="60">
        <v>6</v>
      </c>
      <c r="D67" s="60">
        <f t="shared" si="3"/>
        <v>56</v>
      </c>
      <c r="E67" s="51"/>
      <c r="F67" s="51"/>
      <c r="G67" s="51"/>
      <c r="H67" s="51"/>
      <c r="I67" s="49">
        <f t="shared" si="4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292+28+28</f>
        <v>348</v>
      </c>
      <c r="C68" s="60">
        <v>7</v>
      </c>
      <c r="D68" s="60">
        <f t="shared" si="3"/>
        <v>56</v>
      </c>
      <c r="E68" s="51"/>
      <c r="F68" s="51"/>
      <c r="G68" s="51"/>
      <c r="H68" s="51"/>
      <c r="I68" s="49">
        <f t="shared" si="4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302+28+28</f>
        <v>358</v>
      </c>
      <c r="C69" s="50">
        <v>8</v>
      </c>
      <c r="D69" s="50">
        <f t="shared" si="3"/>
        <v>56</v>
      </c>
      <c r="E69" s="51"/>
      <c r="F69" s="51"/>
      <c r="G69" s="51"/>
      <c r="H69" s="51"/>
      <c r="I69" s="49">
        <f t="shared" si="4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306+28+27</f>
        <v>361</v>
      </c>
      <c r="C70" s="50">
        <v>9</v>
      </c>
      <c r="D70" s="50">
        <f>28+27</f>
        <v>55</v>
      </c>
      <c r="E70" s="51"/>
      <c r="F70" s="51"/>
      <c r="G70" s="51"/>
      <c r="H70" s="51"/>
      <c r="I70" s="49">
        <f t="shared" si="4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f>307+26+25</f>
        <v>358</v>
      </c>
      <c r="C71" s="50">
        <v>10</v>
      </c>
      <c r="D71" s="50">
        <f>26+25</f>
        <v>51</v>
      </c>
      <c r="E71" s="51"/>
      <c r="F71" s="51"/>
      <c r="G71" s="51"/>
      <c r="H71" s="51"/>
      <c r="I71" s="49">
        <f t="shared" si="4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f>305+24+23</f>
        <v>352</v>
      </c>
      <c r="C72" s="50">
        <v>11</v>
      </c>
      <c r="D72" s="50">
        <f>B72</f>
        <v>352</v>
      </c>
      <c r="E72" s="51"/>
      <c r="F72" s="51"/>
      <c r="G72" s="51"/>
      <c r="H72" s="51"/>
      <c r="I72" s="49">
        <f t="shared" si="4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117</v>
      </c>
      <c r="C88" s="60">
        <v>1</v>
      </c>
      <c r="D88" s="60">
        <v>27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5.85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178+16</f>
        <v>194</v>
      </c>
      <c r="C89" s="60">
        <v>2</v>
      </c>
      <c r="D89" s="60">
        <f>16+23</f>
        <v>39</v>
      </c>
      <c r="E89" s="51">
        <v>0.1</v>
      </c>
      <c r="F89" s="51">
        <v>0.45</v>
      </c>
      <c r="G89" s="51">
        <v>0.45</v>
      </c>
      <c r="H89" s="87"/>
      <c r="I89" s="53">
        <f t="shared" ref="I89:I107" si="5">IF(A89&lt;&gt;0,(B89-(B88-D88))/(A89-A88),"")</f>
        <v>10.4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241+29</f>
        <v>270</v>
      </c>
      <c r="C90" s="60">
        <v>3</v>
      </c>
      <c r="D90" s="60">
        <f>29+32</f>
        <v>61</v>
      </c>
      <c r="E90" s="87"/>
      <c r="F90" s="87"/>
      <c r="G90" s="87"/>
      <c r="H90" s="87"/>
      <c r="I90" s="53">
        <f t="shared" si="5"/>
        <v>11.5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283+36</f>
        <v>319</v>
      </c>
      <c r="C91" s="60">
        <v>4</v>
      </c>
      <c r="D91" s="60">
        <f>36+35</f>
        <v>71</v>
      </c>
      <c r="E91" s="87"/>
      <c r="F91" s="87"/>
      <c r="G91" s="87"/>
      <c r="H91" s="87"/>
      <c r="I91" s="53">
        <f t="shared" si="5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310+35</f>
        <v>345</v>
      </c>
      <c r="C92" s="60">
        <v>5</v>
      </c>
      <c r="D92" s="60">
        <f>35+37</f>
        <v>72</v>
      </c>
      <c r="E92" s="87"/>
      <c r="F92" s="87"/>
      <c r="G92" s="87"/>
      <c r="H92" s="87"/>
      <c r="I92" s="53">
        <f t="shared" si="5"/>
        <v>9.6999999999999993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327+37</f>
        <v>364</v>
      </c>
      <c r="C93" s="60">
        <v>6</v>
      </c>
      <c r="D93" s="60">
        <f>37+32</f>
        <v>69</v>
      </c>
      <c r="E93" s="87"/>
      <c r="F93" s="87"/>
      <c r="G93" s="87"/>
      <c r="H93" s="87"/>
      <c r="I93" s="53">
        <f t="shared" si="5"/>
        <v>9.1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349+31</f>
        <v>380</v>
      </c>
      <c r="C94" s="60">
        <v>7</v>
      </c>
      <c r="D94" s="60">
        <f>B94</f>
        <v>380</v>
      </c>
      <c r="E94" s="87"/>
      <c r="F94" s="87"/>
      <c r="G94" s="87"/>
      <c r="H94" s="87"/>
      <c r="I94" s="53">
        <f t="shared" si="5"/>
        <v>8.5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5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5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76+8+21</f>
        <v>105</v>
      </c>
      <c r="C115" s="50">
        <v>1</v>
      </c>
      <c r="D115" s="60">
        <f>21+8</f>
        <v>29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6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116+21+21</f>
        <v>158</v>
      </c>
      <c r="C116" s="50">
        <v>2</v>
      </c>
      <c r="D116" s="60">
        <f>21+21</f>
        <v>42</v>
      </c>
      <c r="E116" s="51"/>
      <c r="F116" s="51"/>
      <c r="G116" s="51"/>
      <c r="H116" s="51"/>
      <c r="I116" s="53">
        <f t="shared" si="6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157+21+21</f>
        <v>199</v>
      </c>
      <c r="C117" s="50">
        <v>3</v>
      </c>
      <c r="D117" s="60">
        <f t="shared" ref="D117:D122" si="7">21+21</f>
        <v>42</v>
      </c>
      <c r="E117" s="51"/>
      <c r="F117" s="51"/>
      <c r="G117" s="51"/>
      <c r="H117" s="51"/>
      <c r="I117" s="53">
        <f t="shared" si="6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193+21+21</f>
        <v>235</v>
      </c>
      <c r="C118" s="50">
        <v>4</v>
      </c>
      <c r="D118" s="60">
        <f t="shared" si="7"/>
        <v>42</v>
      </c>
      <c r="E118" s="51"/>
      <c r="F118" s="51"/>
      <c r="G118" s="51"/>
      <c r="H118" s="51"/>
      <c r="I118" s="53">
        <f t="shared" si="6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221+21+21</f>
        <v>263</v>
      </c>
      <c r="C119" s="50">
        <v>5</v>
      </c>
      <c r="D119" s="60">
        <f t="shared" si="7"/>
        <v>42</v>
      </c>
      <c r="E119" s="51"/>
      <c r="F119" s="51"/>
      <c r="G119" s="51"/>
      <c r="H119" s="51"/>
      <c r="I119" s="53">
        <f t="shared" si="6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240+21+21</f>
        <v>282</v>
      </c>
      <c r="C120" s="60">
        <v>6</v>
      </c>
      <c r="D120" s="60">
        <f t="shared" si="7"/>
        <v>42</v>
      </c>
      <c r="E120" s="87"/>
      <c r="F120" s="87"/>
      <c r="G120" s="87"/>
      <c r="H120" s="87"/>
      <c r="I120" s="53">
        <f t="shared" si="6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254+21+21</f>
        <v>296</v>
      </c>
      <c r="C121" s="60">
        <v>7</v>
      </c>
      <c r="D121" s="60">
        <f t="shared" si="7"/>
        <v>42</v>
      </c>
      <c r="E121" s="87"/>
      <c r="F121" s="87"/>
      <c r="G121" s="87"/>
      <c r="H121" s="87"/>
      <c r="I121" s="53">
        <f t="shared" si="6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261+21+21</f>
        <v>303</v>
      </c>
      <c r="C122" s="60">
        <v>8</v>
      </c>
      <c r="D122" s="60">
        <f t="shared" si="7"/>
        <v>42</v>
      </c>
      <c r="E122" s="87"/>
      <c r="F122" s="87"/>
      <c r="G122" s="87"/>
      <c r="H122" s="87"/>
      <c r="I122" s="53">
        <f t="shared" si="6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266+20+19</f>
        <v>305</v>
      </c>
      <c r="C123" s="60">
        <v>9</v>
      </c>
      <c r="D123" s="60">
        <f>20+19</f>
        <v>39</v>
      </c>
      <c r="E123" s="87"/>
      <c r="F123" s="87"/>
      <c r="G123" s="87"/>
      <c r="H123" s="87"/>
      <c r="I123" s="53">
        <f t="shared" si="6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268+17+18</f>
        <v>303</v>
      </c>
      <c r="C124" s="60">
        <v>10</v>
      </c>
      <c r="D124" s="60">
        <f>B124</f>
        <v>303</v>
      </c>
      <c r="E124" s="87"/>
      <c r="F124" s="87"/>
      <c r="G124" s="87"/>
      <c r="H124" s="87"/>
      <c r="I124" s="53">
        <f t="shared" si="6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42</v>
      </c>
      <c r="C140" s="50"/>
      <c r="D140" s="60"/>
      <c r="E140" s="51"/>
      <c r="F140" s="51"/>
      <c r="G140" s="51"/>
      <c r="H140" s="51"/>
      <c r="I140" s="57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f>76+8+21</f>
        <v>105</v>
      </c>
      <c r="C141" s="50">
        <v>1</v>
      </c>
      <c r="D141" s="60">
        <f>21+8</f>
        <v>29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8">IF(A141&lt;&gt;0,(B141-(B140-D140))/(A141-A140),"")</f>
        <v>6.3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f>116+21+21</f>
        <v>158</v>
      </c>
      <c r="C142" s="50">
        <v>2</v>
      </c>
      <c r="D142" s="60">
        <f>21+21</f>
        <v>42</v>
      </c>
      <c r="E142" s="51"/>
      <c r="F142" s="51"/>
      <c r="G142" s="51"/>
      <c r="H142" s="51"/>
      <c r="I142" s="57">
        <f t="shared" si="8"/>
        <v>8.1999999999999993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157+21+21</f>
        <v>199</v>
      </c>
      <c r="C143" s="50">
        <v>3</v>
      </c>
      <c r="D143" s="60">
        <f t="shared" ref="D143:D148" si="9">21+21</f>
        <v>42</v>
      </c>
      <c r="E143" s="51"/>
      <c r="F143" s="51"/>
      <c r="G143" s="51"/>
      <c r="H143" s="51"/>
      <c r="I143" s="57">
        <f t="shared" si="8"/>
        <v>8.3000000000000007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193+21+21</f>
        <v>235</v>
      </c>
      <c r="C144" s="50">
        <v>4</v>
      </c>
      <c r="D144" s="60">
        <f t="shared" si="9"/>
        <v>42</v>
      </c>
      <c r="E144" s="51"/>
      <c r="F144" s="51"/>
      <c r="G144" s="51"/>
      <c r="H144" s="51"/>
      <c r="I144" s="57">
        <f t="shared" si="8"/>
        <v>7.8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221+21+21</f>
        <v>263</v>
      </c>
      <c r="C145" s="50">
        <v>5</v>
      </c>
      <c r="D145" s="60">
        <f t="shared" si="9"/>
        <v>42</v>
      </c>
      <c r="E145" s="51"/>
      <c r="F145" s="51"/>
      <c r="G145" s="51"/>
      <c r="H145" s="51"/>
      <c r="I145" s="57">
        <f t="shared" si="8"/>
        <v>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240+21+21</f>
        <v>282</v>
      </c>
      <c r="C146" s="50">
        <v>6</v>
      </c>
      <c r="D146" s="60">
        <f t="shared" si="9"/>
        <v>42</v>
      </c>
      <c r="E146" s="51"/>
      <c r="F146" s="51"/>
      <c r="G146" s="51"/>
      <c r="H146" s="51"/>
      <c r="I146" s="57">
        <f t="shared" si="8"/>
        <v>6.1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f>254+21+21</f>
        <v>296</v>
      </c>
      <c r="C147" s="50">
        <v>7</v>
      </c>
      <c r="D147" s="60">
        <f t="shared" si="9"/>
        <v>42</v>
      </c>
      <c r="E147" s="51"/>
      <c r="F147" s="51"/>
      <c r="G147" s="51"/>
      <c r="H147" s="51"/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f>261+21+21</f>
        <v>303</v>
      </c>
      <c r="C148" s="50">
        <v>8</v>
      </c>
      <c r="D148" s="60">
        <f t="shared" si="9"/>
        <v>42</v>
      </c>
      <c r="E148" s="51"/>
      <c r="F148" s="51"/>
      <c r="G148" s="51"/>
      <c r="H148" s="51"/>
      <c r="I148" s="57">
        <f t="shared" si="8"/>
        <v>4.9000000000000004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f>266+20+19</f>
        <v>305</v>
      </c>
      <c r="C149" s="50">
        <v>9</v>
      </c>
      <c r="D149" s="60">
        <f>20+19</f>
        <v>39</v>
      </c>
      <c r="E149" s="51"/>
      <c r="F149" s="51"/>
      <c r="G149" s="51"/>
      <c r="H149" s="51"/>
      <c r="I149" s="57">
        <f t="shared" si="8"/>
        <v>4.4000000000000004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268+17+18</f>
        <v>303</v>
      </c>
      <c r="C150" s="50">
        <v>10</v>
      </c>
      <c r="D150" s="60">
        <f>B150</f>
        <v>303</v>
      </c>
      <c r="E150" s="51"/>
      <c r="F150" s="51"/>
      <c r="G150" s="51"/>
      <c r="H150" s="51"/>
      <c r="I150" s="57">
        <f t="shared" si="8"/>
        <v>3.7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8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8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8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8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8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8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8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8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8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Merisier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117</v>
      </c>
      <c r="C166" s="60">
        <v>1</v>
      </c>
      <c r="D166" s="60">
        <v>27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5.85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f>178+16</f>
        <v>194</v>
      </c>
      <c r="C167" s="60">
        <v>2</v>
      </c>
      <c r="D167" s="60">
        <f>16+23</f>
        <v>39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10">IF(A167&lt;&gt;0,(B167-(B166-D166))/(A167-A166),"")</f>
        <v>10.4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f>241+29</f>
        <v>270</v>
      </c>
      <c r="C168" s="60">
        <v>3</v>
      </c>
      <c r="D168" s="60">
        <f>29+32</f>
        <v>61</v>
      </c>
      <c r="E168" s="51"/>
      <c r="F168" s="51"/>
      <c r="G168" s="51"/>
      <c r="H168" s="51"/>
      <c r="I168" s="49">
        <f t="shared" si="10"/>
        <v>11.5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f>283+36</f>
        <v>319</v>
      </c>
      <c r="C169" s="60">
        <v>4</v>
      </c>
      <c r="D169" s="60">
        <f>36+35</f>
        <v>71</v>
      </c>
      <c r="E169" s="51"/>
      <c r="F169" s="51"/>
      <c r="G169" s="51"/>
      <c r="H169" s="51"/>
      <c r="I169" s="49">
        <f t="shared" si="10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f>310+35</f>
        <v>345</v>
      </c>
      <c r="C170" s="60">
        <v>5</v>
      </c>
      <c r="D170" s="60">
        <f>35+37</f>
        <v>72</v>
      </c>
      <c r="E170" s="51"/>
      <c r="F170" s="51"/>
      <c r="G170" s="51"/>
      <c r="H170" s="51"/>
      <c r="I170" s="49">
        <f t="shared" si="10"/>
        <v>9.6999999999999993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f>327+37</f>
        <v>364</v>
      </c>
      <c r="C171" s="60">
        <v>6</v>
      </c>
      <c r="D171" s="60">
        <f>37+32</f>
        <v>69</v>
      </c>
      <c r="E171" s="51"/>
      <c r="F171" s="51"/>
      <c r="G171" s="51"/>
      <c r="H171" s="51"/>
      <c r="I171" s="49">
        <f t="shared" si="10"/>
        <v>9.1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349+31</f>
        <v>380</v>
      </c>
      <c r="C172" s="60">
        <v>7</v>
      </c>
      <c r="D172" s="60">
        <f>B172</f>
        <v>380</v>
      </c>
      <c r="E172" s="51"/>
      <c r="F172" s="51"/>
      <c r="G172" s="51"/>
      <c r="H172" s="51"/>
      <c r="I172" s="49">
        <f t="shared" si="10"/>
        <v>8.5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10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10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10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10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10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10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10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10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10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10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10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10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10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11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11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11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11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11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11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11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11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11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11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11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1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1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1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1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1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1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1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1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2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2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2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2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2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2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2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2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2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2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2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2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2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2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2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2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2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2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2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3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3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3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3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3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3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3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3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3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3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3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3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3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3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3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3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3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4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4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4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4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4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4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4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4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4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4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4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4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4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4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4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4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4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4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Cormier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Merisier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Merisier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469.68830256438338</v>
      </c>
      <c r="T3" s="59">
        <f>IF('Données projet'!E9&gt;30,$R$33-$H$33,LOOKUP('Données projet'!$E$9,$A$3:$A$203,R3:R203)-LOOKUP('Données projet'!$E$9,$A$3:$A$203,$H$3:$H$203))</f>
        <v>332.61387922152159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550.66682372933292</v>
      </c>
      <c r="AO3" s="59">
        <f>IF('Données projet'!E10&gt;30,$AM$33-$H$33,LOOKUP('Données projet'!$E$10,$A$3:$A$203,AM3:AM203)-LOOKUP('Données projet'!$E$10,$A$3:$A$203,$H$3:$H$203))</f>
        <v>387.28615589698444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376.33792692771908</v>
      </c>
      <c r="BJ3" s="59">
        <f>IF('Données projet'!E11&gt;30,$BH$33-$H$33,LOOKUP('Données projet'!$E$11,$A$3:$A$203,BH3:BH203)-LOOKUP('Données projet'!$E$11,$A$3:$A$203,$H$3:$H$203))</f>
        <v>367.92889258044698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388.50131600273431</v>
      </c>
      <c r="CE3" s="59">
        <f>IF('Données projet'!E12&gt;30,$CC$33-$H$33,LOOKUP('Données projet'!$E$12,$A$3:$A$203,CC3:CC203)-LOOKUP('Données projet'!$E$12,$A$3:$A$203,$H$3:$H$203))</f>
        <v>247.01165577562955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454.43000549907373</v>
      </c>
      <c r="CZ3" s="59">
        <f>IF('Données projet'!E13&gt;30,$CX$33-$H$33,LOOKUP('Données projet'!$E$13,$A$3:$A$203,CX3:CX203)-LOOKUP('Données projet'!$E$13,$A$3:$A$203,$H$3:$H$203))</f>
        <v>285.83623046025156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376.33792692771908</v>
      </c>
      <c r="DU3" s="59">
        <f>IF('Données projet'!E14&gt;30,$DS$33-$H$33,LOOKUP('Données projet'!$E$14,$A$3:$A$203,DS3:DS203)-LOOKUP('Données projet'!$E$14,$A$3:$A$203,$H$3:$H$203))</f>
        <v>367.92889258044698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469.68830256438338</v>
      </c>
      <c r="T4" s="59">
        <f>$T$3</f>
        <v>332.61387922152159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1.3339508622607719</v>
      </c>
      <c r="AK4" s="13">
        <f>EXP(-1.0587+0.8836*LN(AJ4)+0.284)</f>
        <v>0.59446408362489378</v>
      </c>
      <c r="AL4" s="20">
        <f t="shared" ref="AL4:AL67" si="4">(AJ4+AK4)*0.475*44/12</f>
        <v>3.3586560307508679</v>
      </c>
      <c r="AM4" s="59">
        <f t="shared" ref="AM4:AM67" si="5">AL4+(AD4+AE4)*44/12</f>
        <v>261.24754491963972</v>
      </c>
      <c r="AN4" s="59">
        <f ca="1">AVERAGE(OFFSET($AM$3,0,0,'Données projet'!$E$10+1,1))-AVERAGE(OFFSET($H$3,0,0,'Données projet'!$E$10+1,1))</f>
        <v>550.66682372933292</v>
      </c>
      <c r="AO4" s="59">
        <f>$AO$3</f>
        <v>387.28615589698444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5.85</v>
      </c>
      <c r="BD4" s="12">
        <f>IF('Données projet'!$A$88&gt;35,BD3+BC4-BL3,IF(A4&lt;'Données projet'!$A$88,$BA$205^A4,IF(A4='Données projet'!$A$88,'Données projet'!$B$88,BD3+BC4-BL3)))</f>
        <v>1.2688471048731957</v>
      </c>
      <c r="BE4" s="13">
        <f>BD4*VLOOKUP('Données projet'!$B$11,Paramètres!$A$1:$I$89,3,0)*VLOOKUP('Données projet'!$B$11,Paramètres!$A$1:$I$89,5,0)</f>
        <v>0.98970074180109269</v>
      </c>
      <c r="BF4" s="13">
        <f>EXP(-1.0587+0.8836*LN(BE4)+0.284)</f>
        <v>0.45664563134517483</v>
      </c>
      <c r="BG4" s="20">
        <f t="shared" ref="BG4:BG67" si="7">(BE4+BF4)*0.475*44/12</f>
        <v>2.5190532665630827</v>
      </c>
      <c r="BH4" s="59">
        <f t="shared" ref="BH4:BH67" si="8">BG4+(AY4+AZ4)*44/12</f>
        <v>260.40794215545196</v>
      </c>
      <c r="BI4" s="59">
        <f ca="1">AVERAGE(OFFSET($BH$3,0,0,'Données projet'!$E$11+1,1))-AVERAGE(OFFSET($H$3,0,0,'Données projet'!$E$11+1,1))</f>
        <v>376.33792692771908</v>
      </c>
      <c r="BJ4" s="59">
        <f>$BJ$3</f>
        <v>367.92889258044698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1.0907244698905405</v>
      </c>
      <c r="CA4" s="13">
        <f>EXP(-1.0587+0.8836*LN(BZ4)+0.284)</f>
        <v>0.49759623852608204</v>
      </c>
      <c r="CB4" s="20">
        <f t="shared" ref="CB4:CB67" si="10">(BZ4+CA4)*0.475*44/12</f>
        <v>2.7663252338256172</v>
      </c>
      <c r="CC4" s="59">
        <f t="shared" ref="CC4:CC67" si="11">CB4+(BT4+BU4)*44/12</f>
        <v>260.65521412271448</v>
      </c>
      <c r="CD4" s="59">
        <f ca="1">AVERAGE(OFFSET($CC$3,0,0,'Données projet'!$E$12+1,1))-AVERAGE(OFFSET($H$3,0,0,'Données projet'!$E$12+1,1))</f>
        <v>388.50131600273431</v>
      </c>
      <c r="CE4" s="59">
        <f>$CE$3</f>
        <v>247.01165577562955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1.2975860072835741</v>
      </c>
      <c r="CV4" s="13">
        <f>EXP(-1.0587+0.8836*LN(CU4)+0.284)</f>
        <v>0.58012177912374829</v>
      </c>
      <c r="CW4" s="20">
        <f t="shared" ref="CW4:CW67" si="13">(CU4+CV4)*0.475*44/12</f>
        <v>3.2703410613260862</v>
      </c>
      <c r="CX4" s="59">
        <f t="shared" ref="CX4:CX67" si="14">CW4+(CO4+CP4)*44/12</f>
        <v>261.15922995021492</v>
      </c>
      <c r="CY4" s="59">
        <f ca="1">AVERAGE(OFFSET($CX$3,0,0,'Données projet'!$E$13+1,1))-AVERAGE(OFFSET($H$3,0,0,'Données projet'!$E$13+1,1))</f>
        <v>454.43000549907373</v>
      </c>
      <c r="CZ4" s="59">
        <f>$CZ$3</f>
        <v>285.83623046025156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5.85</v>
      </c>
      <c r="DO4" s="12">
        <f>IF('Données projet'!$A$166&gt;35,DO3+DN4-DW3,IF(A4&lt;'Données projet'!$A$166,$DL$205^A4,IF(A4='Données projet'!$A$166,'Données projet'!$B$166,DO3+DN4-DW3)))</f>
        <v>1.2688471048731957</v>
      </c>
      <c r="DP4" s="17">
        <f>DO4*VLOOKUP('Données projet'!$B$14,Paramètres!$A$1:$I$89,3,0)*VLOOKUP('Données projet'!$B$14,Paramètres!$A$1:$I$89,5,0)</f>
        <v>0.98970074180109269</v>
      </c>
      <c r="DQ4" s="13">
        <f>EXP(-1.0587+0.8836*LN(DP4)+0.284)</f>
        <v>0.45664563134517483</v>
      </c>
      <c r="DR4" s="20">
        <f t="shared" ref="DR4:DR67" si="16">(DP4+DQ4)*0.475*44/12</f>
        <v>2.5190532665630827</v>
      </c>
      <c r="DS4" s="59">
        <f t="shared" ref="DS4:DS67" si="17">DR4+(DJ4+DK4)*44/12</f>
        <v>260.40794215545196</v>
      </c>
      <c r="DT4" s="59">
        <f ca="1">AVERAGE(OFFSET($DS$3,0,0,'Données projet'!$E$14+1,1))-AVERAGE(OFFSET($H$3,0,0,'Données projet'!$E$14+1,1))</f>
        <v>376.33792692771908</v>
      </c>
      <c r="DU4" s="59">
        <f>$DU$3</f>
        <v>367.92889258044698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469.68830256438338</v>
      </c>
      <c r="T5" s="59">
        <f t="shared" ref="T5:T68" si="34">$T$3</f>
        <v>332.61387922152159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1.6531260710946272</v>
      </c>
      <c r="AK5" s="13">
        <f t="shared" ref="AK5:AK68" si="35">EXP(-1.0587+0.8836*LN(AJ5)+0.284)</f>
        <v>0.7185338367382873</v>
      </c>
      <c r="AL5" s="20">
        <f t="shared" si="4"/>
        <v>4.1306410061423255</v>
      </c>
      <c r="AM5" s="59">
        <f t="shared" si="5"/>
        <v>263.24175211725344</v>
      </c>
      <c r="AN5" s="59">
        <f ca="1">AVERAGE(OFFSET($AM$3,0,0,'Données projet'!$E$10+1,1))-AVERAGE(OFFSET($H$3,0,0,'Données projet'!$E$10+1,1))</f>
        <v>550.66682372933292</v>
      </c>
      <c r="AO5" s="59">
        <f t="shared" ref="AO5:AO68" si="36">$AO$3</f>
        <v>387.28615589698444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5.85</v>
      </c>
      <c r="BD5" s="12">
        <f>IF('Données projet'!$A$88&gt;35,BD4+BC5-BL4,IF(A5&lt;'Données projet'!$A$88,$BA$205^A5,IF(A5='Données projet'!$A$88,'Données projet'!$B$88,BD4+BC5-BL4)))</f>
        <v>1.6099729755450907</v>
      </c>
      <c r="BE5" s="13">
        <f>BD5*VLOOKUP('Données projet'!$B$11,Paramètres!$A$1:$I$89,3,0)*VLOOKUP('Données projet'!$B$11,Paramètres!$A$1:$I$89,5,0)</f>
        <v>1.2557789209251708</v>
      </c>
      <c r="BF5" s="13">
        <f t="shared" ref="BF5:BF68" si="37">EXP(-1.0587+0.8836*LN(BE5)+0.284)</f>
        <v>0.56357505040869538</v>
      </c>
      <c r="BG5" s="20">
        <f t="shared" si="7"/>
        <v>3.1687081667398167</v>
      </c>
      <c r="BH5" s="59">
        <f t="shared" si="8"/>
        <v>262.27981927785095</v>
      </c>
      <c r="BI5" s="59">
        <f ca="1">AVERAGE(OFFSET($BH$3,0,0,'Données projet'!$E$11+1,1))-AVERAGE(OFFSET($H$3,0,0,'Données projet'!$E$11+1,1))</f>
        <v>376.33792692771908</v>
      </c>
      <c r="BJ5" s="59">
        <f t="shared" ref="BJ5:BJ68" si="38">$BJ$3</f>
        <v>367.92889258044698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1.3148539668633961</v>
      </c>
      <c r="CA5" s="13">
        <f t="shared" ref="CA5:CA68" si="39">EXP(-1.0587+0.8836*LN(BZ5)+0.284)</f>
        <v>0.58693801963664449</v>
      </c>
      <c r="CB5" s="20">
        <f t="shared" si="10"/>
        <v>3.3122877098209038</v>
      </c>
      <c r="CC5" s="59">
        <f t="shared" si="11"/>
        <v>262.42339882093205</v>
      </c>
      <c r="CD5" s="59">
        <f ca="1">AVERAGE(OFFSET($CC$3,0,0,'Données projet'!$E$12+1,1))-AVERAGE(OFFSET($H$3,0,0,'Données projet'!$E$12+1,1))</f>
        <v>388.50131600273431</v>
      </c>
      <c r="CE5" s="59">
        <f t="shared" ref="CE5:CE68" si="40">$CE$3</f>
        <v>247.01165577562955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1.5642228226478332</v>
      </c>
      <c r="CV5" s="13">
        <f t="shared" ref="CV5:CV68" si="41">EXP(-1.0587+0.8836*LN(CU5)+0.284)</f>
        <v>0.68428075179095682</v>
      </c>
      <c r="CW5" s="20">
        <f t="shared" si="13"/>
        <v>3.9161437254808931</v>
      </c>
      <c r="CX5" s="59">
        <f t="shared" si="14"/>
        <v>263.02725483659202</v>
      </c>
      <c r="CY5" s="59">
        <f ca="1">AVERAGE(OFFSET($CX$3,0,0,'Données projet'!$E$13+1,1))-AVERAGE(OFFSET($H$3,0,0,'Données projet'!$E$13+1,1))</f>
        <v>454.43000549907373</v>
      </c>
      <c r="CZ5" s="59">
        <f t="shared" ref="CZ5:CZ68" si="42">$CZ$3</f>
        <v>285.83623046025156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5.85</v>
      </c>
      <c r="DO5" s="12">
        <f>IF('Données projet'!$A$166&gt;35,DO4+DN5-DW4,IF(A5&lt;'Données projet'!$A$166,$DL$205^A5,IF(A5='Données projet'!$A$166,'Données projet'!$B$166,DO4+DN5-DW4)))</f>
        <v>1.6099729755450907</v>
      </c>
      <c r="DP5" s="17">
        <f>DO5*VLOOKUP('Données projet'!$B$14,Paramètres!$A$1:$I$89,3,0)*VLOOKUP('Données projet'!$B$14,Paramètres!$A$1:$I$89,5,0)</f>
        <v>1.2557789209251708</v>
      </c>
      <c r="DQ5" s="13">
        <f t="shared" ref="DQ5:DQ68" si="43">EXP(-1.0587+0.8836*LN(DP5)+0.284)</f>
        <v>0.56357505040869538</v>
      </c>
      <c r="DR5" s="20">
        <f t="shared" si="16"/>
        <v>3.1687081667398167</v>
      </c>
      <c r="DS5" s="59">
        <f t="shared" si="17"/>
        <v>262.27981927785095</v>
      </c>
      <c r="DT5" s="59">
        <f ca="1">AVERAGE(OFFSET($DS$3,0,0,'Données projet'!$E$14+1,1))-AVERAGE(OFFSET($H$3,0,0,'Données projet'!$E$14+1,1))</f>
        <v>376.33792692771908</v>
      </c>
      <c r="DU5" s="59">
        <f t="shared" ref="DU5:DU68" si="44">$DU$3</f>
        <v>367.92889258044698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469.68830256438338</v>
      </c>
      <c r="T6" s="59">
        <f t="shared" si="34"/>
        <v>332.61387922152159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2.0486705202177999</v>
      </c>
      <c r="AK6" s="13">
        <f t="shared" si="35"/>
        <v>0.86849801150244532</v>
      </c>
      <c r="AL6" s="20">
        <f t="shared" si="4"/>
        <v>5.0807351927460944</v>
      </c>
      <c r="AM6" s="59">
        <f t="shared" si="5"/>
        <v>265.4140685260794</v>
      </c>
      <c r="AN6" s="59">
        <f ca="1">AVERAGE(OFFSET($AM$3,0,0,'Données projet'!$E$10+1,1))-AVERAGE(OFFSET($H$3,0,0,'Données projet'!$E$10+1,1))</f>
        <v>550.66682372933292</v>
      </c>
      <c r="AO6" s="59">
        <f t="shared" si="36"/>
        <v>387.28615589698444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5.85</v>
      </c>
      <c r="BD6" s="12">
        <f>IF('Données projet'!$A$88&gt;35,BD5+BC6-BL5,IF(A6&lt;'Données projet'!$A$88,$BA$205^A6,IF(A6='Données projet'!$A$88,'Données projet'!$B$88,BD5+BC6-BL5)))</f>
        <v>2.0428095489444726</v>
      </c>
      <c r="BE6" s="13">
        <f>BD6*VLOOKUP('Données projet'!$B$11,Paramètres!$A$1:$I$89,3,0)*VLOOKUP('Données projet'!$B$11,Paramètres!$A$1:$I$89,5,0)</f>
        <v>1.5933914481766887</v>
      </c>
      <c r="BF6" s="13">
        <f t="shared" si="37"/>
        <v>0.69554336150668106</v>
      </c>
      <c r="BG6" s="20">
        <f t="shared" si="7"/>
        <v>3.9865614601985349</v>
      </c>
      <c r="BH6" s="59">
        <f t="shared" si="8"/>
        <v>264.31989479353183</v>
      </c>
      <c r="BI6" s="59">
        <f ca="1">AVERAGE(OFFSET($BH$3,0,0,'Données projet'!$E$11+1,1))-AVERAGE(OFFSET($H$3,0,0,'Données projet'!$E$11+1,1))</f>
        <v>376.33792692771908</v>
      </c>
      <c r="BJ6" s="59">
        <f t="shared" si="38"/>
        <v>367.92889258044698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1.5850391202371266</v>
      </c>
      <c r="CA6" s="13">
        <f t="shared" si="39"/>
        <v>0.69232082604846479</v>
      </c>
      <c r="CB6" s="20">
        <f t="shared" si="10"/>
        <v>3.966401906447405</v>
      </c>
      <c r="CC6" s="59">
        <f t="shared" si="11"/>
        <v>264.29973523978072</v>
      </c>
      <c r="CD6" s="59">
        <f ca="1">AVERAGE(OFFSET($CC$3,0,0,'Données projet'!$E$12+1,1))-AVERAGE(OFFSET($H$3,0,0,'Données projet'!$E$12+1,1))</f>
        <v>388.50131600273431</v>
      </c>
      <c r="CE6" s="59">
        <f t="shared" si="40"/>
        <v>247.01165577562955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1.885649987868306</v>
      </c>
      <c r="CV6" s="13">
        <f t="shared" si="41"/>
        <v>0.8071411281590839</v>
      </c>
      <c r="CW6" s="20">
        <f t="shared" si="13"/>
        <v>4.6899445270810372</v>
      </c>
      <c r="CX6" s="59">
        <f t="shared" si="14"/>
        <v>265.02327786041434</v>
      </c>
      <c r="CY6" s="59">
        <f ca="1">AVERAGE(OFFSET($CX$3,0,0,'Données projet'!$E$13+1,1))-AVERAGE(OFFSET($H$3,0,0,'Données projet'!$E$13+1,1))</f>
        <v>454.43000549907373</v>
      </c>
      <c r="CZ6" s="59">
        <f t="shared" si="42"/>
        <v>285.83623046025156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5.85</v>
      </c>
      <c r="DO6" s="12">
        <f>IF('Données projet'!$A$166&gt;35,DO5+DN6-DW5,IF(A6&lt;'Données projet'!$A$166,$DL$205^A6,IF(A6='Données projet'!$A$166,'Données projet'!$B$166,DO5+DN6-DW5)))</f>
        <v>2.0428095489444726</v>
      </c>
      <c r="DP6" s="17">
        <f>DO6*VLOOKUP('Données projet'!$B$14,Paramètres!$A$1:$I$89,3,0)*VLOOKUP('Données projet'!$B$14,Paramètres!$A$1:$I$89,5,0)</f>
        <v>1.5933914481766887</v>
      </c>
      <c r="DQ6" s="13">
        <f t="shared" si="43"/>
        <v>0.69554336150668106</v>
      </c>
      <c r="DR6" s="20">
        <f t="shared" si="16"/>
        <v>3.9865614601985349</v>
      </c>
      <c r="DS6" s="59">
        <f t="shared" si="17"/>
        <v>264.31989479353183</v>
      </c>
      <c r="DT6" s="59">
        <f ca="1">AVERAGE(OFFSET($DS$3,0,0,'Données projet'!$E$14+1,1))-AVERAGE(OFFSET($H$3,0,0,'Données projet'!$E$14+1,1))</f>
        <v>376.33792692771908</v>
      </c>
      <c r="DU6" s="59">
        <f t="shared" si="44"/>
        <v>367.92889258044698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469.68830256438338</v>
      </c>
      <c r="T7" s="59">
        <f t="shared" si="34"/>
        <v>332.61387922152159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2.5388571227543277</v>
      </c>
      <c r="AK7" s="13">
        <f t="shared" si="35"/>
        <v>1.0497609958185417</v>
      </c>
      <c r="AL7" s="20">
        <f t="shared" si="4"/>
        <v>6.2501765565144138</v>
      </c>
      <c r="AM7" s="59">
        <f t="shared" si="5"/>
        <v>267.80573211206996</v>
      </c>
      <c r="AN7" s="59">
        <f ca="1">AVERAGE(OFFSET($AM$3,0,0,'Données projet'!$E$10+1,1))-AVERAGE(OFFSET($H$3,0,0,'Données projet'!$E$10+1,1))</f>
        <v>550.66682372933292</v>
      </c>
      <c r="AO7" s="59">
        <f t="shared" si="36"/>
        <v>387.28615589698444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5.85</v>
      </c>
      <c r="BD7" s="12">
        <f>IF('Données projet'!$A$88&gt;35,BD6+BC7-BL6,IF(A7&lt;'Données projet'!$A$88,$BA$205^A7,IF(A7='Données projet'!$A$88,'Données projet'!$B$88,BD6+BC7-BL6)))</f>
        <v>2.5920129819855133</v>
      </c>
      <c r="BE7" s="13">
        <f>BD7*VLOOKUP('Données projet'!$B$11,Paramètres!$A$1:$I$89,3,0)*VLOOKUP('Données projet'!$B$11,Paramètres!$A$1:$I$89,5,0)</f>
        <v>2.0217701259487004</v>
      </c>
      <c r="BF7" s="13">
        <f t="shared" si="37"/>
        <v>0.85841374167501538</v>
      </c>
      <c r="BG7" s="20">
        <f t="shared" si="7"/>
        <v>5.0163202361113051</v>
      </c>
      <c r="BH7" s="59">
        <f t="shared" si="8"/>
        <v>266.57187579166686</v>
      </c>
      <c r="BI7" s="59">
        <f ca="1">AVERAGE(OFFSET($BH$3,0,0,'Données projet'!$E$11+1,1))-AVERAGE(OFFSET($H$3,0,0,'Données projet'!$E$11+1,1))</f>
        <v>376.33792692771908</v>
      </c>
      <c r="BJ7" s="59">
        <f t="shared" si="38"/>
        <v>367.92889258044698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1.9107437601419195</v>
      </c>
      <c r="CA7" s="13">
        <f t="shared" si="39"/>
        <v>0.81662477151702284</v>
      </c>
      <c r="CB7" s="20">
        <f t="shared" si="10"/>
        <v>4.7501668593059909</v>
      </c>
      <c r="CC7" s="59">
        <f t="shared" si="11"/>
        <v>266.30572241486152</v>
      </c>
      <c r="CD7" s="59">
        <f ca="1">AVERAGE(OFFSET($CC$3,0,0,'Données projet'!$E$12+1,1))-AVERAGE(OFFSET($H$3,0,0,'Données projet'!$E$12+1,1))</f>
        <v>388.50131600273431</v>
      </c>
      <c r="CE7" s="59">
        <f t="shared" si="40"/>
        <v>247.01165577562955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2.2731261974102144</v>
      </c>
      <c r="CV7" s="13">
        <f t="shared" si="41"/>
        <v>0.95206068424520052</v>
      </c>
      <c r="CW7" s="20">
        <f t="shared" si="13"/>
        <v>5.617200485549847</v>
      </c>
      <c r="CX7" s="59">
        <f t="shared" si="14"/>
        <v>267.1727560411054</v>
      </c>
      <c r="CY7" s="59">
        <f ca="1">AVERAGE(OFFSET($CX$3,0,0,'Données projet'!$E$13+1,1))-AVERAGE(OFFSET($H$3,0,0,'Données projet'!$E$13+1,1))</f>
        <v>454.43000549907373</v>
      </c>
      <c r="CZ7" s="59">
        <f t="shared" si="42"/>
        <v>285.83623046025156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5.85</v>
      </c>
      <c r="DO7" s="12">
        <f>IF('Données projet'!$A$166&gt;35,DO6+DN7-DW6,IF(A7&lt;'Données projet'!$A$166,$DL$205^A7,IF(A7='Données projet'!$A$166,'Données projet'!$B$166,DO6+DN7-DW6)))</f>
        <v>2.5920129819855133</v>
      </c>
      <c r="DP7" s="17">
        <f>DO7*VLOOKUP('Données projet'!$B$14,Paramètres!$A$1:$I$89,3,0)*VLOOKUP('Données projet'!$B$14,Paramètres!$A$1:$I$89,5,0)</f>
        <v>2.0217701259487004</v>
      </c>
      <c r="DQ7" s="13">
        <f t="shared" si="43"/>
        <v>0.85841374167501538</v>
      </c>
      <c r="DR7" s="20">
        <f t="shared" si="16"/>
        <v>5.0163202361113051</v>
      </c>
      <c r="DS7" s="59">
        <f t="shared" si="17"/>
        <v>266.57187579166686</v>
      </c>
      <c r="DT7" s="59">
        <f ca="1">AVERAGE(OFFSET($DS$3,0,0,'Données projet'!$E$14+1,1))-AVERAGE(OFFSET($H$3,0,0,'Données projet'!$E$14+1,1))</f>
        <v>376.33792692771908</v>
      </c>
      <c r="DU7" s="59">
        <f t="shared" si="44"/>
        <v>367.92889258044698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469.68830256438338</v>
      </c>
      <c r="T8" s="59">
        <f t="shared" si="34"/>
        <v>332.61387922152159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3.1463309625186153</v>
      </c>
      <c r="AK8" s="13">
        <f t="shared" si="35"/>
        <v>1.2688551196974542</v>
      </c>
      <c r="AL8" s="20">
        <f t="shared" si="4"/>
        <v>7.6897824265263219</v>
      </c>
      <c r="AM8" s="59">
        <f t="shared" si="5"/>
        <v>270.46756020430411</v>
      </c>
      <c r="AN8" s="59">
        <f ca="1">AVERAGE(OFFSET($AM$3,0,0,'Données projet'!$E$10+1,1))-AVERAGE(OFFSET($H$3,0,0,'Données projet'!$E$10+1,1))</f>
        <v>550.66682372933292</v>
      </c>
      <c r="AO8" s="59">
        <f t="shared" si="36"/>
        <v>387.28615589698444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5.85</v>
      </c>
      <c r="BD8" s="12">
        <f>IF('Données projet'!$A$88&gt;35,BD7+BC8-BL7,IF(A8&lt;'Données projet'!$A$88,$BA$205^A8,IF(A8='Données projet'!$A$88,'Données projet'!$B$88,BD7+BC8-BL7)))</f>
        <v>3.2888681679860574</v>
      </c>
      <c r="BE8" s="13">
        <f>BD8*VLOOKUP('Données projet'!$B$11,Paramètres!$A$1:$I$89,3,0)*VLOOKUP('Données projet'!$B$11,Paramètres!$A$1:$I$89,5,0)</f>
        <v>2.5653171710291249</v>
      </c>
      <c r="BF8" s="13">
        <f t="shared" si="37"/>
        <v>1.0594223058937526</v>
      </c>
      <c r="BG8" s="20">
        <f t="shared" si="7"/>
        <v>6.3130879223073455</v>
      </c>
      <c r="BH8" s="59">
        <f t="shared" si="8"/>
        <v>269.09086570008509</v>
      </c>
      <c r="BI8" s="59">
        <f ca="1">AVERAGE(OFFSET($BH$3,0,0,'Données projet'!$E$11+1,1))-AVERAGE(OFFSET($H$3,0,0,'Données projet'!$E$11+1,1))</f>
        <v>376.33792692771908</v>
      </c>
      <c r="BJ8" s="59">
        <f t="shared" si="38"/>
        <v>367.92889258044698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2.3033764090157529</v>
      </c>
      <c r="CA8" s="13">
        <f t="shared" si="39"/>
        <v>0.96324708482559218</v>
      </c>
      <c r="CB8" s="20">
        <f t="shared" si="10"/>
        <v>5.6893692517736758</v>
      </c>
      <c r="CC8" s="59">
        <f t="shared" si="11"/>
        <v>268.46714702955143</v>
      </c>
      <c r="CD8" s="59">
        <f ca="1">AVERAGE(OFFSET($CC$3,0,0,'Données projet'!$E$12+1,1))-AVERAGE(OFFSET($H$3,0,0,'Données projet'!$E$12+1,1))</f>
        <v>388.50131600273431</v>
      </c>
      <c r="CE8" s="59">
        <f t="shared" si="40"/>
        <v>247.01165577562955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2.740223659001499</v>
      </c>
      <c r="CV8" s="13">
        <f t="shared" si="41"/>
        <v>1.1230000737947632</v>
      </c>
      <c r="CW8" s="20">
        <f t="shared" si="13"/>
        <v>6.7284480012868242</v>
      </c>
      <c r="CX8" s="59">
        <f t="shared" si="14"/>
        <v>269.50622577906461</v>
      </c>
      <c r="CY8" s="59">
        <f ca="1">AVERAGE(OFFSET($CX$3,0,0,'Données projet'!$E$13+1,1))-AVERAGE(OFFSET($H$3,0,0,'Données projet'!$E$13+1,1))</f>
        <v>454.43000549907373</v>
      </c>
      <c r="CZ8" s="59">
        <f t="shared" si="42"/>
        <v>285.83623046025156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5.85</v>
      </c>
      <c r="DO8" s="12">
        <f>IF('Données projet'!$A$166&gt;35,DO7+DN8-DW7,IF(A8&lt;'Données projet'!$A$166,$DL$205^A8,IF(A8='Données projet'!$A$166,'Données projet'!$B$166,DO7+DN8-DW7)))</f>
        <v>3.2888681679860574</v>
      </c>
      <c r="DP8" s="17">
        <f>DO8*VLOOKUP('Données projet'!$B$14,Paramètres!$A$1:$I$89,3,0)*VLOOKUP('Données projet'!$B$14,Paramètres!$A$1:$I$89,5,0)</f>
        <v>2.5653171710291249</v>
      </c>
      <c r="DQ8" s="13">
        <f t="shared" si="43"/>
        <v>1.0594223058937526</v>
      </c>
      <c r="DR8" s="20">
        <f t="shared" si="16"/>
        <v>6.3130879223073455</v>
      </c>
      <c r="DS8" s="59">
        <f t="shared" si="17"/>
        <v>269.09086570008509</v>
      </c>
      <c r="DT8" s="59">
        <f ca="1">AVERAGE(OFFSET($DS$3,0,0,'Données projet'!$E$14+1,1))-AVERAGE(OFFSET($H$3,0,0,'Données projet'!$E$14+1,1))</f>
        <v>376.33792692771908</v>
      </c>
      <c r="DU8" s="59">
        <f t="shared" si="44"/>
        <v>367.92889258044698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469.68830256438338</v>
      </c>
      <c r="T9" s="59">
        <f t="shared" si="34"/>
        <v>332.61387922152159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3.8991554258727907</v>
      </c>
      <c r="AK9" s="13">
        <f t="shared" si="35"/>
        <v>1.5336760664526912</v>
      </c>
      <c r="AL9" s="20">
        <f t="shared" si="4"/>
        <v>9.4621815158002143</v>
      </c>
      <c r="AM9" s="59">
        <f t="shared" si="5"/>
        <v>273.46218151580024</v>
      </c>
      <c r="AN9" s="59">
        <f ca="1">AVERAGE(OFFSET($AM$3,0,0,'Données projet'!$E$10+1,1))-AVERAGE(OFFSET($H$3,0,0,'Données projet'!$E$10+1,1))</f>
        <v>550.66682372933292</v>
      </c>
      <c r="AO9" s="59">
        <f t="shared" si="36"/>
        <v>387.28615589698444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5.85</v>
      </c>
      <c r="BD9" s="12">
        <f>IF('Données projet'!$A$88&gt;35,BD8+BC9-BL8,IF(A9&lt;'Données projet'!$A$88,$BA$205^A9,IF(A9='Données projet'!$A$88,'Données projet'!$B$88,BD8+BC9-BL8)))</f>
        <v>4.1730708532587206</v>
      </c>
      <c r="BE9" s="13">
        <f>BD9*VLOOKUP('Données projet'!$B$11,Paramètres!$A$1:$I$89,3,0)*VLOOKUP('Données projet'!$B$11,Paramètres!$A$1:$I$89,5,0)</f>
        <v>3.2549952655418024</v>
      </c>
      <c r="BF9" s="13">
        <f t="shared" si="37"/>
        <v>1.3074995980786071</v>
      </c>
      <c r="BG9" s="20">
        <f t="shared" si="7"/>
        <v>7.9463452208055463</v>
      </c>
      <c r="BH9" s="59">
        <f t="shared" si="8"/>
        <v>271.94634522080554</v>
      </c>
      <c r="BI9" s="59">
        <f ca="1">AVERAGE(OFFSET($BH$3,0,0,'Données projet'!$E$11+1,1))-AVERAGE(OFFSET($H$3,0,0,'Données projet'!$E$11+1,1))</f>
        <v>376.33792692771908</v>
      </c>
      <c r="BJ9" s="59">
        <f t="shared" si="38"/>
        <v>367.92889258044698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2.7766898902321886</v>
      </c>
      <c r="CA9" s="13">
        <f t="shared" si="39"/>
        <v>1.1361949561012803</v>
      </c>
      <c r="CB9" s="20">
        <f t="shared" si="10"/>
        <v>6.8149411073641248</v>
      </c>
      <c r="CC9" s="59">
        <f t="shared" si="11"/>
        <v>270.81494110736412</v>
      </c>
      <c r="CD9" s="59">
        <f ca="1">AVERAGE(OFFSET($CC$3,0,0,'Données projet'!$E$12+1,1))-AVERAGE(OFFSET($H$3,0,0,'Données projet'!$E$12+1,1))</f>
        <v>388.50131600273431</v>
      </c>
      <c r="CE9" s="59">
        <f t="shared" si="40"/>
        <v>247.01165577562955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3.3033034901038101</v>
      </c>
      <c r="CV9" s="13">
        <f t="shared" si="41"/>
        <v>1.3246310730107231</v>
      </c>
      <c r="CW9" s="20">
        <f t="shared" si="13"/>
        <v>8.0603193640911446</v>
      </c>
      <c r="CX9" s="59">
        <f t="shared" si="14"/>
        <v>272.06031936409113</v>
      </c>
      <c r="CY9" s="59">
        <f ca="1">AVERAGE(OFFSET($CX$3,0,0,'Données projet'!$E$13+1,1))-AVERAGE(OFFSET($H$3,0,0,'Données projet'!$E$13+1,1))</f>
        <v>454.43000549907373</v>
      </c>
      <c r="CZ9" s="59">
        <f t="shared" si="42"/>
        <v>285.83623046025156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5.85</v>
      </c>
      <c r="DO9" s="12">
        <f>IF('Données projet'!$A$166&gt;35,DO8+DN9-DW8,IF(A9&lt;'Données projet'!$A$166,$DL$205^A9,IF(A9='Données projet'!$A$166,'Données projet'!$B$166,DO8+DN9-DW8)))</f>
        <v>4.1730708532587206</v>
      </c>
      <c r="DP9" s="17">
        <f>DO9*VLOOKUP('Données projet'!$B$14,Paramètres!$A$1:$I$89,3,0)*VLOOKUP('Données projet'!$B$14,Paramètres!$A$1:$I$89,5,0)</f>
        <v>3.2549952655418024</v>
      </c>
      <c r="DQ9" s="13">
        <f t="shared" si="43"/>
        <v>1.3074995980786071</v>
      </c>
      <c r="DR9" s="20">
        <f t="shared" si="16"/>
        <v>7.9463452208055463</v>
      </c>
      <c r="DS9" s="59">
        <f t="shared" si="17"/>
        <v>271.94634522080554</v>
      </c>
      <c r="DT9" s="59">
        <f ca="1">AVERAGE(OFFSET($DS$3,0,0,'Données projet'!$E$14+1,1))-AVERAGE(OFFSET($H$3,0,0,'Données projet'!$E$14+1,1))</f>
        <v>376.33792692771908</v>
      </c>
      <c r="DU9" s="59">
        <f t="shared" si="44"/>
        <v>367.92889258044698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469.68830256438338</v>
      </c>
      <c r="T10" s="59">
        <f t="shared" si="34"/>
        <v>332.61387922152159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4.8321086421699899</v>
      </c>
      <c r="AK10" s="13">
        <f t="shared" si="35"/>
        <v>1.8537674162284574</v>
      </c>
      <c r="AL10" s="20">
        <f t="shared" si="4"/>
        <v>11.644567468377296</v>
      </c>
      <c r="AM10" s="59">
        <f t="shared" si="5"/>
        <v>276.86678969059955</v>
      </c>
      <c r="AN10" s="59">
        <f ca="1">AVERAGE(OFFSET($AM$3,0,0,'Données projet'!$E$10+1,1))-AVERAGE(OFFSET($H$3,0,0,'Données projet'!$E$10+1,1))</f>
        <v>550.66682372933292</v>
      </c>
      <c r="AO10" s="59">
        <f t="shared" si="36"/>
        <v>387.28615589698444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5.85</v>
      </c>
      <c r="BD10" s="12">
        <f>IF('Données projet'!$A$88&gt;35,BD9+BC10-BL9,IF(A10&lt;'Données projet'!$A$88,$BA$205^A10,IF(A10='Données projet'!$A$88,'Données projet'!$B$88,BD9+BC10-BL9)))</f>
        <v>5.2949888705880443</v>
      </c>
      <c r="BE10" s="13">
        <f>BD10*VLOOKUP('Données projet'!$B$11,Paramètres!$A$1:$I$89,3,0)*VLOOKUP('Données projet'!$B$11,Paramètres!$A$1:$I$89,5,0)</f>
        <v>4.1300913190586748</v>
      </c>
      <c r="BF10" s="13">
        <f t="shared" si="37"/>
        <v>1.6136673633027767</v>
      </c>
      <c r="BG10" s="20">
        <f t="shared" si="7"/>
        <v>10.003713038446195</v>
      </c>
      <c r="BH10" s="59">
        <f t="shared" si="8"/>
        <v>275.22593526066845</v>
      </c>
      <c r="BI10" s="59">
        <f ca="1">AVERAGE(OFFSET($BH$3,0,0,'Données projet'!$E$11+1,1))-AVERAGE(OFFSET($H$3,0,0,'Données projet'!$E$11+1,1))</f>
        <v>376.33792692771908</v>
      </c>
      <c r="BJ10" s="59">
        <f t="shared" si="38"/>
        <v>367.92889258044698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3.3472630510321921</v>
      </c>
      <c r="CA10" s="13">
        <f t="shared" si="39"/>
        <v>1.34019505338418</v>
      </c>
      <c r="CB10" s="20">
        <f t="shared" si="10"/>
        <v>8.1639895318585136</v>
      </c>
      <c r="CC10" s="59">
        <f t="shared" si="11"/>
        <v>273.38621175408076</v>
      </c>
      <c r="CD10" s="59">
        <f ca="1">AVERAGE(OFFSET($CC$3,0,0,'Données projet'!$E$12+1,1))-AVERAGE(OFFSET($H$3,0,0,'Données projet'!$E$12+1,1))</f>
        <v>388.50131600273431</v>
      </c>
      <c r="CE10" s="59">
        <f t="shared" si="40"/>
        <v>247.01165577562955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3.982088802090022</v>
      </c>
      <c r="CV10" s="13">
        <f t="shared" si="41"/>
        <v>1.5624642602705792</v>
      </c>
      <c r="CW10" s="20">
        <f t="shared" si="13"/>
        <v>9.6567632502780452</v>
      </c>
      <c r="CX10" s="59">
        <f t="shared" si="14"/>
        <v>274.87898547250029</v>
      </c>
      <c r="CY10" s="59">
        <f ca="1">AVERAGE(OFFSET($CX$3,0,0,'Données projet'!$E$13+1,1))-AVERAGE(OFFSET($H$3,0,0,'Données projet'!$E$13+1,1))</f>
        <v>454.43000549907373</v>
      </c>
      <c r="CZ10" s="59">
        <f t="shared" si="42"/>
        <v>285.83623046025156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5.85</v>
      </c>
      <c r="DO10" s="12">
        <f>IF('Données projet'!$A$166&gt;35,DO9+DN10-DW9,IF(A10&lt;'Données projet'!$A$166,$DL$205^A10,IF(A10='Données projet'!$A$166,'Données projet'!$B$166,DO9+DN10-DW9)))</f>
        <v>5.2949888705880443</v>
      </c>
      <c r="DP10" s="17">
        <f>DO10*VLOOKUP('Données projet'!$B$14,Paramètres!$A$1:$I$89,3,0)*VLOOKUP('Données projet'!$B$14,Paramètres!$A$1:$I$89,5,0)</f>
        <v>4.1300913190586748</v>
      </c>
      <c r="DQ10" s="13">
        <f t="shared" si="43"/>
        <v>1.6136673633027767</v>
      </c>
      <c r="DR10" s="20">
        <f t="shared" si="16"/>
        <v>10.003713038446195</v>
      </c>
      <c r="DS10" s="59">
        <f t="shared" si="17"/>
        <v>275.22593526066845</v>
      </c>
      <c r="DT10" s="59">
        <f ca="1">AVERAGE(OFFSET($DS$3,0,0,'Données projet'!$E$14+1,1))-AVERAGE(OFFSET($H$3,0,0,'Données projet'!$E$14+1,1))</f>
        <v>376.33792692771908</v>
      </c>
      <c r="DU10" s="59">
        <f t="shared" si="44"/>
        <v>367.92889258044698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469.68830256438338</v>
      </c>
      <c r="T11" s="59">
        <f t="shared" si="34"/>
        <v>332.61387922152159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5.9882901242664301</v>
      </c>
      <c r="AK11" s="13">
        <f t="shared" si="35"/>
        <v>2.2406645762026263</v>
      </c>
      <c r="AL11" s="20">
        <f t="shared" si="4"/>
        <v>14.332096103316941</v>
      </c>
      <c r="AM11" s="59">
        <f t="shared" si="5"/>
        <v>280.77654054776139</v>
      </c>
      <c r="AN11" s="59">
        <f ca="1">AVERAGE(OFFSET($AM$3,0,0,'Données projet'!$E$10+1,1))-AVERAGE(OFFSET($H$3,0,0,'Données projet'!$E$10+1,1))</f>
        <v>550.66682372933292</v>
      </c>
      <c r="AO11" s="59">
        <f t="shared" si="36"/>
        <v>387.28615589698444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5.85</v>
      </c>
      <c r="BD11" s="12">
        <f>IF('Données projet'!$A$88&gt;35,BD10+BC11-BL10,IF(A11&lt;'Données projet'!$A$88,$BA$205^A11,IF(A11='Données projet'!$A$88,'Données projet'!$B$88,BD10+BC11-BL10)))</f>
        <v>6.718531298781433</v>
      </c>
      <c r="BE11" s="13">
        <f>BD11*VLOOKUP('Données projet'!$B$11,Paramètres!$A$1:$I$89,3,0)*VLOOKUP('Données projet'!$B$11,Paramètres!$A$1:$I$89,5,0)</f>
        <v>5.2404544130495179</v>
      </c>
      <c r="BF11" s="13">
        <f t="shared" si="37"/>
        <v>1.9915282293126844</v>
      </c>
      <c r="BG11" s="20">
        <f t="shared" si="7"/>
        <v>12.59570310211417</v>
      </c>
      <c r="BH11" s="59">
        <f t="shared" si="8"/>
        <v>279.04014754655861</v>
      </c>
      <c r="BI11" s="59">
        <f ca="1">AVERAGE(OFFSET($BH$3,0,0,'Données projet'!$E$11+1,1))-AVERAGE(OFFSET($H$3,0,0,'Données projet'!$E$11+1,1))</f>
        <v>376.33792692771908</v>
      </c>
      <c r="BJ11" s="59">
        <f t="shared" si="38"/>
        <v>367.92889258044698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4.0350814731667564</v>
      </c>
      <c r="CA11" s="13">
        <f t="shared" si="39"/>
        <v>1.5808227025391921</v>
      </c>
      <c r="CB11" s="20">
        <f t="shared" si="10"/>
        <v>9.7810331060211926</v>
      </c>
      <c r="CC11" s="59">
        <f t="shared" si="11"/>
        <v>276.22547755046565</v>
      </c>
      <c r="CD11" s="59">
        <f ca="1">AVERAGE(OFFSET($CC$3,0,0,'Données projet'!$E$12+1,1))-AVERAGE(OFFSET($H$3,0,0,'Données projet'!$E$12+1,1))</f>
        <v>388.50131600273431</v>
      </c>
      <c r="CE11" s="59">
        <f t="shared" si="40"/>
        <v>247.01165577562955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4.8003555456638995</v>
      </c>
      <c r="CV11" s="13">
        <f t="shared" si="41"/>
        <v>1.8429996203200378</v>
      </c>
      <c r="CW11" s="20">
        <f t="shared" si="13"/>
        <v>11.570510247422023</v>
      </c>
      <c r="CX11" s="59">
        <f t="shared" si="14"/>
        <v>278.01495469186648</v>
      </c>
      <c r="CY11" s="59">
        <f ca="1">AVERAGE(OFFSET($CX$3,0,0,'Données projet'!$E$13+1,1))-AVERAGE(OFFSET($H$3,0,0,'Données projet'!$E$13+1,1))</f>
        <v>454.43000549907373</v>
      </c>
      <c r="CZ11" s="59">
        <f t="shared" si="42"/>
        <v>285.83623046025156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5.85</v>
      </c>
      <c r="DO11" s="12">
        <f>IF('Données projet'!$A$166&gt;35,DO10+DN11-DW10,IF(A11&lt;'Données projet'!$A$166,$DL$205^A11,IF(A11='Données projet'!$A$166,'Données projet'!$B$166,DO10+DN11-DW10)))</f>
        <v>6.718531298781433</v>
      </c>
      <c r="DP11" s="17">
        <f>DO11*VLOOKUP('Données projet'!$B$14,Paramètres!$A$1:$I$89,3,0)*VLOOKUP('Données projet'!$B$14,Paramètres!$A$1:$I$89,5,0)</f>
        <v>5.2404544130495179</v>
      </c>
      <c r="DQ11" s="13">
        <f t="shared" si="43"/>
        <v>1.9915282293126844</v>
      </c>
      <c r="DR11" s="20">
        <f t="shared" si="16"/>
        <v>12.59570310211417</v>
      </c>
      <c r="DS11" s="59">
        <f t="shared" si="17"/>
        <v>279.04014754655861</v>
      </c>
      <c r="DT11" s="59">
        <f ca="1">AVERAGE(OFFSET($DS$3,0,0,'Données projet'!$E$14+1,1))-AVERAGE(OFFSET($H$3,0,0,'Données projet'!$E$14+1,1))</f>
        <v>376.33792692771908</v>
      </c>
      <c r="DU11" s="59">
        <f t="shared" si="44"/>
        <v>367.92889258044698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469.68830256438338</v>
      </c>
      <c r="T12" s="59">
        <f t="shared" si="34"/>
        <v>332.61387922152159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7.4211118308555069</v>
      </c>
      <c r="AK12" s="13">
        <f t="shared" si="35"/>
        <v>2.7083104919730441</v>
      </c>
      <c r="AL12" s="20">
        <f t="shared" si="4"/>
        <v>17.642077212259725</v>
      </c>
      <c r="AM12" s="59">
        <f t="shared" si="5"/>
        <v>285.30874387892641</v>
      </c>
      <c r="AN12" s="59">
        <f ca="1">AVERAGE(OFFSET($AM$3,0,0,'Données projet'!$E$10+1,1))-AVERAGE(OFFSET($H$3,0,0,'Données projet'!$E$10+1,1))</f>
        <v>550.66682372933292</v>
      </c>
      <c r="AO12" s="59">
        <f t="shared" si="36"/>
        <v>387.28615589698444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5.85</v>
      </c>
      <c r="BD12" s="12">
        <f>IF('Données projet'!$A$88&gt;35,BD11+BC12-BL11,IF(A12&lt;'Données projet'!$A$88,$BA$205^A12,IF(A12='Données projet'!$A$88,'Données projet'!$B$88,BD11+BC12-BL11)))</f>
        <v>8.5247889874587734</v>
      </c>
      <c r="BE12" s="13">
        <f>BD12*VLOOKUP('Données projet'!$B$11,Paramètres!$A$1:$I$89,3,0)*VLOOKUP('Données projet'!$B$11,Paramètres!$A$1:$I$89,5,0)</f>
        <v>6.6493354102178435</v>
      </c>
      <c r="BF12" s="13">
        <f t="shared" si="37"/>
        <v>2.4578700532379361</v>
      </c>
      <c r="BG12" s="20">
        <f t="shared" si="7"/>
        <v>15.86171618218548</v>
      </c>
      <c r="BH12" s="59">
        <f t="shared" si="8"/>
        <v>283.52838284885217</v>
      </c>
      <c r="BI12" s="59">
        <f ca="1">AVERAGE(OFFSET($BH$3,0,0,'Données projet'!$E$11+1,1))-AVERAGE(OFFSET($H$3,0,0,'Données projet'!$E$11+1,1))</f>
        <v>376.33792692771908</v>
      </c>
      <c r="BJ12" s="59">
        <f t="shared" si="38"/>
        <v>367.92889258044698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4.8642375119197085</v>
      </c>
      <c r="CA12" s="13">
        <f t="shared" si="39"/>
        <v>1.8646542609995393</v>
      </c>
      <c r="CB12" s="20">
        <f t="shared" si="10"/>
        <v>11.719486504501022</v>
      </c>
      <c r="CC12" s="59">
        <f t="shared" si="11"/>
        <v>279.38615317116773</v>
      </c>
      <c r="CD12" s="59">
        <f ca="1">AVERAGE(OFFSET($CC$3,0,0,'Données projet'!$E$12+1,1))-AVERAGE(OFFSET($H$3,0,0,'Données projet'!$E$12+1,1))</f>
        <v>388.50131600273431</v>
      </c>
      <c r="CE12" s="59">
        <f t="shared" si="40"/>
        <v>247.01165577562955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5.7867653159044812</v>
      </c>
      <c r="CV12" s="13">
        <f t="shared" si="41"/>
        <v>2.1739041889582755</v>
      </c>
      <c r="CW12" s="20">
        <f t="shared" si="13"/>
        <v>13.864832720969302</v>
      </c>
      <c r="CX12" s="59">
        <f t="shared" si="14"/>
        <v>281.53149938763596</v>
      </c>
      <c r="CY12" s="59">
        <f ca="1">AVERAGE(OFFSET($CX$3,0,0,'Données projet'!$E$13+1,1))-AVERAGE(OFFSET($H$3,0,0,'Données projet'!$E$13+1,1))</f>
        <v>454.43000549907373</v>
      </c>
      <c r="CZ12" s="59">
        <f t="shared" si="42"/>
        <v>285.83623046025156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5.85</v>
      </c>
      <c r="DO12" s="12">
        <f>IF('Données projet'!$A$166&gt;35,DO11+DN12-DW11,IF(A12&lt;'Données projet'!$A$166,$DL$205^A12,IF(A12='Données projet'!$A$166,'Données projet'!$B$166,DO11+DN12-DW11)))</f>
        <v>8.5247889874587734</v>
      </c>
      <c r="DP12" s="17">
        <f>DO12*VLOOKUP('Données projet'!$B$14,Paramètres!$A$1:$I$89,3,0)*VLOOKUP('Données projet'!$B$14,Paramètres!$A$1:$I$89,5,0)</f>
        <v>6.6493354102178435</v>
      </c>
      <c r="DQ12" s="13">
        <f t="shared" si="43"/>
        <v>2.4578700532379361</v>
      </c>
      <c r="DR12" s="20">
        <f t="shared" si="16"/>
        <v>15.86171618218548</v>
      </c>
      <c r="DS12" s="59">
        <f t="shared" si="17"/>
        <v>283.52838284885217</v>
      </c>
      <c r="DT12" s="59">
        <f ca="1">AVERAGE(OFFSET($DS$3,0,0,'Données projet'!$E$14+1,1))-AVERAGE(OFFSET($H$3,0,0,'Données projet'!$E$14+1,1))</f>
        <v>376.33792692771908</v>
      </c>
      <c r="DU12" s="59">
        <f t="shared" si="44"/>
        <v>367.92889258044698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469.68830256438338</v>
      </c>
      <c r="T13" s="59">
        <f t="shared" si="34"/>
        <v>332.61387922152159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9.1967656314597903</v>
      </c>
      <c r="AK13" s="13">
        <f t="shared" si="35"/>
        <v>3.2735581214758165</v>
      </c>
      <c r="AL13" s="20">
        <f t="shared" si="4"/>
        <v>21.719147203029511</v>
      </c>
      <c r="AM13" s="59">
        <f t="shared" si="5"/>
        <v>290.60803609191839</v>
      </c>
      <c r="AN13" s="59">
        <f ca="1">AVERAGE(OFFSET($AM$3,0,0,'Données projet'!$E$10+1,1))-AVERAGE(OFFSET($H$3,0,0,'Données projet'!$E$10+1,1))</f>
        <v>550.66682372933292</v>
      </c>
      <c r="AO13" s="59">
        <f t="shared" si="36"/>
        <v>387.28615589698444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5.85</v>
      </c>
      <c r="BD13" s="12">
        <f>IF('Données projet'!$A$88&gt;35,BD12+BC13-BL12,IF(A13&lt;'Données projet'!$A$88,$BA$205^A13,IF(A13='Données projet'!$A$88,'Données projet'!$B$88,BD12+BC13-BL12)))</f>
        <v>10.816653826391967</v>
      </c>
      <c r="BE13" s="13">
        <f>BD13*VLOOKUP('Données projet'!$B$11,Paramètres!$A$1:$I$89,3,0)*VLOOKUP('Données projet'!$B$11,Paramètres!$A$1:$I$89,5,0)</f>
        <v>8.4369899845857343</v>
      </c>
      <c r="BF13" s="13">
        <f t="shared" si="37"/>
        <v>3.0334117838182832</v>
      </c>
      <c r="BG13" s="20">
        <f t="shared" si="7"/>
        <v>19.977616413303661</v>
      </c>
      <c r="BH13" s="59">
        <f t="shared" si="8"/>
        <v>288.86650530219254</v>
      </c>
      <c r="BI13" s="59">
        <f ca="1">AVERAGE(OFFSET($BH$3,0,0,'Données projet'!$E$11+1,1))-AVERAGE(OFFSET($H$3,0,0,'Données projet'!$E$11+1,1))</f>
        <v>376.33792692771908</v>
      </c>
      <c r="BJ13" s="59">
        <f t="shared" si="38"/>
        <v>367.92889258044698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5.8637741839194364</v>
      </c>
      <c r="CA13" s="13">
        <f t="shared" si="39"/>
        <v>2.1994468497187687</v>
      </c>
      <c r="CB13" s="20">
        <f t="shared" si="10"/>
        <v>14.043443300253207</v>
      </c>
      <c r="CC13" s="59">
        <f t="shared" si="11"/>
        <v>282.93233218914207</v>
      </c>
      <c r="CD13" s="59">
        <f ca="1">AVERAGE(OFFSET($CC$3,0,0,'Données projet'!$E$12+1,1))-AVERAGE(OFFSET($H$3,0,0,'Données projet'!$E$12+1,1))</f>
        <v>388.50131600273431</v>
      </c>
      <c r="CE13" s="59">
        <f t="shared" si="40"/>
        <v>247.01165577562955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6.9758692877662263</v>
      </c>
      <c r="CV13" s="13">
        <f t="shared" si="41"/>
        <v>2.5642215932468222</v>
      </c>
      <c r="CW13" s="20">
        <f t="shared" si="13"/>
        <v>16.61565828443106</v>
      </c>
      <c r="CX13" s="59">
        <f t="shared" si="14"/>
        <v>285.50454717331991</v>
      </c>
      <c r="CY13" s="59">
        <f ca="1">AVERAGE(OFFSET($CX$3,0,0,'Données projet'!$E$13+1,1))-AVERAGE(OFFSET($H$3,0,0,'Données projet'!$E$13+1,1))</f>
        <v>454.43000549907373</v>
      </c>
      <c r="CZ13" s="59">
        <f t="shared" si="42"/>
        <v>285.83623046025156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5.85</v>
      </c>
      <c r="DO13" s="12">
        <f>IF('Données projet'!$A$166&gt;35,DO12+DN13-DW12,IF(A13&lt;'Données projet'!$A$166,$DL$205^A13,IF(A13='Données projet'!$A$166,'Données projet'!$B$166,DO12+DN13-DW12)))</f>
        <v>10.816653826391967</v>
      </c>
      <c r="DP13" s="17">
        <f>DO13*VLOOKUP('Données projet'!$B$14,Paramètres!$A$1:$I$89,3,0)*VLOOKUP('Données projet'!$B$14,Paramètres!$A$1:$I$89,5,0)</f>
        <v>8.4369899845857343</v>
      </c>
      <c r="DQ13" s="13">
        <f t="shared" si="43"/>
        <v>3.0334117838182832</v>
      </c>
      <c r="DR13" s="20">
        <f t="shared" si="16"/>
        <v>19.977616413303661</v>
      </c>
      <c r="DS13" s="59">
        <f t="shared" si="17"/>
        <v>288.86650530219254</v>
      </c>
      <c r="DT13" s="59">
        <f ca="1">AVERAGE(OFFSET($DS$3,0,0,'Données projet'!$E$14+1,1))-AVERAGE(OFFSET($H$3,0,0,'Données projet'!$E$14+1,1))</f>
        <v>376.33792692771908</v>
      </c>
      <c r="DU13" s="59">
        <f t="shared" si="44"/>
        <v>367.92889258044698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469.68830256438338</v>
      </c>
      <c r="T14" s="59">
        <f t="shared" si="34"/>
        <v>332.61387922152159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11.397281163225587</v>
      </c>
      <c r="AK14" s="13">
        <f t="shared" si="35"/>
        <v>3.9567777795201704</v>
      </c>
      <c r="AL14" s="20">
        <f t="shared" si="4"/>
        <v>26.741652658615525</v>
      </c>
      <c r="AM14" s="59">
        <f t="shared" si="5"/>
        <v>296.85276376972666</v>
      </c>
      <c r="AN14" s="59">
        <f ca="1">AVERAGE(OFFSET($AM$3,0,0,'Données projet'!$E$10+1,1))-AVERAGE(OFFSET($H$3,0,0,'Données projet'!$E$10+1,1))</f>
        <v>550.66682372933292</v>
      </c>
      <c r="AO14" s="59">
        <f t="shared" si="36"/>
        <v>387.28615589698444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5.85</v>
      </c>
      <c r="BD14" s="12">
        <f>IF('Données projet'!$A$88&gt;35,BD13+BC14-BL13,IF(A14&lt;'Données projet'!$A$88,$BA$205^A14,IF(A14='Données projet'!$A$88,'Données projet'!$B$88,BD13+BC14-BL13)))</f>
        <v>13.724679892033022</v>
      </c>
      <c r="BE14" s="13">
        <f>BD14*VLOOKUP('Données projet'!$B$11,Paramètres!$A$1:$I$89,3,0)*VLOOKUP('Données projet'!$B$11,Paramètres!$A$1:$I$89,5,0)</f>
        <v>10.705250315785758</v>
      </c>
      <c r="BF14" s="13">
        <f t="shared" si="37"/>
        <v>3.7437239768171127</v>
      </c>
      <c r="BG14" s="20">
        <f t="shared" si="7"/>
        <v>25.165296892949996</v>
      </c>
      <c r="BH14" s="59">
        <f t="shared" si="8"/>
        <v>295.27640800406112</v>
      </c>
      <c r="BI14" s="59">
        <f ca="1">AVERAGE(OFFSET($BH$3,0,0,'Données projet'!$E$11+1,1))-AVERAGE(OFFSET($H$3,0,0,'Données projet'!$E$11+1,1))</f>
        <v>376.33792692771908</v>
      </c>
      <c r="BJ14" s="59">
        <f t="shared" si="38"/>
        <v>367.92889258044698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7.0687024627689707</v>
      </c>
      <c r="CA14" s="13">
        <f t="shared" si="39"/>
        <v>2.5943503554083325</v>
      </c>
      <c r="CB14" s="20">
        <f t="shared" si="10"/>
        <v>16.829816991658799</v>
      </c>
      <c r="CC14" s="59">
        <f t="shared" si="11"/>
        <v>286.94092810276993</v>
      </c>
      <c r="CD14" s="59">
        <f ca="1">AVERAGE(OFFSET($CC$3,0,0,'Données projet'!$E$12+1,1))-AVERAGE(OFFSET($H$3,0,0,'Données projet'!$E$12+1,1))</f>
        <v>388.50131600273431</v>
      </c>
      <c r="CE14" s="59">
        <f t="shared" si="40"/>
        <v>247.01165577562955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8.4093184470872249</v>
      </c>
      <c r="CV14" s="13">
        <f t="shared" si="41"/>
        <v>3.0246192139792929</v>
      </c>
      <c r="CW14" s="20">
        <f t="shared" si="13"/>
        <v>19.914108093024186</v>
      </c>
      <c r="CX14" s="59">
        <f t="shared" si="14"/>
        <v>290.02521920413534</v>
      </c>
      <c r="CY14" s="59">
        <f ca="1">AVERAGE(OFFSET($CX$3,0,0,'Données projet'!$E$13+1,1))-AVERAGE(OFFSET($H$3,0,0,'Données projet'!$E$13+1,1))</f>
        <v>454.43000549907373</v>
      </c>
      <c r="CZ14" s="59">
        <f t="shared" si="42"/>
        <v>285.83623046025156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5.85</v>
      </c>
      <c r="DO14" s="12">
        <f>IF('Données projet'!$A$166&gt;35,DO13+DN14-DW13,IF(A14&lt;'Données projet'!$A$166,$DL$205^A14,IF(A14='Données projet'!$A$166,'Données projet'!$B$166,DO13+DN14-DW13)))</f>
        <v>13.724679892033022</v>
      </c>
      <c r="DP14" s="17">
        <f>DO14*VLOOKUP('Données projet'!$B$14,Paramètres!$A$1:$I$89,3,0)*VLOOKUP('Données projet'!$B$14,Paramètres!$A$1:$I$89,5,0)</f>
        <v>10.705250315785758</v>
      </c>
      <c r="DQ14" s="13">
        <f t="shared" si="43"/>
        <v>3.7437239768171127</v>
      </c>
      <c r="DR14" s="20">
        <f t="shared" si="16"/>
        <v>25.165296892949996</v>
      </c>
      <c r="DS14" s="59">
        <f t="shared" si="17"/>
        <v>295.27640800406112</v>
      </c>
      <c r="DT14" s="59">
        <f ca="1">AVERAGE(OFFSET($DS$3,0,0,'Données projet'!$E$14+1,1))-AVERAGE(OFFSET($H$3,0,0,'Données projet'!$E$14+1,1))</f>
        <v>376.33792692771908</v>
      </c>
      <c r="DU14" s="59">
        <f t="shared" si="44"/>
        <v>367.92889258044698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469.68830256438338</v>
      </c>
      <c r="T15" s="59">
        <f t="shared" si="34"/>
        <v>332.61387922152159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14.124315342914553</v>
      </c>
      <c r="AK15" s="13">
        <f t="shared" si="35"/>
        <v>4.7825912403370845</v>
      </c>
      <c r="AL15" s="20">
        <f t="shared" si="4"/>
        <v>32.929528965829938</v>
      </c>
      <c r="AM15" s="59">
        <f t="shared" si="5"/>
        <v>304.26286229916326</v>
      </c>
      <c r="AN15" s="59">
        <f ca="1">AVERAGE(OFFSET($AM$3,0,0,'Données projet'!$E$10+1,1))-AVERAGE(OFFSET($H$3,0,0,'Données projet'!$E$10+1,1))</f>
        <v>550.66682372933292</v>
      </c>
      <c r="AO15" s="59">
        <f t="shared" si="36"/>
        <v>387.28615589698444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5.85</v>
      </c>
      <c r="BD15" s="12">
        <f>IF('Données projet'!$A$88&gt;35,BD14+BC15-BL14,IF(A15&lt;'Données projet'!$A$88,$BA$205^A15,IF(A15='Données projet'!$A$88,'Données projet'!$B$88,BD14+BC15-BL14)))</f>
        <v>17.414520346317467</v>
      </c>
      <c r="BE15" s="13">
        <f>BD15*VLOOKUP('Données projet'!$B$11,Paramètres!$A$1:$I$89,3,0)*VLOOKUP('Données projet'!$B$11,Paramètres!$A$1:$I$89,5,0)</f>
        <v>13.583325870127625</v>
      </c>
      <c r="BF15" s="13">
        <f t="shared" si="37"/>
        <v>4.6203648609004491</v>
      </c>
      <c r="BG15" s="20">
        <f t="shared" si="7"/>
        <v>31.704761356540562</v>
      </c>
      <c r="BH15" s="59">
        <f t="shared" si="8"/>
        <v>303.0380946898739</v>
      </c>
      <c r="BI15" s="59">
        <f ca="1">AVERAGE(OFFSET($BH$3,0,0,'Données projet'!$E$11+1,1))-AVERAGE(OFFSET($H$3,0,0,'Données projet'!$E$11+1,1))</f>
        <v>376.33792692771908</v>
      </c>
      <c r="BJ15" s="59">
        <f t="shared" si="38"/>
        <v>367.92889258044698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8.521227615514638</v>
      </c>
      <c r="CA15" s="13">
        <f t="shared" si="39"/>
        <v>3.0601574970852128</v>
      </c>
      <c r="CB15" s="20">
        <f t="shared" si="10"/>
        <v>20.170912404444739</v>
      </c>
      <c r="CC15" s="59">
        <f t="shared" si="11"/>
        <v>291.50424573777804</v>
      </c>
      <c r="CD15" s="59">
        <f ca="1">AVERAGE(OFFSET($CC$3,0,0,'Données projet'!$E$12+1,1))-AVERAGE(OFFSET($H$3,0,0,'Données projet'!$E$12+1,1))</f>
        <v>388.50131600273431</v>
      </c>
      <c r="CE15" s="59">
        <f t="shared" si="40"/>
        <v>247.01165577562955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10.137322508112241</v>
      </c>
      <c r="CV15" s="13">
        <f t="shared" si="41"/>
        <v>3.5676797253661268</v>
      </c>
      <c r="CW15" s="20">
        <f t="shared" si="13"/>
        <v>23.869545556641487</v>
      </c>
      <c r="CX15" s="59">
        <f t="shared" si="14"/>
        <v>295.20287888997478</v>
      </c>
      <c r="CY15" s="59">
        <f ca="1">AVERAGE(OFFSET($CX$3,0,0,'Données projet'!$E$13+1,1))-AVERAGE(OFFSET($H$3,0,0,'Données projet'!$E$13+1,1))</f>
        <v>454.43000549907373</v>
      </c>
      <c r="CZ15" s="59">
        <f t="shared" si="42"/>
        <v>285.83623046025156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5.85</v>
      </c>
      <c r="DO15" s="12">
        <f>IF('Données projet'!$A$166&gt;35,DO14+DN15-DW14,IF(A15&lt;'Données projet'!$A$166,$DL$205^A15,IF(A15='Données projet'!$A$166,'Données projet'!$B$166,DO14+DN15-DW14)))</f>
        <v>17.414520346317467</v>
      </c>
      <c r="DP15" s="17">
        <f>DO15*VLOOKUP('Données projet'!$B$14,Paramètres!$A$1:$I$89,3,0)*VLOOKUP('Données projet'!$B$14,Paramètres!$A$1:$I$89,5,0)</f>
        <v>13.583325870127625</v>
      </c>
      <c r="DQ15" s="13">
        <f t="shared" si="43"/>
        <v>4.6203648609004491</v>
      </c>
      <c r="DR15" s="20">
        <f t="shared" si="16"/>
        <v>31.704761356540562</v>
      </c>
      <c r="DS15" s="59">
        <f t="shared" si="17"/>
        <v>303.0380946898739</v>
      </c>
      <c r="DT15" s="59">
        <f ca="1">AVERAGE(OFFSET($DS$3,0,0,'Données projet'!$E$14+1,1))-AVERAGE(OFFSET($H$3,0,0,'Données projet'!$E$14+1,1))</f>
        <v>376.33792692771908</v>
      </c>
      <c r="DU15" s="59">
        <f t="shared" si="44"/>
        <v>367.92889258044698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469.68830256438338</v>
      </c>
      <c r="T16" s="59">
        <f t="shared" si="34"/>
        <v>332.61387922152159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17.5038485976625</v>
      </c>
      <c r="AK16" s="13">
        <f t="shared" si="35"/>
        <v>5.7807590536264062</v>
      </c>
      <c r="AL16" s="20">
        <f t="shared" si="4"/>
        <v>40.55402499266151</v>
      </c>
      <c r="AM16" s="59">
        <f t="shared" si="5"/>
        <v>313.10958054821708</v>
      </c>
      <c r="AN16" s="59">
        <f ca="1">AVERAGE(OFFSET($AM$3,0,0,'Données projet'!$E$10+1,1))-AVERAGE(OFFSET($H$3,0,0,'Données projet'!$E$10+1,1))</f>
        <v>550.66682372933292</v>
      </c>
      <c r="AO16" s="59">
        <f t="shared" si="36"/>
        <v>387.28615589698444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5.85</v>
      </c>
      <c r="BD16" s="12">
        <f>IF('Données projet'!$A$88&gt;35,BD15+BC16-BL15,IF(A16&lt;'Données projet'!$A$88,$BA$205^A16,IF(A16='Données projet'!$A$88,'Données projet'!$B$88,BD15+BC16-BL15)))</f>
        <v>22.096363724180279</v>
      </c>
      <c r="BE16" s="13">
        <f>BD16*VLOOKUP('Données projet'!$B$11,Paramètres!$A$1:$I$89,3,0)*VLOOKUP('Données projet'!$B$11,Paramètres!$A$1:$I$89,5,0)</f>
        <v>17.235163704860618</v>
      </c>
      <c r="BF16" s="13">
        <f t="shared" si="37"/>
        <v>5.7022824278817001</v>
      </c>
      <c r="BG16" s="20">
        <f t="shared" si="7"/>
        <v>39.949385347859533</v>
      </c>
      <c r="BH16" s="59">
        <f t="shared" si="8"/>
        <v>312.5049409034151</v>
      </c>
      <c r="BI16" s="59">
        <f ca="1">AVERAGE(OFFSET($BH$3,0,0,'Données projet'!$E$11+1,1))-AVERAGE(OFFSET($H$3,0,0,'Données projet'!$E$11+1,1))</f>
        <v>376.33792692771908</v>
      </c>
      <c r="BJ16" s="59">
        <f t="shared" si="38"/>
        <v>367.92889258044698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10.272227535089344</v>
      </c>
      <c r="CA16" s="13">
        <f t="shared" si="39"/>
        <v>3.6095987912522753</v>
      </c>
      <c r="CB16" s="20">
        <f t="shared" si="10"/>
        <v>24.177514185044988</v>
      </c>
      <c r="CC16" s="59">
        <f t="shared" si="11"/>
        <v>296.73306974060051</v>
      </c>
      <c r="CD16" s="59">
        <f ca="1">AVERAGE(OFFSET($CC$3,0,0,'Données projet'!$E$12+1,1))-AVERAGE(OFFSET($H$3,0,0,'Données projet'!$E$12+1,1))</f>
        <v>388.50131600273431</v>
      </c>
      <c r="CE16" s="59">
        <f t="shared" si="40"/>
        <v>247.01165577562955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12.220408619330426</v>
      </c>
      <c r="CV16" s="13">
        <f t="shared" si="41"/>
        <v>4.2082449797185175</v>
      </c>
      <c r="CW16" s="20">
        <f t="shared" si="13"/>
        <v>28.613238351676909</v>
      </c>
      <c r="CX16" s="59">
        <f t="shared" si="14"/>
        <v>301.16879390723244</v>
      </c>
      <c r="CY16" s="59">
        <f ca="1">AVERAGE(OFFSET($CX$3,0,0,'Données projet'!$E$13+1,1))-AVERAGE(OFFSET($H$3,0,0,'Données projet'!$E$13+1,1))</f>
        <v>454.43000549907373</v>
      </c>
      <c r="CZ16" s="59">
        <f t="shared" si="42"/>
        <v>285.83623046025156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5.85</v>
      </c>
      <c r="DO16" s="12">
        <f>IF('Données projet'!$A$166&gt;35,DO15+DN16-DW15,IF(A16&lt;'Données projet'!$A$166,$DL$205^A16,IF(A16='Données projet'!$A$166,'Données projet'!$B$166,DO15+DN16-DW15)))</f>
        <v>22.096363724180279</v>
      </c>
      <c r="DP16" s="17">
        <f>DO16*VLOOKUP('Données projet'!$B$14,Paramètres!$A$1:$I$89,3,0)*VLOOKUP('Données projet'!$B$14,Paramètres!$A$1:$I$89,5,0)</f>
        <v>17.235163704860618</v>
      </c>
      <c r="DQ16" s="13">
        <f t="shared" si="43"/>
        <v>5.7022824278817001</v>
      </c>
      <c r="DR16" s="20">
        <f t="shared" si="16"/>
        <v>39.949385347859533</v>
      </c>
      <c r="DS16" s="59">
        <f t="shared" si="17"/>
        <v>312.5049409034151</v>
      </c>
      <c r="DT16" s="59">
        <f ca="1">AVERAGE(OFFSET($DS$3,0,0,'Données projet'!$E$14+1,1))-AVERAGE(OFFSET($H$3,0,0,'Données projet'!$E$14+1,1))</f>
        <v>376.33792692771908</v>
      </c>
      <c r="DU16" s="59">
        <f t="shared" si="44"/>
        <v>367.92889258044698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469.68830256438338</v>
      </c>
      <c r="T17" s="59">
        <f t="shared" si="34"/>
        <v>332.61387922152159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21.692004765639073</v>
      </c>
      <c r="AK17" s="13">
        <f t="shared" si="35"/>
        <v>6.9872530510737043</v>
      </c>
      <c r="AL17" s="20">
        <f t="shared" si="4"/>
        <v>49.949707364108086</v>
      </c>
      <c r="AM17" s="59">
        <f t="shared" si="5"/>
        <v>323.72748514188584</v>
      </c>
      <c r="AN17" s="59">
        <f ca="1">AVERAGE(OFFSET($AM$3,0,0,'Données projet'!$E$10+1,1))-AVERAGE(OFFSET($H$3,0,0,'Données projet'!$E$10+1,1))</f>
        <v>550.66682372933292</v>
      </c>
      <c r="AO17" s="59">
        <f t="shared" si="36"/>
        <v>387.28615589698444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5.85</v>
      </c>
      <c r="BD17" s="12">
        <f>IF('Données projet'!$A$88&gt;35,BD16+BC17-BL16,IF(A17&lt;'Données projet'!$A$88,$BA$205^A17,IF(A17='Données projet'!$A$88,'Données projet'!$B$88,BD16+BC17-BL16)))</f>
        <v>28.036907139651255</v>
      </c>
      <c r="BE17" s="13">
        <f>BD17*VLOOKUP('Données projet'!$B$11,Paramètres!$A$1:$I$89,3,0)*VLOOKUP('Données projet'!$B$11,Paramètres!$A$1:$I$89,5,0)</f>
        <v>21.868787568927981</v>
      </c>
      <c r="BF17" s="13">
        <f t="shared" si="37"/>
        <v>7.0375448403422114</v>
      </c>
      <c r="BG17" s="20">
        <f t="shared" si="7"/>
        <v>50.34519561281224</v>
      </c>
      <c r="BH17" s="59">
        <f t="shared" si="8"/>
        <v>324.12297339059</v>
      </c>
      <c r="BI17" s="59">
        <f ca="1">AVERAGE(OFFSET($BH$3,0,0,'Données projet'!$E$11+1,1))-AVERAGE(OFFSET($H$3,0,0,'Données projet'!$E$11+1,1))</f>
        <v>376.33792692771908</v>
      </c>
      <c r="BJ17" s="59">
        <f t="shared" si="38"/>
        <v>367.92889258044698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12.383034850580612</v>
      </c>
      <c r="CA17" s="13">
        <f t="shared" si="39"/>
        <v>4.2576904771143838</v>
      </c>
      <c r="CB17" s="20">
        <f t="shared" si="10"/>
        <v>28.982596612402116</v>
      </c>
      <c r="CC17" s="59">
        <f t="shared" si="11"/>
        <v>302.76037439017989</v>
      </c>
      <c r="CD17" s="59">
        <f ca="1">AVERAGE(OFFSET($CC$3,0,0,'Données projet'!$E$12+1,1))-AVERAGE(OFFSET($H$3,0,0,'Données projet'!$E$12+1,1))</f>
        <v>388.50131600273431</v>
      </c>
      <c r="CE17" s="59">
        <f t="shared" si="40"/>
        <v>247.01165577562955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14.731541460173487</v>
      </c>
      <c r="CV17" s="13">
        <f t="shared" si="41"/>
        <v>4.9638216355053304</v>
      </c>
      <c r="CW17" s="20">
        <f t="shared" si="13"/>
        <v>34.302757391640604</v>
      </c>
      <c r="CX17" s="59">
        <f t="shared" si="14"/>
        <v>308.0805351694184</v>
      </c>
      <c r="CY17" s="59">
        <f ca="1">AVERAGE(OFFSET($CX$3,0,0,'Données projet'!$E$13+1,1))-AVERAGE(OFFSET($H$3,0,0,'Données projet'!$E$13+1,1))</f>
        <v>454.43000549907373</v>
      </c>
      <c r="CZ17" s="59">
        <f t="shared" si="42"/>
        <v>285.83623046025156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5.85</v>
      </c>
      <c r="DO17" s="12">
        <f>IF('Données projet'!$A$166&gt;35,DO16+DN17-DW16,IF(A17&lt;'Données projet'!$A$166,$DL$205^A17,IF(A17='Données projet'!$A$166,'Données projet'!$B$166,DO16+DN17-DW16)))</f>
        <v>28.036907139651255</v>
      </c>
      <c r="DP17" s="17">
        <f>DO17*VLOOKUP('Données projet'!$B$14,Paramètres!$A$1:$I$89,3,0)*VLOOKUP('Données projet'!$B$14,Paramètres!$A$1:$I$89,5,0)</f>
        <v>21.868787568927981</v>
      </c>
      <c r="DQ17" s="13">
        <f t="shared" si="43"/>
        <v>7.0375448403422114</v>
      </c>
      <c r="DR17" s="20">
        <f t="shared" si="16"/>
        <v>50.34519561281224</v>
      </c>
      <c r="DS17" s="59">
        <f t="shared" si="17"/>
        <v>324.12297339059</v>
      </c>
      <c r="DT17" s="59">
        <f ca="1">AVERAGE(OFFSET($DS$3,0,0,'Données projet'!$E$14+1,1))-AVERAGE(OFFSET($H$3,0,0,'Données projet'!$E$14+1,1))</f>
        <v>376.33792692771908</v>
      </c>
      <c r="DU17" s="59">
        <f t="shared" si="44"/>
        <v>367.92889258044698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469.68830256438338</v>
      </c>
      <c r="T18" s="59">
        <f t="shared" si="34"/>
        <v>332.61387922152159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26.882263527767574</v>
      </c>
      <c r="AK18" s="13">
        <f t="shared" si="35"/>
        <v>8.4455526941763424</v>
      </c>
      <c r="AL18" s="20">
        <f t="shared" si="4"/>
        <v>61.52927991988566</v>
      </c>
      <c r="AM18" s="59">
        <f t="shared" si="5"/>
        <v>336.52927991988565</v>
      </c>
      <c r="AN18" s="59">
        <f ca="1">AVERAGE(OFFSET($AM$3,0,0,'Données projet'!$E$10+1,1))-AVERAGE(OFFSET($H$3,0,0,'Données projet'!$E$10+1,1))</f>
        <v>550.66682372933292</v>
      </c>
      <c r="AO18" s="59">
        <f t="shared" si="36"/>
        <v>387.28615589698444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5.85</v>
      </c>
      <c r="BD18" s="12">
        <f>IF('Données projet'!$A$88&gt;35,BD17+BC18-BL17,IF(A18&lt;'Données projet'!$A$88,$BA$205^A18,IF(A18='Données projet'!$A$88,'Données projet'!$B$88,BD17+BC18-BL17)))</f>
        <v>35.574548453745123</v>
      </c>
      <c r="BE18" s="13">
        <f>BD18*VLOOKUP('Données projet'!$B$11,Paramètres!$A$1:$I$89,3,0)*VLOOKUP('Données projet'!$B$11,Paramètres!$A$1:$I$89,5,0)</f>
        <v>27.748147793921198</v>
      </c>
      <c r="BF18" s="13">
        <f t="shared" si="37"/>
        <v>8.6854760363431716</v>
      </c>
      <c r="BG18" s="20">
        <f t="shared" si="7"/>
        <v>63.455228171043764</v>
      </c>
      <c r="BH18" s="59">
        <f t="shared" si="8"/>
        <v>338.45522817104376</v>
      </c>
      <c r="BI18" s="59">
        <f ca="1">AVERAGE(OFFSET($BH$3,0,0,'Données projet'!$E$11+1,1))-AVERAGE(OFFSET($H$3,0,0,'Données projet'!$E$11+1,1))</f>
        <v>376.33792692771908</v>
      </c>
      <c r="BJ18" s="59">
        <f t="shared" si="38"/>
        <v>367.92889258044698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14.927585237660953</v>
      </c>
      <c r="CA18" s="13">
        <f t="shared" si="39"/>
        <v>5.0221449106318534</v>
      </c>
      <c r="CB18" s="20">
        <f t="shared" si="10"/>
        <v>34.745780008276633</v>
      </c>
      <c r="CC18" s="59">
        <f t="shared" si="11"/>
        <v>309.74578000827665</v>
      </c>
      <c r="CD18" s="59">
        <f ca="1">AVERAGE(OFFSET($CC$3,0,0,'Données projet'!$E$12+1,1))-AVERAGE(OFFSET($H$3,0,0,'Données projet'!$E$12+1,1))</f>
        <v>388.50131600273431</v>
      </c>
      <c r="CE18" s="59">
        <f t="shared" si="40"/>
        <v>247.01165577562955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17.758678989631132</v>
      </c>
      <c r="CV18" s="13">
        <f t="shared" si="41"/>
        <v>5.8550596146042126</v>
      </c>
      <c r="CW18" s="20">
        <f t="shared" si="13"/>
        <v>41.127261402376554</v>
      </c>
      <c r="CX18" s="59">
        <f t="shared" si="14"/>
        <v>316.12726140237658</v>
      </c>
      <c r="CY18" s="59">
        <f ca="1">AVERAGE(OFFSET($CX$3,0,0,'Données projet'!$E$13+1,1))-AVERAGE(OFFSET($H$3,0,0,'Données projet'!$E$13+1,1))</f>
        <v>454.43000549907373</v>
      </c>
      <c r="CZ18" s="59">
        <f t="shared" si="42"/>
        <v>285.83623046025156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5.85</v>
      </c>
      <c r="DO18" s="12">
        <f>IF('Données projet'!$A$166&gt;35,DO17+DN18-DW17,IF(A18&lt;'Données projet'!$A$166,$DL$205^A18,IF(A18='Données projet'!$A$166,'Données projet'!$B$166,DO17+DN18-DW17)))</f>
        <v>35.574548453745123</v>
      </c>
      <c r="DP18" s="17">
        <f>DO18*VLOOKUP('Données projet'!$B$14,Paramètres!$A$1:$I$89,3,0)*VLOOKUP('Données projet'!$B$14,Paramètres!$A$1:$I$89,5,0)</f>
        <v>27.748147793921198</v>
      </c>
      <c r="DQ18" s="13">
        <f t="shared" si="43"/>
        <v>8.6854760363431716</v>
      </c>
      <c r="DR18" s="20">
        <f t="shared" si="16"/>
        <v>63.455228171043764</v>
      </c>
      <c r="DS18" s="59">
        <f t="shared" si="17"/>
        <v>338.45522817104376</v>
      </c>
      <c r="DT18" s="59">
        <f ca="1">AVERAGE(OFFSET($DS$3,0,0,'Données projet'!$E$14+1,1))-AVERAGE(OFFSET($H$3,0,0,'Données projet'!$E$14+1,1))</f>
        <v>376.33792692771908</v>
      </c>
      <c r="DU18" s="59">
        <f t="shared" si="44"/>
        <v>367.92889258044698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469.68830256438338</v>
      </c>
      <c r="T19" s="59">
        <f t="shared" si="34"/>
        <v>332.61387922152159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33.314398562232306</v>
      </c>
      <c r="AK19" s="13">
        <f t="shared" si="35"/>
        <v>10.208211980979948</v>
      </c>
      <c r="AL19" s="20">
        <f t="shared" si="4"/>
        <v>75.801880029428006</v>
      </c>
      <c r="AM19" s="59">
        <f t="shared" si="5"/>
        <v>352.02410225165022</v>
      </c>
      <c r="AN19" s="59">
        <f ca="1">AVERAGE(OFFSET($AM$3,0,0,'Données projet'!$E$10+1,1))-AVERAGE(OFFSET($H$3,0,0,'Données projet'!$E$10+1,1))</f>
        <v>550.66682372933292</v>
      </c>
      <c r="AO19" s="59">
        <f t="shared" si="36"/>
        <v>387.28615589698444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5.85</v>
      </c>
      <c r="BD19" s="12">
        <f>IF('Données projet'!$A$88&gt;35,BD18+BC19-BL18,IF(A19&lt;'Données projet'!$A$88,$BA$205^A19,IF(A19='Données projet'!$A$88,'Données projet'!$B$88,BD18+BC19-BL18)))</f>
        <v>45.138662812705725</v>
      </c>
      <c r="BE19" s="13">
        <f>BD19*VLOOKUP('Données projet'!$B$11,Paramètres!$A$1:$I$89,3,0)*VLOOKUP('Données projet'!$B$11,Paramètres!$A$1:$I$89,5,0)</f>
        <v>35.208156993910464</v>
      </c>
      <c r="BF19" s="13">
        <f t="shared" si="37"/>
        <v>10.71929141331386</v>
      </c>
      <c r="BG19" s="20">
        <f t="shared" si="7"/>
        <v>79.990305975915703</v>
      </c>
      <c r="BH19" s="59">
        <f t="shared" si="8"/>
        <v>356.21252819813793</v>
      </c>
      <c r="BI19" s="59">
        <f ca="1">AVERAGE(OFFSET($BH$3,0,0,'Données projet'!$E$11+1,1))-AVERAGE(OFFSET($H$3,0,0,'Données projet'!$E$11+1,1))</f>
        <v>376.33792692771908</v>
      </c>
      <c r="BJ19" s="59">
        <f t="shared" si="38"/>
        <v>367.92889258044698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17.995007178485412</v>
      </c>
      <c r="CA19" s="13">
        <f t="shared" si="39"/>
        <v>5.9238546434872337</v>
      </c>
      <c r="CB19" s="20">
        <f t="shared" si="10"/>
        <v>41.658684339935689</v>
      </c>
      <c r="CC19" s="59">
        <f t="shared" si="11"/>
        <v>317.88090656215792</v>
      </c>
      <c r="CD19" s="59">
        <f ca="1">AVERAGE(OFFSET($CC$3,0,0,'Données projet'!$E$12+1,1))-AVERAGE(OFFSET($H$3,0,0,'Données projet'!$E$12+1,1))</f>
        <v>388.50131600273431</v>
      </c>
      <c r="CE19" s="59">
        <f t="shared" si="40"/>
        <v>247.01165577562955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21.407853367508512</v>
      </c>
      <c r="CV19" s="13">
        <f t="shared" si="41"/>
        <v>6.906316464991046</v>
      </c>
      <c r="CW19" s="20">
        <f t="shared" si="13"/>
        <v>49.313845791603399</v>
      </c>
      <c r="CX19" s="59">
        <f t="shared" si="14"/>
        <v>325.53606801382563</v>
      </c>
      <c r="CY19" s="59">
        <f ca="1">AVERAGE(OFFSET($CX$3,0,0,'Données projet'!$E$13+1,1))-AVERAGE(OFFSET($H$3,0,0,'Données projet'!$E$13+1,1))</f>
        <v>454.43000549907373</v>
      </c>
      <c r="CZ19" s="59">
        <f t="shared" si="42"/>
        <v>285.83623046025156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5.85</v>
      </c>
      <c r="DO19" s="12">
        <f>IF('Données projet'!$A$166&gt;35,DO18+DN19-DW18,IF(A19&lt;'Données projet'!$A$166,$DL$205^A19,IF(A19='Données projet'!$A$166,'Données projet'!$B$166,DO18+DN19-DW18)))</f>
        <v>45.138662812705725</v>
      </c>
      <c r="DP19" s="17">
        <f>DO19*VLOOKUP('Données projet'!$B$14,Paramètres!$A$1:$I$89,3,0)*VLOOKUP('Données projet'!$B$14,Paramètres!$A$1:$I$89,5,0)</f>
        <v>35.208156993910464</v>
      </c>
      <c r="DQ19" s="13">
        <f t="shared" si="43"/>
        <v>10.71929141331386</v>
      </c>
      <c r="DR19" s="20">
        <f t="shared" si="16"/>
        <v>79.990305975915703</v>
      </c>
      <c r="DS19" s="59">
        <f t="shared" si="17"/>
        <v>356.21252819813793</v>
      </c>
      <c r="DT19" s="59">
        <f ca="1">AVERAGE(OFFSET($DS$3,0,0,'Données projet'!$E$14+1,1))-AVERAGE(OFFSET($H$3,0,0,'Données projet'!$E$14+1,1))</f>
        <v>376.33792692771908</v>
      </c>
      <c r="DU19" s="59">
        <f t="shared" si="44"/>
        <v>367.92889258044698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469.68830256438338</v>
      </c>
      <c r="T20" s="59">
        <f t="shared" si="34"/>
        <v>332.61387922152159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41.28555433648161</v>
      </c>
      <c r="AK20" s="13">
        <f t="shared" si="35"/>
        <v>12.338753379690502</v>
      </c>
      <c r="AL20" s="20">
        <f t="shared" si="4"/>
        <v>93.39566927233308</v>
      </c>
      <c r="AM20" s="59">
        <f t="shared" si="5"/>
        <v>370.84011371677752</v>
      </c>
      <c r="AN20" s="59">
        <f ca="1">AVERAGE(OFFSET($AM$3,0,0,'Données projet'!$E$10+1,1))-AVERAGE(OFFSET($H$3,0,0,'Données projet'!$E$10+1,1))</f>
        <v>550.66682372933292</v>
      </c>
      <c r="AO20" s="59">
        <f t="shared" si="36"/>
        <v>387.28615589698444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5.85</v>
      </c>
      <c r="BD20" s="12">
        <f>IF('Données projet'!$A$88&gt;35,BD19+BC20-BL19,IF(A20&lt;'Données projet'!$A$88,$BA$205^A20,IF(A20='Données projet'!$A$88,'Données projet'!$B$88,BD19+BC20-BL19)))</f>
        <v>57.274061627749042</v>
      </c>
      <c r="BE20" s="13">
        <f>BD20*VLOOKUP('Données projet'!$B$11,Paramètres!$A$1:$I$89,3,0)*VLOOKUP('Données projet'!$B$11,Paramètres!$A$1:$I$89,5,0)</f>
        <v>44.673768069644254</v>
      </c>
      <c r="BF20" s="13">
        <f t="shared" si="37"/>
        <v>13.229350691055696</v>
      </c>
      <c r="BG20" s="20">
        <f t="shared" si="7"/>
        <v>100.84793184155241</v>
      </c>
      <c r="BH20" s="59">
        <f t="shared" si="8"/>
        <v>378.29237628599685</v>
      </c>
      <c r="BI20" s="59">
        <f ca="1">AVERAGE(OFFSET($BH$3,0,0,'Données projet'!$E$11+1,1))-AVERAGE(OFFSET($H$3,0,0,'Données projet'!$E$11+1,1))</f>
        <v>376.33792692771908</v>
      </c>
      <c r="BJ20" s="59">
        <f t="shared" si="38"/>
        <v>367.92889258044698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21.692743883101215</v>
      </c>
      <c r="CA20" s="13">
        <f t="shared" si="39"/>
        <v>6.98746341685115</v>
      </c>
      <c r="CB20" s="20">
        <f t="shared" si="10"/>
        <v>49.951361047417038</v>
      </c>
      <c r="CC20" s="59">
        <f t="shared" si="11"/>
        <v>327.39580549186149</v>
      </c>
      <c r="CD20" s="59">
        <f ca="1">AVERAGE(OFFSET($CC$3,0,0,'Données projet'!$E$12+1,1))-AVERAGE(OFFSET($H$3,0,0,'Données projet'!$E$12+1,1))</f>
        <v>388.50131600273431</v>
      </c>
      <c r="CE20" s="59">
        <f t="shared" si="40"/>
        <v>247.01165577562955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25.80688496437903</v>
      </c>
      <c r="CV20" s="13">
        <f t="shared" si="41"/>
        <v>8.146323052908933</v>
      </c>
      <c r="CW20" s="20">
        <f t="shared" si="13"/>
        <v>59.135170630109862</v>
      </c>
      <c r="CX20" s="59">
        <f t="shared" si="14"/>
        <v>336.57961507455434</v>
      </c>
      <c r="CY20" s="59">
        <f ca="1">AVERAGE(OFFSET($CX$3,0,0,'Données projet'!$E$13+1,1))-AVERAGE(OFFSET($H$3,0,0,'Données projet'!$E$13+1,1))</f>
        <v>454.43000549907373</v>
      </c>
      <c r="CZ20" s="59">
        <f t="shared" si="42"/>
        <v>285.83623046025156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5.85</v>
      </c>
      <c r="DO20" s="12">
        <f>IF('Données projet'!$A$166&gt;35,DO19+DN20-DW19,IF(A20&lt;'Données projet'!$A$166,$DL$205^A20,IF(A20='Données projet'!$A$166,'Données projet'!$B$166,DO19+DN20-DW19)))</f>
        <v>57.274061627749042</v>
      </c>
      <c r="DP20" s="17">
        <f>DO20*VLOOKUP('Données projet'!$B$14,Paramètres!$A$1:$I$89,3,0)*VLOOKUP('Données projet'!$B$14,Paramètres!$A$1:$I$89,5,0)</f>
        <v>44.673768069644254</v>
      </c>
      <c r="DQ20" s="13">
        <f t="shared" si="43"/>
        <v>13.229350691055696</v>
      </c>
      <c r="DR20" s="20">
        <f t="shared" si="16"/>
        <v>100.84793184155241</v>
      </c>
      <c r="DS20" s="59">
        <f t="shared" si="17"/>
        <v>378.29237628599685</v>
      </c>
      <c r="DT20" s="59">
        <f ca="1">AVERAGE(OFFSET($DS$3,0,0,'Données projet'!$E$14+1,1))-AVERAGE(OFFSET($H$3,0,0,'Données projet'!$E$14+1,1))</f>
        <v>376.33792692771908</v>
      </c>
      <c r="DU20" s="59">
        <f t="shared" si="44"/>
        <v>367.92889258044698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469.68830256438338</v>
      </c>
      <c r="T21" s="59">
        <f t="shared" si="34"/>
        <v>332.61387922152159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51.163973249780369</v>
      </c>
      <c r="AK21" s="13">
        <f t="shared" si="35"/>
        <v>14.913957042476</v>
      </c>
      <c r="AL21" s="20">
        <f t="shared" si="4"/>
        <v>115.08572859234651</v>
      </c>
      <c r="AM21" s="59">
        <f t="shared" si="5"/>
        <v>393.75239525901321</v>
      </c>
      <c r="AN21" s="59">
        <f ca="1">AVERAGE(OFFSET($AM$3,0,0,'Données projet'!$E$10+1,1))-AVERAGE(OFFSET($H$3,0,0,'Données projet'!$E$10+1,1))</f>
        <v>550.66682372933292</v>
      </c>
      <c r="AO21" s="59">
        <f t="shared" si="36"/>
        <v>387.28615589698444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5.85</v>
      </c>
      <c r="BD21" s="12">
        <f>IF('Données projet'!$A$88&gt;35,BD20+BC21-BL20,IF(A21&lt;'Données projet'!$A$88,$BA$205^A21,IF(A21='Données projet'!$A$88,'Données projet'!$B$88,BD20+BC21-BL20)))</f>
        <v>72.672027280698373</v>
      </c>
      <c r="BE21" s="13">
        <f>BD21*VLOOKUP('Données projet'!$B$11,Paramètres!$A$1:$I$89,3,0)*VLOOKUP('Données projet'!$B$11,Paramètres!$A$1:$I$89,5,0)</f>
        <v>56.684181278944735</v>
      </c>
      <c r="BF21" s="13">
        <f t="shared" si="37"/>
        <v>16.327172474251263</v>
      </c>
      <c r="BG21" s="20">
        <f t="shared" si="7"/>
        <v>127.16144112014972</v>
      </c>
      <c r="BH21" s="59">
        <f t="shared" si="8"/>
        <v>405.82810778681642</v>
      </c>
      <c r="BI21" s="59">
        <f ca="1">AVERAGE(OFFSET($BH$3,0,0,'Données projet'!$E$11+1,1))-AVERAGE(OFFSET($H$3,0,0,'Données projet'!$E$11+1,1))</f>
        <v>376.33792692771908</v>
      </c>
      <c r="BJ21" s="59">
        <f t="shared" si="38"/>
        <v>367.92889258044698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26.150316724543362</v>
      </c>
      <c r="CA21" s="13">
        <f t="shared" si="39"/>
        <v>8.2420396752158016</v>
      </c>
      <c r="CB21" s="20">
        <f t="shared" si="10"/>
        <v>59.900020729580547</v>
      </c>
      <c r="CC21" s="59">
        <f t="shared" si="11"/>
        <v>338.56668739624723</v>
      </c>
      <c r="CD21" s="59">
        <f ca="1">AVERAGE(OFFSET($CC$3,0,0,'Données projet'!$E$12+1,1))-AVERAGE(OFFSET($H$3,0,0,'Données projet'!$E$12+1,1))</f>
        <v>388.50131600273431</v>
      </c>
      <c r="CE21" s="59">
        <f t="shared" si="40"/>
        <v>247.01165577562955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31.109859551611933</v>
      </c>
      <c r="CV21" s="13">
        <f t="shared" si="41"/>
        <v>9.6089687778941872</v>
      </c>
      <c r="CW21" s="20">
        <f t="shared" si="13"/>
        <v>70.918626007223153</v>
      </c>
      <c r="CX21" s="59">
        <f t="shared" si="14"/>
        <v>349.58529267388985</v>
      </c>
      <c r="CY21" s="59">
        <f ca="1">AVERAGE(OFFSET($CX$3,0,0,'Données projet'!$E$13+1,1))-AVERAGE(OFFSET($H$3,0,0,'Données projet'!$E$13+1,1))</f>
        <v>454.43000549907373</v>
      </c>
      <c r="CZ21" s="59">
        <f t="shared" si="42"/>
        <v>285.83623046025156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5.85</v>
      </c>
      <c r="DO21" s="12">
        <f>IF('Données projet'!$A$166&gt;35,DO20+DN21-DW20,IF(A21&lt;'Données projet'!$A$166,$DL$205^A21,IF(A21='Données projet'!$A$166,'Données projet'!$B$166,DO20+DN21-DW20)))</f>
        <v>72.672027280698373</v>
      </c>
      <c r="DP21" s="17">
        <f>DO21*VLOOKUP('Données projet'!$B$14,Paramètres!$A$1:$I$89,3,0)*VLOOKUP('Données projet'!$B$14,Paramètres!$A$1:$I$89,5,0)</f>
        <v>56.684181278944735</v>
      </c>
      <c r="DQ21" s="13">
        <f t="shared" si="43"/>
        <v>16.327172474251263</v>
      </c>
      <c r="DR21" s="20">
        <f t="shared" si="16"/>
        <v>127.16144112014972</v>
      </c>
      <c r="DS21" s="59">
        <f t="shared" si="17"/>
        <v>405.82810778681642</v>
      </c>
      <c r="DT21" s="59">
        <f ca="1">AVERAGE(OFFSET($DS$3,0,0,'Données projet'!$E$14+1,1))-AVERAGE(OFFSET($H$3,0,0,'Données projet'!$E$14+1,1))</f>
        <v>376.33792692771908</v>
      </c>
      <c r="DU21" s="59">
        <f t="shared" si="44"/>
        <v>367.92889258044698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469.68830256438338</v>
      </c>
      <c r="T22" s="59">
        <f t="shared" si="34"/>
        <v>332.61387922152159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63.406007277249707</v>
      </c>
      <c r="AK22" s="13">
        <f t="shared" si="35"/>
        <v>18.026627797823672</v>
      </c>
      <c r="AL22" s="20">
        <f t="shared" si="4"/>
        <v>141.82850608908612</v>
      </c>
      <c r="AM22" s="59">
        <f t="shared" si="5"/>
        <v>421.717394977975</v>
      </c>
      <c r="AN22" s="59">
        <f ca="1">AVERAGE(OFFSET($AM$3,0,0,'Données projet'!$E$10+1,1))-AVERAGE(OFFSET($H$3,0,0,'Données projet'!$E$10+1,1))</f>
        <v>550.66682372933292</v>
      </c>
      <c r="AO22" s="59">
        <f t="shared" si="36"/>
        <v>387.28615589698444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5.85</v>
      </c>
      <c r="BD22" s="12">
        <f>IF('Données projet'!$A$88&gt;35,BD21+BC22-BL21,IF(A22&lt;'Données projet'!$A$88,$BA$205^A22,IF(A22='Données projet'!$A$88,'Données projet'!$B$88,BD21+BC22-BL21)))</f>
        <v>92.209691420380025</v>
      </c>
      <c r="BE22" s="13">
        <f>BD22*VLOOKUP('Données projet'!$B$11,Paramètres!$A$1:$I$89,3,0)*VLOOKUP('Données projet'!$B$11,Paramètres!$A$1:$I$89,5,0)</f>
        <v>71.923559307896426</v>
      </c>
      <c r="BF22" s="13">
        <f t="shared" si="37"/>
        <v>20.150388876166009</v>
      </c>
      <c r="BG22" s="20">
        <f t="shared" si="7"/>
        <v>160.36212642057541</v>
      </c>
      <c r="BH22" s="59">
        <f t="shared" si="8"/>
        <v>440.25101530946426</v>
      </c>
      <c r="BI22" s="59">
        <f ca="1">AVERAGE(OFFSET($BH$3,0,0,'Données projet'!$E$11+1,1))-AVERAGE(OFFSET($H$3,0,0,'Données projet'!$E$11+1,1))</f>
        <v>376.33792692771908</v>
      </c>
      <c r="BJ22" s="59">
        <f t="shared" si="38"/>
        <v>367.92889258044698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31.52386201022027</v>
      </c>
      <c r="CA22" s="13">
        <f t="shared" si="39"/>
        <v>9.7218710074397983</v>
      </c>
      <c r="CB22" s="20">
        <f t="shared" si="10"/>
        <v>71.836318339091292</v>
      </c>
      <c r="CC22" s="59">
        <f t="shared" si="11"/>
        <v>351.72520722798015</v>
      </c>
      <c r="CD22" s="59">
        <f ca="1">AVERAGE(OFFSET($CC$3,0,0,'Données projet'!$E$12+1,1))-AVERAGE(OFFSET($H$3,0,0,'Données projet'!$E$12+1,1))</f>
        <v>388.50131600273431</v>
      </c>
      <c r="CE22" s="59">
        <f t="shared" si="40"/>
        <v>247.01165577562955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37.502525494917215</v>
      </c>
      <c r="CV22" s="13">
        <f t="shared" si="41"/>
        <v>11.334227770598273</v>
      </c>
      <c r="CW22" s="20">
        <f t="shared" si="13"/>
        <v>85.057345270772814</v>
      </c>
      <c r="CX22" s="59">
        <f t="shared" si="14"/>
        <v>364.94623415966169</v>
      </c>
      <c r="CY22" s="59">
        <f ca="1">AVERAGE(OFFSET($CX$3,0,0,'Données projet'!$E$13+1,1))-AVERAGE(OFFSET($H$3,0,0,'Données projet'!$E$13+1,1))</f>
        <v>454.43000549907373</v>
      </c>
      <c r="CZ22" s="59">
        <f t="shared" si="42"/>
        <v>285.83623046025156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5.85</v>
      </c>
      <c r="DO22" s="12">
        <f>IF('Données projet'!$A$166&gt;35,DO21+DN22-DW21,IF(A22&lt;'Données projet'!$A$166,$DL$205^A22,IF(A22='Données projet'!$A$166,'Données projet'!$B$166,DO21+DN22-DW21)))</f>
        <v>92.209691420380025</v>
      </c>
      <c r="DP22" s="17">
        <f>DO22*VLOOKUP('Données projet'!$B$14,Paramètres!$A$1:$I$89,3,0)*VLOOKUP('Données projet'!$B$14,Paramètres!$A$1:$I$89,5,0)</f>
        <v>71.923559307896426</v>
      </c>
      <c r="DQ22" s="13">
        <f t="shared" si="43"/>
        <v>20.150388876166009</v>
      </c>
      <c r="DR22" s="20">
        <f t="shared" si="16"/>
        <v>160.36212642057541</v>
      </c>
      <c r="DS22" s="59">
        <f t="shared" si="17"/>
        <v>440.25101530946426</v>
      </c>
      <c r="DT22" s="59">
        <f ca="1">AVERAGE(OFFSET($DS$3,0,0,'Données projet'!$E$14+1,1))-AVERAGE(OFFSET($H$3,0,0,'Données projet'!$E$14+1,1))</f>
        <v>376.33792692771908</v>
      </c>
      <c r="DU22" s="59">
        <f t="shared" si="44"/>
        <v>367.92889258044698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469.68830256438338</v>
      </c>
      <c r="T23" s="59">
        <f t="shared" si="34"/>
        <v>332.61387922152159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0.64260789775653271</v>
      </c>
      <c r="AB23" s="21">
        <f>EXP(-LN(2)/2)*AB22+(1-EXP(-LN(2)/2))/(LN(2)/2)*V23*Y23*VLOOKUP('Données projet'!$B$9,Paramètres!$A$1:$I$89,3,0)*0.475*44/12</f>
        <v>1.2805547285024328</v>
      </c>
      <c r="AC23" s="22">
        <f t="shared" si="3"/>
        <v>1.9231626262589656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78.577200000000005</v>
      </c>
      <c r="AK23" s="13">
        <f t="shared" si="35"/>
        <v>21.788939637935243</v>
      </c>
      <c r="AL23" s="20">
        <f t="shared" si="4"/>
        <v>174.8043598694039</v>
      </c>
      <c r="AM23" s="59">
        <f t="shared" si="5"/>
        <v>455.91547098051501</v>
      </c>
      <c r="AN23" s="59">
        <f ca="1">AVERAGE(OFFSET($AM$3,0,0,'Données projet'!$E$10+1,1))-AVERAGE(OFFSET($H$3,0,0,'Données projet'!$E$10+1,1))</f>
        <v>550.66682372933292</v>
      </c>
      <c r="AO23" s="59">
        <f t="shared" si="36"/>
        <v>387.28615589698444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0.76448180940001309</v>
      </c>
      <c r="AW23" s="21">
        <f>EXP(-LN(2)/2)*AW22+(1-EXP(-LN(2)/2))/(LN(2)/2)*AQ23*AT23*VLOOKUP('Données projet'!$B$10,Paramètres!$A$1:$I$89,3,0)*0.475*44/12</f>
        <v>1.5234185563218594</v>
      </c>
      <c r="AX23" s="21">
        <f t="shared" si="6"/>
        <v>2.2879003657218724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117</v>
      </c>
      <c r="BB23" s="12">
        <f>VLOOKUP(A23,'Données projet'!$A$87:$I$107,9,0)</f>
        <v>5.85</v>
      </c>
      <c r="BC23" s="12">
        <f t="array" ref="BC23">INDEX(BB:BB,MIN(IF(ISNUMBER(BB23:BB219),ROW(BB23:BB219),"")))</f>
        <v>5.85</v>
      </c>
      <c r="BD23" s="12">
        <f>IF('Données projet'!$A$88&gt;35,BD22+BC23-BL22,IF(A23&lt;'Données projet'!$A$88,$BA$205^A23,IF(A23='Données projet'!$A$88,'Données projet'!$B$88,BD22+BC23-BL22)))</f>
        <v>117</v>
      </c>
      <c r="BE23" s="13">
        <f>BD23*VLOOKUP('Données projet'!$B$11,Paramètres!$A$1:$I$89,3,0)*VLOOKUP('Données projet'!$B$11,Paramètres!$A$1:$I$89,5,0)</f>
        <v>91.26</v>
      </c>
      <c r="BF23" s="13">
        <f t="shared" si="37"/>
        <v>24.868860330902777</v>
      </c>
      <c r="BG23" s="20">
        <f t="shared" si="7"/>
        <v>202.25776507632233</v>
      </c>
      <c r="BH23" s="59">
        <f t="shared" si="8"/>
        <v>483.36887618743344</v>
      </c>
      <c r="BI23" s="59">
        <f ca="1">AVERAGE(OFFSET($BH$3,0,0,'Données projet'!$E$11+1,1))-AVERAGE(OFFSET($H$3,0,0,'Données projet'!$E$11+1,1))</f>
        <v>376.33792692771908</v>
      </c>
      <c r="BJ23" s="59">
        <f t="shared" si="38"/>
        <v>367.92889258044698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2.4928754654348251</v>
      </c>
      <c r="BR23" s="21">
        <f>EXP(-LN(2)/2)*BR22+(1-EXP(-LN(2)/2))/(LN(2)/2)*BL23*BO23*VLOOKUP('Données projet'!$B$11,Paramètres!$A$1:$I$89,3,0)*0.475*44/12</f>
        <v>4.9676692053973701</v>
      </c>
      <c r="BS23" s="22">
        <f t="shared" si="9"/>
        <v>7.4605446708321956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38.001600000000003</v>
      </c>
      <c r="CA23" s="13">
        <f t="shared" si="39"/>
        <v>11.467401227090512</v>
      </c>
      <c r="CB23" s="20">
        <f t="shared" si="10"/>
        <v>86.158510470515978</v>
      </c>
      <c r="CC23" s="59">
        <f t="shared" si="11"/>
        <v>367.26962158162712</v>
      </c>
      <c r="CD23" s="59">
        <f ca="1">AVERAGE(OFFSET($CC$3,0,0,'Données projet'!$E$12+1,1))-AVERAGE(OFFSET($H$3,0,0,'Données projet'!$E$12+1,1))</f>
        <v>388.50131600273431</v>
      </c>
      <c r="CE23" s="59">
        <f t="shared" si="40"/>
        <v>247.01165577562955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45.208799999999997</v>
      </c>
      <c r="CV23" s="13">
        <f t="shared" si="41"/>
        <v>13.369251386406743</v>
      </c>
      <c r="CW23" s="20">
        <f t="shared" si="13"/>
        <v>102.02343949799173</v>
      </c>
      <c r="CX23" s="59">
        <f t="shared" si="14"/>
        <v>383.13455060910286</v>
      </c>
      <c r="CY23" s="59">
        <f ca="1">AVERAGE(OFFSET($CX$3,0,0,'Données projet'!$E$13+1,1))-AVERAGE(OFFSET($H$3,0,0,'Données projet'!$E$13+1,1))</f>
        <v>454.43000549907373</v>
      </c>
      <c r="CZ23" s="59">
        <f t="shared" si="42"/>
        <v>285.83623046025156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5.85</v>
      </c>
      <c r="DN23" s="12">
        <f t="array" ref="DN23">INDEX(DM:DM,MIN(IF(ISNUMBER(DM23:DM219),ROW(DM23:DM219),"")))</f>
        <v>5.85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91.26</v>
      </c>
      <c r="DQ23" s="13">
        <f t="shared" si="43"/>
        <v>24.868860330902777</v>
      </c>
      <c r="DR23" s="20">
        <f t="shared" si="16"/>
        <v>202.25776507632233</v>
      </c>
      <c r="DS23" s="59">
        <f t="shared" si="17"/>
        <v>483.36887618743344</v>
      </c>
      <c r="DT23" s="59">
        <f ca="1">AVERAGE(OFFSET($DS$3,0,0,'Données projet'!$E$14+1,1))-AVERAGE(OFFSET($H$3,0,0,'Données projet'!$E$14+1,1))</f>
        <v>376.33792692771908</v>
      </c>
      <c r="DU23" s="59">
        <f t="shared" si="44"/>
        <v>367.92889258044698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2.4928754654348251</v>
      </c>
      <c r="EC23" s="21">
        <f>EXP(-LN(2)/2)*EC22+(1-EXP(-LN(2)/2))/(LN(2)/2)*DW23*DZ23*VLOOKUP('Données projet'!$B$14,Paramètres!$A$1:$I$89,3,0)*0.475*44/12</f>
        <v>4.9676692053973701</v>
      </c>
      <c r="ED23" s="22">
        <f t="shared" si="18"/>
        <v>7.4605446708321956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68.040959999999998</v>
      </c>
      <c r="P24" s="13">
        <f t="shared" si="33"/>
        <v>19.186158107165539</v>
      </c>
      <c r="Q24" s="20">
        <f t="shared" si="2"/>
        <v>151.92056403664665</v>
      </c>
      <c r="R24" s="59">
        <f t="shared" si="0"/>
        <v>434.25389736998</v>
      </c>
      <c r="S24" s="59">
        <f ca="1">AVERAGE(OFFSET($R$3,0,0,'Données projet'!$E$9+1,1))-AVERAGE(OFFSET($H$3,0,0,'Données projet'!$E$9+1,1))</f>
        <v>469.68830256438338</v>
      </c>
      <c r="T24" s="59">
        <f t="shared" si="34"/>
        <v>332.61387922152159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0.62503575099909969</v>
      </c>
      <c r="AB24" s="21">
        <f>EXP(-LN(2)/2)*AB23+(1-EXP(-LN(2)/2))/(LN(2)/2)*V24*Y24*VLOOKUP('Données projet'!$B$9,Paramètres!$A$1:$I$89,3,0)*0.475*44/12</f>
        <v>0.90548893220456861</v>
      </c>
      <c r="AC24" s="22">
        <f t="shared" si="3"/>
        <v>1.5305246832036683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80.945279999999997</v>
      </c>
      <c r="AK24" s="13">
        <f t="shared" si="35"/>
        <v>22.368151754215884</v>
      </c>
      <c r="AL24" s="20">
        <f t="shared" si="4"/>
        <v>179.93756030525932</v>
      </c>
      <c r="AM24" s="59">
        <f t="shared" si="5"/>
        <v>462.27089363859261</v>
      </c>
      <c r="AN24" s="59">
        <f ca="1">AVERAGE(OFFSET($AM$3,0,0,'Données projet'!$E$10+1,1))-AVERAGE(OFFSET($H$3,0,0,'Données projet'!$E$10+1,1))</f>
        <v>550.66682372933292</v>
      </c>
      <c r="AO24" s="59">
        <f t="shared" si="36"/>
        <v>387.28615589698444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0.74357701411961863</v>
      </c>
      <c r="AW24" s="21">
        <f>EXP(-LN(2)/2)*AW23+(1-EXP(-LN(2)/2))/(LN(2)/2)*AQ24*AT24*VLOOKUP('Données projet'!$B$10,Paramètres!$A$1:$I$89,3,0)*0.475*44/12</f>
        <v>1.0772195917606073</v>
      </c>
      <c r="AX24" s="21">
        <f t="shared" si="6"/>
        <v>1.8207966058802261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10.4</v>
      </c>
      <c r="BD24" s="12">
        <f>IF('Données projet'!$A$88&gt;35,BD23+BC24-BL23,IF(A24&lt;'Données projet'!$A$88,$BA$205^A24,IF(A24='Données projet'!$A$88,'Données projet'!$B$88,BD23+BC24-BL23)))</f>
        <v>100.4</v>
      </c>
      <c r="BE24" s="13">
        <f>BD24*VLOOKUP('Données projet'!$B$11,Paramètres!$A$1:$I$89,3,0)*VLOOKUP('Données projet'!$B$11,Paramètres!$A$1:$I$89,5,0)</f>
        <v>78.312000000000012</v>
      </c>
      <c r="BF24" s="13">
        <f t="shared" si="37"/>
        <v>21.723948494283775</v>
      </c>
      <c r="BG24" s="20">
        <f t="shared" si="7"/>
        <v>174.22927696087757</v>
      </c>
      <c r="BH24" s="59">
        <f t="shared" si="8"/>
        <v>456.56261029421091</v>
      </c>
      <c r="BI24" s="59">
        <f ca="1">AVERAGE(OFFSET($BH$3,0,0,'Données projet'!$E$11+1,1))-AVERAGE(OFFSET($H$3,0,0,'Données projet'!$E$11+1,1))</f>
        <v>376.33792692771908</v>
      </c>
      <c r="BJ24" s="59">
        <f t="shared" si="38"/>
        <v>367.92889258044698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2.4247076547378867</v>
      </c>
      <c r="BR24" s="21">
        <f>EXP(-LN(2)/2)*BR23+(1-EXP(-LN(2)/2))/(LN(2)/2)*BL24*BO24*VLOOKUP('Données projet'!$B$11,Paramètres!$A$1:$I$89,3,0)*0.475*44/12</f>
        <v>3.5126725818280686</v>
      </c>
      <c r="BS24" s="22">
        <f t="shared" si="9"/>
        <v>5.9373802365659554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43.701839999999997</v>
      </c>
      <c r="CA24" s="13">
        <f t="shared" si="39"/>
        <v>12.974708810432297</v>
      </c>
      <c r="CB24" s="20">
        <f t="shared" si="10"/>
        <v>98.711655844836244</v>
      </c>
      <c r="CC24" s="59">
        <f t="shared" si="11"/>
        <v>381.04498917816954</v>
      </c>
      <c r="CD24" s="59">
        <f ca="1">AVERAGE(OFFSET($CC$3,0,0,'Données projet'!$E$12+1,1))-AVERAGE(OFFSET($H$3,0,0,'Données projet'!$E$12+1,1))</f>
        <v>388.50131600273431</v>
      </c>
      <c r="CE24" s="59">
        <f t="shared" si="40"/>
        <v>247.01165577562955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6.3</v>
      </c>
      <c r="CT24" s="12">
        <f>IF('Données projet'!$A$140&gt;35,CT23+CS24-DB23,IF(A24&lt;'Données projet'!$A$140,$CQ$205^A24,IF(A24='Données projet'!$A$140,'Données projet'!$B$140,CT23+CS24-DB23)))</f>
        <v>48.3</v>
      </c>
      <c r="CU24" s="17">
        <f>CT24*VLOOKUP('Données projet'!$B$13,Paramètres!$A$1:$I$89,3,0)*VLOOKUP('Données projet'!$B$13,Paramètres!$A$1:$I$89,5,0)</f>
        <v>51.990119999999997</v>
      </c>
      <c r="CV24" s="13">
        <f t="shared" si="41"/>
        <v>15.126543522547198</v>
      </c>
      <c r="CW24" s="20">
        <f t="shared" si="13"/>
        <v>116.89485563510304</v>
      </c>
      <c r="CX24" s="59">
        <f t="shared" si="14"/>
        <v>399.22818896843637</v>
      </c>
      <c r="CY24" s="59">
        <f ca="1">AVERAGE(OFFSET($CX$3,0,0,'Données projet'!$E$13+1,1))-AVERAGE(OFFSET($H$3,0,0,'Données projet'!$E$13+1,1))</f>
        <v>454.43000549907373</v>
      </c>
      <c r="CZ24" s="59">
        <f t="shared" si="42"/>
        <v>285.83623046025156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10.4</v>
      </c>
      <c r="DO24" s="12">
        <f>IF('Données projet'!$A$166&gt;35,DO23+DN24-DW23,IF(A24&lt;'Données projet'!$A$166,$DL$205^A24,IF(A24='Données projet'!$A$166,'Données projet'!$B$166,DO23+DN24-DW23)))</f>
        <v>100.4</v>
      </c>
      <c r="DP24" s="17">
        <f>DO24*VLOOKUP('Données projet'!$B$14,Paramètres!$A$1:$I$89,3,0)*VLOOKUP('Données projet'!$B$14,Paramètres!$A$1:$I$89,5,0)</f>
        <v>78.312000000000012</v>
      </c>
      <c r="DQ24" s="13">
        <f t="shared" si="43"/>
        <v>21.723948494283775</v>
      </c>
      <c r="DR24" s="20">
        <f t="shared" si="16"/>
        <v>174.22927696087757</v>
      </c>
      <c r="DS24" s="59">
        <f t="shared" si="17"/>
        <v>456.56261029421091</v>
      </c>
      <c r="DT24" s="59">
        <f ca="1">AVERAGE(OFFSET($DS$3,0,0,'Données projet'!$E$14+1,1))-AVERAGE(OFFSET($H$3,0,0,'Données projet'!$E$14+1,1))</f>
        <v>376.33792692771908</v>
      </c>
      <c r="DU24" s="59">
        <f t="shared" si="44"/>
        <v>367.92889258044698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2.4247076547378867</v>
      </c>
      <c r="EC24" s="21">
        <f>EXP(-LN(2)/2)*EC23+(1-EXP(-LN(2)/2))/(LN(2)/2)*DW24*DZ24*VLOOKUP('Données projet'!$B$14,Paramètres!$A$1:$I$89,3,0)*0.475*44/12</f>
        <v>3.5126725818280686</v>
      </c>
      <c r="ED24" s="22">
        <f t="shared" si="18"/>
        <v>5.9373802365659554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75.460319999999996</v>
      </c>
      <c r="P25" s="13">
        <f t="shared" si="33"/>
        <v>21.023463123249066</v>
      </c>
      <c r="Q25" s="20">
        <f t="shared" si="2"/>
        <v>168.04258893965877</v>
      </c>
      <c r="R25" s="59">
        <f t="shared" si="0"/>
        <v>451.59814449521434</v>
      </c>
      <c r="S25" s="59">
        <f ca="1">AVERAGE(OFFSET($R$3,0,0,'Données projet'!$E$9+1,1))-AVERAGE(OFFSET($H$3,0,0,'Données projet'!$E$9+1,1))</f>
        <v>469.68830256438338</v>
      </c>
      <c r="T25" s="59">
        <f t="shared" si="34"/>
        <v>332.61387922152159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0.60794411551882765</v>
      </c>
      <c r="AB25" s="21">
        <f>EXP(-LN(2)/2)*AB24+(1-EXP(-LN(2)/2))/(LN(2)/2)*V25*Y25*VLOOKUP('Données projet'!$B$9,Paramètres!$A$1:$I$89,3,0)*0.475*44/12</f>
        <v>0.64027736425121651</v>
      </c>
      <c r="AC25" s="22">
        <f t="shared" si="3"/>
        <v>1.2482214797700442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89.77176</v>
      </c>
      <c r="AK25" s="13">
        <f t="shared" si="35"/>
        <v>24.510170869715072</v>
      </c>
      <c r="AL25" s="20">
        <f t="shared" si="4"/>
        <v>199.04102959808708</v>
      </c>
      <c r="AM25" s="59">
        <f t="shared" si="5"/>
        <v>482.59658515364265</v>
      </c>
      <c r="AN25" s="59">
        <f ca="1">AVERAGE(OFFSET($AM$3,0,0,'Données projet'!$E$10+1,1))-AVERAGE(OFFSET($H$3,0,0,'Données projet'!$E$10+1,1))</f>
        <v>550.66682372933292</v>
      </c>
      <c r="AO25" s="59">
        <f t="shared" si="36"/>
        <v>387.28615589698444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0.72324386156550191</v>
      </c>
      <c r="AW25" s="21">
        <f>EXP(-LN(2)/2)*AW24+(1-EXP(-LN(2)/2))/(LN(2)/2)*AQ25*AT25*VLOOKUP('Données projet'!$B$10,Paramètres!$A$1:$I$89,3,0)*0.475*44/12</f>
        <v>0.76170927816092993</v>
      </c>
      <c r="AX25" s="21">
        <f t="shared" si="6"/>
        <v>1.4849531397264317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10.4</v>
      </c>
      <c r="BD25" s="12">
        <f>IF('Données projet'!$A$88&gt;35,BD24+BC25-BL24,IF(A25&lt;'Données projet'!$A$88,$BA$205^A25,IF(A25='Données projet'!$A$88,'Données projet'!$B$88,BD24+BC25-BL24)))</f>
        <v>110.80000000000001</v>
      </c>
      <c r="BE25" s="13">
        <f>BD25*VLOOKUP('Données projet'!$B$11,Paramètres!$A$1:$I$89,3,0)*VLOOKUP('Données projet'!$B$11,Paramètres!$A$1:$I$89,5,0)</f>
        <v>86.424000000000007</v>
      </c>
      <c r="BF25" s="13">
        <f t="shared" si="37"/>
        <v>23.700755391849651</v>
      </c>
      <c r="BG25" s="20">
        <f t="shared" si="7"/>
        <v>191.80061564080484</v>
      </c>
      <c r="BH25" s="59">
        <f t="shared" si="8"/>
        <v>475.35617119636038</v>
      </c>
      <c r="BI25" s="59">
        <f ca="1">AVERAGE(OFFSET($BH$3,0,0,'Données projet'!$E$11+1,1))-AVERAGE(OFFSET($H$3,0,0,'Données projet'!$E$11+1,1))</f>
        <v>376.33792692771908</v>
      </c>
      <c r="BJ25" s="59">
        <f t="shared" si="38"/>
        <v>367.92889258044698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2.3584038964092455</v>
      </c>
      <c r="BR25" s="21">
        <f>EXP(-LN(2)/2)*BR24+(1-EXP(-LN(2)/2))/(LN(2)/2)*BL25*BO25*VLOOKUP('Données projet'!$B$11,Paramètres!$A$1:$I$89,3,0)*0.475*44/12</f>
        <v>2.4838346026986851</v>
      </c>
      <c r="BS25" s="22">
        <f t="shared" si="9"/>
        <v>4.8422384991079301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49.402079999999998</v>
      </c>
      <c r="CA25" s="13">
        <f t="shared" si="39"/>
        <v>14.459236264867963</v>
      </c>
      <c r="CB25" s="20">
        <f t="shared" si="10"/>
        <v>111.22512582797835</v>
      </c>
      <c r="CC25" s="59">
        <f t="shared" si="11"/>
        <v>394.78068138353387</v>
      </c>
      <c r="CD25" s="59">
        <f ca="1">AVERAGE(OFFSET($CC$3,0,0,'Données projet'!$E$12+1,1))-AVERAGE(OFFSET($H$3,0,0,'Données projet'!$E$12+1,1))</f>
        <v>388.50131600273431</v>
      </c>
      <c r="CE25" s="59">
        <f t="shared" si="40"/>
        <v>247.01165577562955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6.3</v>
      </c>
      <c r="CT25" s="12">
        <f>IF('Données projet'!$A$140&gt;35,CT24+CS25-DB24,IF(A25&lt;'Données projet'!$A$140,$CQ$205^A25,IF(A25='Données projet'!$A$140,'Données projet'!$B$140,CT24+CS25-DB24)))</f>
        <v>54.599999999999994</v>
      </c>
      <c r="CU25" s="17">
        <f>CT25*VLOOKUP('Données projet'!$B$13,Paramètres!$A$1:$I$89,3,0)*VLOOKUP('Données projet'!$B$13,Paramètres!$A$1:$I$89,5,0)</f>
        <v>58.771439999999991</v>
      </c>
      <c r="CV25" s="13">
        <f t="shared" si="41"/>
        <v>16.857277481823555</v>
      </c>
      <c r="CW25" s="20">
        <f t="shared" si="13"/>
        <v>131.72001628084266</v>
      </c>
      <c r="CX25" s="59">
        <f t="shared" si="14"/>
        <v>415.27557183639817</v>
      </c>
      <c r="CY25" s="59">
        <f ca="1">AVERAGE(OFFSET($CX$3,0,0,'Données projet'!$E$13+1,1))-AVERAGE(OFFSET($H$3,0,0,'Données projet'!$E$13+1,1))</f>
        <v>454.43000549907373</v>
      </c>
      <c r="CZ25" s="59">
        <f t="shared" si="42"/>
        <v>285.83623046025156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10.4</v>
      </c>
      <c r="DO25" s="12">
        <f>IF('Données projet'!$A$166&gt;35,DO24+DN25-DW24,IF(A25&lt;'Données projet'!$A$166,$DL$205^A25,IF(A25='Données projet'!$A$166,'Données projet'!$B$166,DO24+DN25-DW24)))</f>
        <v>110.80000000000001</v>
      </c>
      <c r="DP25" s="17">
        <f>DO25*VLOOKUP('Données projet'!$B$14,Paramètres!$A$1:$I$89,3,0)*VLOOKUP('Données projet'!$B$14,Paramètres!$A$1:$I$89,5,0)</f>
        <v>86.424000000000007</v>
      </c>
      <c r="DQ25" s="13">
        <f t="shared" si="43"/>
        <v>23.700755391849651</v>
      </c>
      <c r="DR25" s="20">
        <f t="shared" si="16"/>
        <v>191.80061564080484</v>
      </c>
      <c r="DS25" s="59">
        <f t="shared" si="17"/>
        <v>475.35617119636038</v>
      </c>
      <c r="DT25" s="59">
        <f ca="1">AVERAGE(OFFSET($DS$3,0,0,'Données projet'!$E$14+1,1))-AVERAGE(OFFSET($H$3,0,0,'Données projet'!$E$14+1,1))</f>
        <v>376.33792692771908</v>
      </c>
      <c r="DU25" s="59">
        <f t="shared" si="44"/>
        <v>367.92889258044698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2.3584038964092455</v>
      </c>
      <c r="EC25" s="21">
        <f>EXP(-LN(2)/2)*EC24+(1-EXP(-LN(2)/2))/(LN(2)/2)*DW25*DZ25*VLOOKUP('Données projet'!$B$14,Paramètres!$A$1:$I$89,3,0)*0.475*44/12</f>
        <v>2.4838346026986851</v>
      </c>
      <c r="ED25" s="22">
        <f t="shared" si="18"/>
        <v>4.8422384991079301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82.879680000000008</v>
      </c>
      <c r="P26" s="13">
        <f t="shared" si="33"/>
        <v>22.83982519050506</v>
      </c>
      <c r="Q26" s="20">
        <f t="shared" si="2"/>
        <v>184.12813820679631</v>
      </c>
      <c r="R26" s="59">
        <f t="shared" si="0"/>
        <v>468.90591598457411</v>
      </c>
      <c r="S26" s="59">
        <f ca="1">AVERAGE(OFFSET($R$3,0,0,'Données projet'!$E$9+1,1))-AVERAGE(OFFSET($H$3,0,0,'Données projet'!$E$9+1,1))</f>
        <v>469.68830256438338</v>
      </c>
      <c r="T26" s="59">
        <f t="shared" si="34"/>
        <v>332.61387922152159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0.5913198517095738</v>
      </c>
      <c r="AB26" s="21">
        <f>EXP(-LN(2)/2)*AB25+(1-EXP(-LN(2)/2))/(LN(2)/2)*V26*Y26*VLOOKUP('Données projet'!$B$9,Paramètres!$A$1:$I$89,3,0)*0.475*44/12</f>
        <v>0.45274446610228436</v>
      </c>
      <c r="AC26" s="22">
        <f t="shared" si="3"/>
        <v>1.0440643178118583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98.598240000000004</v>
      </c>
      <c r="AK26" s="13">
        <f t="shared" si="35"/>
        <v>26.627773681807462</v>
      </c>
      <c r="AL26" s="20">
        <f t="shared" si="4"/>
        <v>218.10197382914802</v>
      </c>
      <c r="AM26" s="59">
        <f t="shared" si="5"/>
        <v>502.87975160692577</v>
      </c>
      <c r="AN26" s="59">
        <f ca="1">AVERAGE(OFFSET($AM$3,0,0,'Données projet'!$E$10+1,1))-AVERAGE(OFFSET($H$3,0,0,'Données projet'!$E$10+1,1))</f>
        <v>550.66682372933292</v>
      </c>
      <c r="AO26" s="59">
        <f t="shared" si="36"/>
        <v>387.28615589698444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0.70346672013725153</v>
      </c>
      <c r="AW26" s="21">
        <f>EXP(-LN(2)/2)*AW25+(1-EXP(-LN(2)/2))/(LN(2)/2)*AQ26*AT26*VLOOKUP('Données projet'!$B$10,Paramètres!$A$1:$I$89,3,0)*0.475*44/12</f>
        <v>0.53860979588030378</v>
      </c>
      <c r="AX26" s="21">
        <f t="shared" si="6"/>
        <v>1.2420765160175553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10.4</v>
      </c>
      <c r="BD26" s="12">
        <f>IF('Données projet'!$A$88&gt;35,BD25+BC26-BL25,IF(A26&lt;'Données projet'!$A$88,$BA$205^A26,IF(A26='Données projet'!$A$88,'Données projet'!$B$88,BD25+BC26-BL25)))</f>
        <v>121.20000000000002</v>
      </c>
      <c r="BE26" s="13">
        <f>BD26*VLOOKUP('Données projet'!$B$11,Paramètres!$A$1:$I$89,3,0)*VLOOKUP('Données projet'!$B$11,Paramètres!$A$1:$I$89,5,0)</f>
        <v>94.536000000000016</v>
      </c>
      <c r="BF26" s="13">
        <f t="shared" si="37"/>
        <v>25.656048664271697</v>
      </c>
      <c r="BG26" s="20">
        <f t="shared" si="7"/>
        <v>209.3344847569399</v>
      </c>
      <c r="BH26" s="59">
        <f t="shared" si="8"/>
        <v>494.11226253471767</v>
      </c>
      <c r="BI26" s="59">
        <f ca="1">AVERAGE(OFFSET($BH$3,0,0,'Données projet'!$E$11+1,1))-AVERAGE(OFFSET($H$3,0,0,'Données projet'!$E$11+1,1))</f>
        <v>376.33792692771908</v>
      </c>
      <c r="BJ26" s="59">
        <f t="shared" si="38"/>
        <v>367.92889258044698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2.2939132178388641</v>
      </c>
      <c r="BR26" s="21">
        <f>EXP(-LN(2)/2)*BR25+(1-EXP(-LN(2)/2))/(LN(2)/2)*BL26*BO26*VLOOKUP('Données projet'!$B$11,Paramètres!$A$1:$I$89,3,0)*0.475*44/12</f>
        <v>1.7563362909140343</v>
      </c>
      <c r="BS26" s="22">
        <f t="shared" si="9"/>
        <v>4.0502495087528985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55.102319999999992</v>
      </c>
      <c r="CA26" s="13">
        <f t="shared" si="39"/>
        <v>15.923912218988239</v>
      </c>
      <c r="CB26" s="20">
        <f t="shared" si="10"/>
        <v>123.70402111473783</v>
      </c>
      <c r="CC26" s="59">
        <f t="shared" si="11"/>
        <v>408.4817988925156</v>
      </c>
      <c r="CD26" s="59">
        <f ca="1">AVERAGE(OFFSET($CC$3,0,0,'Données projet'!$E$12+1,1))-AVERAGE(OFFSET($H$3,0,0,'Données projet'!$E$12+1,1))</f>
        <v>388.50131600273431</v>
      </c>
      <c r="CE26" s="59">
        <f t="shared" si="40"/>
        <v>247.01165577562955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6.3</v>
      </c>
      <c r="CT26" s="12">
        <f>IF('Données projet'!$A$140&gt;35,CT25+CS26-DB25,IF(A26&lt;'Données projet'!$A$140,$CQ$205^A26,IF(A26='Données projet'!$A$140,'Données projet'!$B$140,CT25+CS26-DB25)))</f>
        <v>60.899999999999991</v>
      </c>
      <c r="CU26" s="17">
        <f>CT26*VLOOKUP('Données projet'!$B$13,Paramètres!$A$1:$I$89,3,0)*VLOOKUP('Données projet'!$B$13,Paramètres!$A$1:$I$89,5,0)</f>
        <v>65.552759999999992</v>
      </c>
      <c r="CV26" s="13">
        <f t="shared" si="41"/>
        <v>18.564867601195999</v>
      </c>
      <c r="CW26" s="20">
        <f t="shared" si="13"/>
        <v>146.50486807208301</v>
      </c>
      <c r="CX26" s="59">
        <f t="shared" si="14"/>
        <v>431.28264584986078</v>
      </c>
      <c r="CY26" s="59">
        <f ca="1">AVERAGE(OFFSET($CX$3,0,0,'Données projet'!$E$13+1,1))-AVERAGE(OFFSET($H$3,0,0,'Données projet'!$E$13+1,1))</f>
        <v>454.43000549907373</v>
      </c>
      <c r="CZ26" s="59">
        <f t="shared" si="42"/>
        <v>285.83623046025156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10.4</v>
      </c>
      <c r="DO26" s="12">
        <f>IF('Données projet'!$A$166&gt;35,DO25+DN26-DW25,IF(A26&lt;'Données projet'!$A$166,$DL$205^A26,IF(A26='Données projet'!$A$166,'Données projet'!$B$166,DO25+DN26-DW25)))</f>
        <v>121.20000000000002</v>
      </c>
      <c r="DP26" s="17">
        <f>DO26*VLOOKUP('Données projet'!$B$14,Paramètres!$A$1:$I$89,3,0)*VLOOKUP('Données projet'!$B$14,Paramètres!$A$1:$I$89,5,0)</f>
        <v>94.536000000000016</v>
      </c>
      <c r="DQ26" s="13">
        <f t="shared" si="43"/>
        <v>25.656048664271697</v>
      </c>
      <c r="DR26" s="20">
        <f t="shared" si="16"/>
        <v>209.3344847569399</v>
      </c>
      <c r="DS26" s="59">
        <f t="shared" si="17"/>
        <v>494.11226253471767</v>
      </c>
      <c r="DT26" s="59">
        <f ca="1">AVERAGE(OFFSET($DS$3,0,0,'Données projet'!$E$14+1,1))-AVERAGE(OFFSET($H$3,0,0,'Données projet'!$E$14+1,1))</f>
        <v>376.33792692771908</v>
      </c>
      <c r="DU26" s="59">
        <f t="shared" si="44"/>
        <v>367.92889258044698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2.2939132178388641</v>
      </c>
      <c r="EC26" s="21">
        <f>EXP(-LN(2)/2)*EC25+(1-EXP(-LN(2)/2))/(LN(2)/2)*DW26*DZ26*VLOOKUP('Données projet'!$B$14,Paramètres!$A$1:$I$89,3,0)*0.475*44/12</f>
        <v>1.7563362909140343</v>
      </c>
      <c r="ED26" s="22">
        <f t="shared" si="18"/>
        <v>4.0502495087528985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90.299040000000005</v>
      </c>
      <c r="P27" s="13">
        <f t="shared" si="33"/>
        <v>24.637332311507059</v>
      </c>
      <c r="Q27" s="20">
        <f t="shared" si="2"/>
        <v>200.18084844254145</v>
      </c>
      <c r="R27" s="59">
        <f t="shared" si="0"/>
        <v>486.18084844254145</v>
      </c>
      <c r="S27" s="59">
        <f ca="1">AVERAGE(OFFSET($R$3,0,0,'Données projet'!$E$9+1,1))-AVERAGE(OFFSET($H$3,0,0,'Données projet'!$E$9+1,1))</f>
        <v>469.68830256438338</v>
      </c>
      <c r="T27" s="59">
        <f t="shared" si="34"/>
        <v>332.61387922152159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0.57515017926841594</v>
      </c>
      <c r="AB27" s="21">
        <f>EXP(-LN(2)/2)*AB26+(1-EXP(-LN(2)/2))/(LN(2)/2)*V27*Y27*VLOOKUP('Données projet'!$B$9,Paramètres!$A$1:$I$89,3,0)*0.475*44/12</f>
        <v>0.32013868212560831</v>
      </c>
      <c r="AC27" s="22">
        <f t="shared" si="3"/>
        <v>0.89528886139402419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107.42472000000002</v>
      </c>
      <c r="AK27" s="13">
        <f t="shared" si="35"/>
        <v>28.723394484955154</v>
      </c>
      <c r="AL27" s="20">
        <f t="shared" si="4"/>
        <v>237.12463272796364</v>
      </c>
      <c r="AM27" s="59">
        <f t="shared" si="5"/>
        <v>523.12463272796367</v>
      </c>
      <c r="AN27" s="59">
        <f ca="1">AVERAGE(OFFSET($AM$3,0,0,'Données projet'!$E$10+1,1))-AVERAGE(OFFSET($H$3,0,0,'Données projet'!$E$10+1,1))</f>
        <v>550.66682372933292</v>
      </c>
      <c r="AO27" s="59">
        <f t="shared" si="36"/>
        <v>387.28615589698444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0.68423038568139138</v>
      </c>
      <c r="AW27" s="21">
        <f>EXP(-LN(2)/2)*AW26+(1-EXP(-LN(2)/2))/(LN(2)/2)*AQ27*AT27*VLOOKUP('Données projet'!$B$10,Paramètres!$A$1:$I$89,3,0)*0.475*44/12</f>
        <v>0.38085463908046502</v>
      </c>
      <c r="AX27" s="21">
        <f t="shared" si="6"/>
        <v>1.0650850247618564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10.4</v>
      </c>
      <c r="BD27" s="12">
        <f>IF('Données projet'!$A$88&gt;35,BD26+BC27-BL26,IF(A27&lt;'Données projet'!$A$88,$BA$205^A27,IF(A27='Données projet'!$A$88,'Données projet'!$B$88,BD26+BC27-BL26)))</f>
        <v>131.60000000000002</v>
      </c>
      <c r="BE27" s="13">
        <f>BD27*VLOOKUP('Données projet'!$B$11,Paramètres!$A$1:$I$89,3,0)*VLOOKUP('Données projet'!$B$11,Paramètres!$A$1:$I$89,5,0)</f>
        <v>102.64800000000002</v>
      </c>
      <c r="BF27" s="13">
        <f t="shared" si="37"/>
        <v>27.591884256813071</v>
      </c>
      <c r="BG27" s="20">
        <f t="shared" si="7"/>
        <v>226.83446508061613</v>
      </c>
      <c r="BH27" s="59">
        <f t="shared" si="8"/>
        <v>512.83446508061616</v>
      </c>
      <c r="BI27" s="59">
        <f ca="1">AVERAGE(OFFSET($BH$3,0,0,'Données projet'!$E$11+1,1))-AVERAGE(OFFSET($H$3,0,0,'Données projet'!$E$11+1,1))</f>
        <v>376.33792692771908</v>
      </c>
      <c r="BJ27" s="59">
        <f t="shared" si="38"/>
        <v>367.92889258044698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2.2311860402654071</v>
      </c>
      <c r="BR27" s="21">
        <f>EXP(-LN(2)/2)*BR26+(1-EXP(-LN(2)/2))/(LN(2)/2)*BL27*BO27*VLOOKUP('Données projet'!$B$11,Paramètres!$A$1:$I$89,3,0)*0.475*44/12</f>
        <v>1.2419173013493425</v>
      </c>
      <c r="BS27" s="22">
        <f t="shared" si="9"/>
        <v>3.4731033416147499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60.802559999999993</v>
      </c>
      <c r="CA27" s="13">
        <f t="shared" si="39"/>
        <v>17.371024177726472</v>
      </c>
      <c r="CB27" s="20">
        <f t="shared" si="10"/>
        <v>136.15232577620694</v>
      </c>
      <c r="CC27" s="59">
        <f t="shared" si="11"/>
        <v>422.15232577620691</v>
      </c>
      <c r="CD27" s="59">
        <f ca="1">AVERAGE(OFFSET($CC$3,0,0,'Données projet'!$E$12+1,1))-AVERAGE(OFFSET($H$3,0,0,'Données projet'!$E$12+1,1))</f>
        <v>388.50131600273431</v>
      </c>
      <c r="CE27" s="59">
        <f t="shared" si="40"/>
        <v>247.01165577562955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6.3</v>
      </c>
      <c r="CT27" s="12">
        <f>IF('Données projet'!$A$140&gt;35,CT26+CS27-DB26,IF(A27&lt;'Données projet'!$A$140,$CQ$205^A27,IF(A27='Données projet'!$A$140,'Données projet'!$B$140,CT26+CS27-DB26)))</f>
        <v>67.199999999999989</v>
      </c>
      <c r="CU27" s="17">
        <f>CT27*VLOOKUP('Données projet'!$B$13,Paramètres!$A$1:$I$89,3,0)*VLOOKUP('Données projet'!$B$13,Paramètres!$A$1:$I$89,5,0)</f>
        <v>72.334079999999986</v>
      </c>
      <c r="CV27" s="13">
        <f t="shared" si="41"/>
        <v>20.251980764633768</v>
      </c>
      <c r="CW27" s="20">
        <f t="shared" si="13"/>
        <v>161.25405583173711</v>
      </c>
      <c r="CX27" s="59">
        <f t="shared" si="14"/>
        <v>447.25405583173711</v>
      </c>
      <c r="CY27" s="59">
        <f ca="1">AVERAGE(OFFSET($CX$3,0,0,'Données projet'!$E$13+1,1))-AVERAGE(OFFSET($H$3,0,0,'Données projet'!$E$13+1,1))</f>
        <v>454.43000549907373</v>
      </c>
      <c r="CZ27" s="59">
        <f t="shared" si="42"/>
        <v>285.83623046025156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10.4</v>
      </c>
      <c r="DO27" s="12">
        <f>IF('Données projet'!$A$166&gt;35,DO26+DN27-DW26,IF(A27&lt;'Données projet'!$A$166,$DL$205^A27,IF(A27='Données projet'!$A$166,'Données projet'!$B$166,DO26+DN27-DW26)))</f>
        <v>131.60000000000002</v>
      </c>
      <c r="DP27" s="17">
        <f>DO27*VLOOKUP('Données projet'!$B$14,Paramètres!$A$1:$I$89,3,0)*VLOOKUP('Données projet'!$B$14,Paramètres!$A$1:$I$89,5,0)</f>
        <v>102.64800000000002</v>
      </c>
      <c r="DQ27" s="13">
        <f t="shared" si="43"/>
        <v>27.591884256813071</v>
      </c>
      <c r="DR27" s="20">
        <f t="shared" si="16"/>
        <v>226.83446508061613</v>
      </c>
      <c r="DS27" s="59">
        <f t="shared" si="17"/>
        <v>512.83446508061616</v>
      </c>
      <c r="DT27" s="59">
        <f ca="1">AVERAGE(OFFSET($DS$3,0,0,'Données projet'!$E$14+1,1))-AVERAGE(OFFSET($H$3,0,0,'Données projet'!$E$14+1,1))</f>
        <v>376.33792692771908</v>
      </c>
      <c r="DU27" s="59">
        <f t="shared" si="44"/>
        <v>367.92889258044698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2.2311860402654071</v>
      </c>
      <c r="EC27" s="21">
        <f>EXP(-LN(2)/2)*EC26+(1-EXP(-LN(2)/2))/(LN(2)/2)*DW27*DZ27*VLOOKUP('Données projet'!$B$14,Paramètres!$A$1:$I$89,3,0)*0.475*44/12</f>
        <v>1.2419173013493425</v>
      </c>
      <c r="ED27" s="22">
        <f t="shared" si="18"/>
        <v>3.4731033416147499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97.718400000000003</v>
      </c>
      <c r="P28" s="13">
        <f t="shared" si="33"/>
        <v>26.417709819192194</v>
      </c>
      <c r="Q28" s="20">
        <f t="shared" si="2"/>
        <v>216.20372460175975</v>
      </c>
      <c r="R28" s="59">
        <f t="shared" si="0"/>
        <v>503.42594682398197</v>
      </c>
      <c r="S28" s="59">
        <f ca="1">AVERAGE(OFFSET($R$3,0,0,'Données projet'!$E$9+1,1))-AVERAGE(OFFSET($H$3,0,0,'Données projet'!$E$9+1,1))</f>
        <v>469.68830256438338</v>
      </c>
      <c r="T28" s="59">
        <f t="shared" si="34"/>
        <v>332.61387922152159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0.55942266737048774</v>
      </c>
      <c r="AB28" s="21">
        <f>EXP(-LN(2)/2)*AB27+(1-EXP(-LN(2)/2))/(LN(2)/2)*V28*Y28*VLOOKUP('Données projet'!$B$9,Paramètres!$A$1:$I$89,3,0)*0.475*44/12</f>
        <v>0.22637223305114224</v>
      </c>
      <c r="AC28" s="22">
        <f t="shared" si="3"/>
        <v>0.78579490042163003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116.25120000000003</v>
      </c>
      <c r="AK28" s="13">
        <f t="shared" si="35"/>
        <v>30.799044755804353</v>
      </c>
      <c r="AL28" s="20">
        <f t="shared" si="4"/>
        <v>256.11250961635932</v>
      </c>
      <c r="AM28" s="59">
        <f t="shared" si="5"/>
        <v>543.33473183858155</v>
      </c>
      <c r="AN28" s="59">
        <f ca="1">AVERAGE(OFFSET($AM$3,0,0,'Données projet'!$E$10+1,1))-AVERAGE(OFFSET($H$3,0,0,'Données projet'!$E$10+1,1))</f>
        <v>550.66682372933292</v>
      </c>
      <c r="AO28" s="59">
        <f t="shared" si="36"/>
        <v>387.28615589698444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0.66552006980282163</v>
      </c>
      <c r="AW28" s="21">
        <f>EXP(-LN(2)/2)*AW27+(1-EXP(-LN(2)/2))/(LN(2)/2)*AQ28*AT28*VLOOKUP('Données projet'!$B$10,Paramètres!$A$1:$I$89,3,0)*0.475*44/12</f>
        <v>0.26930489794015194</v>
      </c>
      <c r="AX28" s="21">
        <f t="shared" si="6"/>
        <v>0.93482496774297363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10.4</v>
      </c>
      <c r="BD28" s="12">
        <f>IF('Données projet'!$A$88&gt;35,BD27+BC28-BL27,IF(A28&lt;'Données projet'!$A$88,$BA$205^A28,IF(A28='Données projet'!$A$88,'Données projet'!$B$88,BD27+BC28-BL27)))</f>
        <v>142.00000000000003</v>
      </c>
      <c r="BE28" s="13">
        <f>BD28*VLOOKUP('Données projet'!$B$11,Paramètres!$A$1:$I$89,3,0)*VLOOKUP('Données projet'!$B$11,Paramètres!$A$1:$I$89,5,0)</f>
        <v>110.76000000000002</v>
      </c>
      <c r="BF28" s="13">
        <f t="shared" si="37"/>
        <v>29.509974682362952</v>
      </c>
      <c r="BG28" s="20">
        <f t="shared" si="7"/>
        <v>244.30353923844885</v>
      </c>
      <c r="BH28" s="59">
        <f t="shared" si="8"/>
        <v>531.52576146067111</v>
      </c>
      <c r="BI28" s="59">
        <f ca="1">AVERAGE(OFFSET($BH$3,0,0,'Données projet'!$E$11+1,1))-AVERAGE(OFFSET($H$3,0,0,'Données projet'!$E$11+1,1))</f>
        <v>376.33792692771908</v>
      </c>
      <c r="BJ28" s="59">
        <f t="shared" si="38"/>
        <v>367.92889258044698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2.1701741406613753</v>
      </c>
      <c r="BR28" s="21">
        <f>EXP(-LN(2)/2)*BR27+(1-EXP(-LN(2)/2))/(LN(2)/2)*BL28*BO28*VLOOKUP('Données projet'!$B$11,Paramètres!$A$1:$I$89,3,0)*0.475*44/12</f>
        <v>0.87816814545701716</v>
      </c>
      <c r="BS28" s="22">
        <f t="shared" si="9"/>
        <v>3.0483422861183924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66.502799999999979</v>
      </c>
      <c r="CA28" s="13">
        <f t="shared" si="39"/>
        <v>18.802406075407909</v>
      </c>
      <c r="CB28" s="20">
        <f t="shared" si="10"/>
        <v>148.57323391466869</v>
      </c>
      <c r="CC28" s="59">
        <f t="shared" si="11"/>
        <v>435.79545613689095</v>
      </c>
      <c r="CD28" s="59">
        <f ca="1">AVERAGE(OFFSET($CC$3,0,0,'Données projet'!$E$12+1,1))-AVERAGE(OFFSET($H$3,0,0,'Données projet'!$E$12+1,1))</f>
        <v>388.50131600273431</v>
      </c>
      <c r="CE28" s="59">
        <f t="shared" si="40"/>
        <v>247.01165577562955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6.3</v>
      </c>
      <c r="CT28" s="12">
        <f>IF('Données projet'!$A$140&gt;35,CT27+CS28-DB27,IF(A28&lt;'Données projet'!$A$140,$CQ$205^A28,IF(A28='Données projet'!$A$140,'Données projet'!$B$140,CT27+CS28-DB27)))</f>
        <v>73.499999999999986</v>
      </c>
      <c r="CU28" s="17">
        <f>CT28*VLOOKUP('Données projet'!$B$13,Paramètres!$A$1:$I$89,3,0)*VLOOKUP('Données projet'!$B$13,Paramètres!$A$1:$I$89,5,0)</f>
        <v>79.11539999999998</v>
      </c>
      <c r="CV28" s="13">
        <f t="shared" si="41"/>
        <v>21.920755061537864</v>
      </c>
      <c r="CW28" s="20">
        <f t="shared" si="13"/>
        <v>175.97130339884507</v>
      </c>
      <c r="CX28" s="59">
        <f t="shared" si="14"/>
        <v>463.19352562106729</v>
      </c>
      <c r="CY28" s="59">
        <f ca="1">AVERAGE(OFFSET($CX$3,0,0,'Données projet'!$E$13+1,1))-AVERAGE(OFFSET($H$3,0,0,'Données projet'!$E$13+1,1))</f>
        <v>454.43000549907373</v>
      </c>
      <c r="CZ28" s="59">
        <f t="shared" si="42"/>
        <v>285.83623046025156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10.4</v>
      </c>
      <c r="DO28" s="12">
        <f>IF('Données projet'!$A$166&gt;35,DO27+DN28-DW27,IF(A28&lt;'Données projet'!$A$166,$DL$205^A28,IF(A28='Données projet'!$A$166,'Données projet'!$B$166,DO27+DN28-DW27)))</f>
        <v>142.00000000000003</v>
      </c>
      <c r="DP28" s="17">
        <f>DO28*VLOOKUP('Données projet'!$B$14,Paramètres!$A$1:$I$89,3,0)*VLOOKUP('Données projet'!$B$14,Paramètres!$A$1:$I$89,5,0)</f>
        <v>110.76000000000002</v>
      </c>
      <c r="DQ28" s="13">
        <f t="shared" si="43"/>
        <v>29.509974682362952</v>
      </c>
      <c r="DR28" s="20">
        <f t="shared" si="16"/>
        <v>244.30353923844885</v>
      </c>
      <c r="DS28" s="59">
        <f t="shared" si="17"/>
        <v>531.52576146067111</v>
      </c>
      <c r="DT28" s="59">
        <f ca="1">AVERAGE(OFFSET($DS$3,0,0,'Données projet'!$E$14+1,1))-AVERAGE(OFFSET($H$3,0,0,'Données projet'!$E$14+1,1))</f>
        <v>376.33792692771908</v>
      </c>
      <c r="DU28" s="59">
        <f t="shared" si="44"/>
        <v>367.92889258044698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2.1701741406613753</v>
      </c>
      <c r="EC28" s="21">
        <f>EXP(-LN(2)/2)*EC27+(1-EXP(-LN(2)/2))/(LN(2)/2)*DW28*DZ28*VLOOKUP('Données projet'!$B$14,Paramètres!$A$1:$I$89,3,0)*0.475*44/12</f>
        <v>0.87816814545701716</v>
      </c>
      <c r="ED28" s="22">
        <f t="shared" si="18"/>
        <v>3.0483422861183924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105.13776</v>
      </c>
      <c r="P29" s="13">
        <f t="shared" si="33"/>
        <v>28.182406176030653</v>
      </c>
      <c r="Q29" s="20">
        <f t="shared" si="2"/>
        <v>232.19928942325339</v>
      </c>
      <c r="R29" s="59">
        <f t="shared" si="0"/>
        <v>520.64373386769785</v>
      </c>
      <c r="S29" s="59">
        <f ca="1">AVERAGE(OFFSET($R$3,0,0,'Données projet'!$E$9+1,1))-AVERAGE(OFFSET($H$3,0,0,'Données projet'!$E$9+1,1))</f>
        <v>469.68830256438338</v>
      </c>
      <c r="T29" s="59">
        <f t="shared" si="34"/>
        <v>332.61387922152159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0.54412522511248229</v>
      </c>
      <c r="AB29" s="21">
        <f>EXP(-LN(2)/2)*AB28+(1-EXP(-LN(2)/2))/(LN(2)/2)*V29*Y29*VLOOKUP('Données projet'!$B$9,Paramètres!$A$1:$I$89,3,0)*0.475*44/12</f>
        <v>0.16006934106280418</v>
      </c>
      <c r="AC29" s="22">
        <f t="shared" si="3"/>
        <v>0.70419456617528642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125.07768000000003</v>
      </c>
      <c r="AK29" s="13">
        <f t="shared" si="35"/>
        <v>32.856413182010108</v>
      </c>
      <c r="AL29" s="20">
        <f t="shared" si="4"/>
        <v>275.06854562533431</v>
      </c>
      <c r="AM29" s="59">
        <f t="shared" si="5"/>
        <v>563.51299006977877</v>
      </c>
      <c r="AN29" s="59">
        <f ca="1">AVERAGE(OFFSET($AM$3,0,0,'Données projet'!$E$10+1,1))-AVERAGE(OFFSET($H$3,0,0,'Données projet'!$E$10+1,1))</f>
        <v>550.66682372933292</v>
      </c>
      <c r="AO29" s="59">
        <f t="shared" si="36"/>
        <v>387.28615589698444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0.64732138849588405</v>
      </c>
      <c r="AW29" s="21">
        <f>EXP(-LN(2)/2)*AW28+(1-EXP(-LN(2)/2))/(LN(2)/2)*AQ29*AT29*VLOOKUP('Données projet'!$B$10,Paramètres!$A$1:$I$89,3,0)*0.475*44/12</f>
        <v>0.19042731954023254</v>
      </c>
      <c r="AX29" s="21">
        <f t="shared" si="6"/>
        <v>0.83774870803611656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10.4</v>
      </c>
      <c r="BD29" s="12">
        <f>IF('Données projet'!$A$88&gt;35,BD28+BC29-BL28,IF(A29&lt;'Données projet'!$A$88,$BA$205^A29,IF(A29='Données projet'!$A$88,'Données projet'!$B$88,BD28+BC29-BL28)))</f>
        <v>152.40000000000003</v>
      </c>
      <c r="BE29" s="13">
        <f>BD29*VLOOKUP('Données projet'!$B$11,Paramètres!$A$1:$I$89,3,0)*VLOOKUP('Données projet'!$B$11,Paramètres!$A$1:$I$89,5,0)</f>
        <v>118.87200000000003</v>
      </c>
      <c r="BF29" s="13">
        <f t="shared" si="37"/>
        <v>31.411767382096244</v>
      </c>
      <c r="BG29" s="20">
        <f t="shared" si="7"/>
        <v>261.74422819048431</v>
      </c>
      <c r="BH29" s="59">
        <f t="shared" si="8"/>
        <v>550.18867263492871</v>
      </c>
      <c r="BI29" s="59">
        <f ca="1">AVERAGE(OFFSET($BH$3,0,0,'Données projet'!$E$11+1,1))-AVERAGE(OFFSET($H$3,0,0,'Données projet'!$E$11+1,1))</f>
        <v>376.33792692771908</v>
      </c>
      <c r="BJ29" s="59">
        <f t="shared" si="38"/>
        <v>367.92889258044698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2.1108306146604918</v>
      </c>
      <c r="BR29" s="21">
        <f>EXP(-LN(2)/2)*BR28+(1-EXP(-LN(2)/2))/(LN(2)/2)*BL29*BO29*VLOOKUP('Données projet'!$B$11,Paramètres!$A$1:$I$89,3,0)*0.475*44/12</f>
        <v>0.62095865067467126</v>
      </c>
      <c r="BS29" s="22">
        <f t="shared" si="9"/>
        <v>2.7317892653351632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72.203039999999973</v>
      </c>
      <c r="CA29" s="13">
        <f t="shared" si="39"/>
        <v>20.219559499787128</v>
      </c>
      <c r="CB29" s="20">
        <f t="shared" si="10"/>
        <v>160.96936079546251</v>
      </c>
      <c r="CC29" s="59">
        <f t="shared" si="11"/>
        <v>449.41380523990699</v>
      </c>
      <c r="CD29" s="59">
        <f ca="1">AVERAGE(OFFSET($CC$3,0,0,'Données projet'!$E$12+1,1))-AVERAGE(OFFSET($H$3,0,0,'Données projet'!$E$12+1,1))</f>
        <v>388.50131600273431</v>
      </c>
      <c r="CE29" s="59">
        <f t="shared" si="40"/>
        <v>247.01165577562955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6.3</v>
      </c>
      <c r="CT29" s="12">
        <f>IF('Données projet'!$A$140&gt;35,CT28+CS29-DB28,IF(A29&lt;'Données projet'!$A$140,$CQ$205^A29,IF(A29='Données projet'!$A$140,'Données projet'!$B$140,CT28+CS29-DB28)))</f>
        <v>79.799999999999983</v>
      </c>
      <c r="CU29" s="17">
        <f>CT29*VLOOKUP('Données projet'!$B$13,Paramètres!$A$1:$I$89,3,0)*VLOOKUP('Données projet'!$B$13,Paramètres!$A$1:$I$89,5,0)</f>
        <v>85.896719999999974</v>
      </c>
      <c r="CV29" s="13">
        <f t="shared" si="41"/>
        <v>23.572941115591171</v>
      </c>
      <c r="CW29" s="20">
        <f t="shared" si="13"/>
        <v>190.65965977632126</v>
      </c>
      <c r="CX29" s="59">
        <f t="shared" si="14"/>
        <v>479.10410422076575</v>
      </c>
      <c r="CY29" s="59">
        <f ca="1">AVERAGE(OFFSET($CX$3,0,0,'Données projet'!$E$13+1,1))-AVERAGE(OFFSET($H$3,0,0,'Données projet'!$E$13+1,1))</f>
        <v>454.43000549907373</v>
      </c>
      <c r="CZ29" s="59">
        <f t="shared" si="42"/>
        <v>285.83623046025156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10.4</v>
      </c>
      <c r="DO29" s="12">
        <f>IF('Données projet'!$A$166&gt;35,DO28+DN29-DW28,IF(A29&lt;'Données projet'!$A$166,$DL$205^A29,IF(A29='Données projet'!$A$166,'Données projet'!$B$166,DO28+DN29-DW28)))</f>
        <v>152.40000000000003</v>
      </c>
      <c r="DP29" s="17">
        <f>DO29*VLOOKUP('Données projet'!$B$14,Paramètres!$A$1:$I$89,3,0)*VLOOKUP('Données projet'!$B$14,Paramètres!$A$1:$I$89,5,0)</f>
        <v>118.87200000000003</v>
      </c>
      <c r="DQ29" s="13">
        <f t="shared" si="43"/>
        <v>31.411767382096244</v>
      </c>
      <c r="DR29" s="20">
        <f t="shared" si="16"/>
        <v>261.74422819048431</v>
      </c>
      <c r="DS29" s="59">
        <f t="shared" si="17"/>
        <v>550.18867263492871</v>
      </c>
      <c r="DT29" s="59">
        <f ca="1">AVERAGE(OFFSET($DS$3,0,0,'Données projet'!$E$14+1,1))-AVERAGE(OFFSET($H$3,0,0,'Données projet'!$E$14+1,1))</f>
        <v>376.33792692771908</v>
      </c>
      <c r="DU29" s="59">
        <f t="shared" si="44"/>
        <v>367.92889258044698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2.1108306146604918</v>
      </c>
      <c r="EC29" s="21">
        <f>EXP(-LN(2)/2)*EC28+(1-EXP(-LN(2)/2))/(LN(2)/2)*DW29*DZ29*VLOOKUP('Données projet'!$B$14,Paramètres!$A$1:$I$89,3,0)*0.475*44/12</f>
        <v>0.62095865067467126</v>
      </c>
      <c r="ED29" s="22">
        <f t="shared" si="18"/>
        <v>2.7317892653351632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112.55712000000001</v>
      </c>
      <c r="P30" s="13">
        <f t="shared" si="33"/>
        <v>29.932653834140599</v>
      </c>
      <c r="Q30" s="20">
        <f t="shared" si="2"/>
        <v>248.16968942779488</v>
      </c>
      <c r="R30" s="59">
        <f t="shared" si="0"/>
        <v>537.83635609446151</v>
      </c>
      <c r="S30" s="59">
        <f ca="1">AVERAGE(OFFSET($R$3,0,0,'Données projet'!$E$9+1,1))-AVERAGE(OFFSET($H$3,0,0,'Données projet'!$E$9+1,1))</f>
        <v>469.68830256438338</v>
      </c>
      <c r="T30" s="59">
        <f t="shared" si="34"/>
        <v>332.61387922152159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0.52924609221747954</v>
      </c>
      <c r="AB30" s="21">
        <f>EXP(-LN(2)/2)*AB29+(1-EXP(-LN(2)/2))/(LN(2)/2)*V30*Y30*VLOOKUP('Données projet'!$B$9,Paramètres!$A$1:$I$89,3,0)*0.475*44/12</f>
        <v>0.11318611652557113</v>
      </c>
      <c r="AC30" s="22">
        <f t="shared" si="3"/>
        <v>0.64243220874305063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133.90416000000002</v>
      </c>
      <c r="AK30" s="13">
        <f t="shared" si="35"/>
        <v>34.896936615903982</v>
      </c>
      <c r="AL30" s="20">
        <f t="shared" si="4"/>
        <v>293.99524327269938</v>
      </c>
      <c r="AM30" s="59">
        <f t="shared" si="5"/>
        <v>583.66190993936607</v>
      </c>
      <c r="AN30" s="59">
        <f ca="1">AVERAGE(OFFSET($AM$3,0,0,'Données projet'!$E$10+1,1))-AVERAGE(OFFSET($H$3,0,0,'Données projet'!$E$10+1,1))</f>
        <v>550.66682372933292</v>
      </c>
      <c r="AO30" s="59">
        <f t="shared" si="36"/>
        <v>387.28615589698444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0.62962035108631176</v>
      </c>
      <c r="AW30" s="21">
        <f>EXP(-LN(2)/2)*AW29+(1-EXP(-LN(2)/2))/(LN(2)/2)*AQ30*AT30*VLOOKUP('Données projet'!$B$10,Paramètres!$A$1:$I$89,3,0)*0.475*44/12</f>
        <v>0.13465244897007597</v>
      </c>
      <c r="AX30" s="21">
        <f t="shared" si="6"/>
        <v>0.76427280005638776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10.4</v>
      </c>
      <c r="BD30" s="12">
        <f>IF('Données projet'!$A$88&gt;35,BD29+BC30-BL29,IF(A30&lt;'Données projet'!$A$88,$BA$205^A30,IF(A30='Données projet'!$A$88,'Données projet'!$B$88,BD29+BC30-BL29)))</f>
        <v>162.80000000000004</v>
      </c>
      <c r="BE30" s="13">
        <f>BD30*VLOOKUP('Données projet'!$B$11,Paramètres!$A$1:$I$89,3,0)*VLOOKUP('Données projet'!$B$11,Paramètres!$A$1:$I$89,5,0)</f>
        <v>126.98400000000004</v>
      </c>
      <c r="BF30" s="13">
        <f t="shared" si="37"/>
        <v>33.298501064557207</v>
      </c>
      <c r="BG30" s="20">
        <f t="shared" si="7"/>
        <v>279.15868935410384</v>
      </c>
      <c r="BH30" s="59">
        <f t="shared" si="8"/>
        <v>568.82535602077053</v>
      </c>
      <c r="BI30" s="59">
        <f ca="1">AVERAGE(OFFSET($BH$3,0,0,'Données projet'!$E$11+1,1))-AVERAGE(OFFSET($H$3,0,0,'Données projet'!$E$11+1,1))</f>
        <v>376.33792692771908</v>
      </c>
      <c r="BJ30" s="59">
        <f t="shared" si="38"/>
        <v>367.92889258044698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2.053109840498843</v>
      </c>
      <c r="BR30" s="21">
        <f>EXP(-LN(2)/2)*BR29+(1-EXP(-LN(2)/2))/(LN(2)/2)*BL30*BO30*VLOOKUP('Données projet'!$B$11,Paramètres!$A$1:$I$89,3,0)*0.475*44/12</f>
        <v>0.43908407272850858</v>
      </c>
      <c r="BS30" s="22">
        <f t="shared" si="9"/>
        <v>2.4921939132273518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77.903279999999981</v>
      </c>
      <c r="CA30" s="13">
        <f t="shared" si="39"/>
        <v>21.623735462576285</v>
      </c>
      <c r="CB30" s="20">
        <f t="shared" si="10"/>
        <v>173.342885263987</v>
      </c>
      <c r="CC30" s="59">
        <f t="shared" si="11"/>
        <v>463.00955193065369</v>
      </c>
      <c r="CD30" s="59">
        <f ca="1">AVERAGE(OFFSET($CC$3,0,0,'Données projet'!$E$12+1,1))-AVERAGE(OFFSET($H$3,0,0,'Données projet'!$E$12+1,1))</f>
        <v>388.50131600273431</v>
      </c>
      <c r="CE30" s="59">
        <f t="shared" si="40"/>
        <v>247.01165577562955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6.3</v>
      </c>
      <c r="CT30" s="12">
        <f>IF('Données projet'!$A$140&gt;35,CT29+CS30-DB29,IF(A30&lt;'Données projet'!$A$140,$CQ$205^A30,IF(A30='Données projet'!$A$140,'Données projet'!$B$140,CT29+CS30-DB29)))</f>
        <v>86.09999999999998</v>
      </c>
      <c r="CU30" s="17">
        <f>CT30*VLOOKUP('Données projet'!$B$13,Paramètres!$A$1:$I$89,3,0)*VLOOKUP('Données projet'!$B$13,Paramètres!$A$1:$I$89,5,0)</f>
        <v>92.678039999999982</v>
      </c>
      <c r="CV30" s="13">
        <f t="shared" si="41"/>
        <v>25.209997416798242</v>
      </c>
      <c r="CW30" s="20">
        <f t="shared" si="13"/>
        <v>205.32166516759025</v>
      </c>
      <c r="CX30" s="59">
        <f t="shared" si="14"/>
        <v>494.98833183425694</v>
      </c>
      <c r="CY30" s="59">
        <f ca="1">AVERAGE(OFFSET($CX$3,0,0,'Données projet'!$E$13+1,1))-AVERAGE(OFFSET($H$3,0,0,'Données projet'!$E$13+1,1))</f>
        <v>454.43000549907373</v>
      </c>
      <c r="CZ30" s="59">
        <f t="shared" si="42"/>
        <v>285.83623046025156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10.4</v>
      </c>
      <c r="DO30" s="12">
        <f>IF('Données projet'!$A$166&gt;35,DO29+DN30-DW29,IF(A30&lt;'Données projet'!$A$166,$DL$205^A30,IF(A30='Données projet'!$A$166,'Données projet'!$B$166,DO29+DN30-DW29)))</f>
        <v>162.80000000000004</v>
      </c>
      <c r="DP30" s="17">
        <f>DO30*VLOOKUP('Données projet'!$B$14,Paramètres!$A$1:$I$89,3,0)*VLOOKUP('Données projet'!$B$14,Paramètres!$A$1:$I$89,5,0)</f>
        <v>126.98400000000004</v>
      </c>
      <c r="DQ30" s="13">
        <f t="shared" si="43"/>
        <v>33.298501064557207</v>
      </c>
      <c r="DR30" s="20">
        <f t="shared" si="16"/>
        <v>279.15868935410384</v>
      </c>
      <c r="DS30" s="59">
        <f t="shared" si="17"/>
        <v>568.82535602077053</v>
      </c>
      <c r="DT30" s="59">
        <f ca="1">AVERAGE(OFFSET($DS$3,0,0,'Données projet'!$E$14+1,1))-AVERAGE(OFFSET($H$3,0,0,'Données projet'!$E$14+1,1))</f>
        <v>376.33792692771908</v>
      </c>
      <c r="DU30" s="59">
        <f t="shared" si="44"/>
        <v>367.92889258044698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2.053109840498843</v>
      </c>
      <c r="EC30" s="21">
        <f>EXP(-LN(2)/2)*EC29+(1-EXP(-LN(2)/2))/(LN(2)/2)*DW30*DZ30*VLOOKUP('Données projet'!$B$14,Paramètres!$A$1:$I$89,3,0)*0.475*44/12</f>
        <v>0.43908407272850858</v>
      </c>
      <c r="ED30" s="22">
        <f t="shared" si="18"/>
        <v>2.4921939132273518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119.97648000000001</v>
      </c>
      <c r="P31" s="13">
        <f t="shared" si="33"/>
        <v>31.669513577784763</v>
      </c>
      <c r="Q31" s="20">
        <f t="shared" si="2"/>
        <v>264.1167721479751</v>
      </c>
      <c r="R31" s="59">
        <f t="shared" si="0"/>
        <v>555.00566103686401</v>
      </c>
      <c r="S31" s="59">
        <f ca="1">AVERAGE(OFFSET($R$3,0,0,'Données projet'!$E$9+1,1))-AVERAGE(OFFSET($H$3,0,0,'Données projet'!$E$9+1,1))</f>
        <v>469.68830256438338</v>
      </c>
      <c r="T31" s="59">
        <f t="shared" si="34"/>
        <v>332.61387922152159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0.51477382999395016</v>
      </c>
      <c r="AB31" s="21">
        <f>EXP(-LN(2)/2)*AB30+(1-EXP(-LN(2)/2))/(LN(2)/2)*V31*Y31*VLOOKUP('Données projet'!$B$9,Paramètres!$A$1:$I$89,3,0)*0.475*44/12</f>
        <v>8.0034670531402105E-2</v>
      </c>
      <c r="AC31" s="22">
        <f t="shared" si="3"/>
        <v>0.59480850052535228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142.73064000000002</v>
      </c>
      <c r="AK31" s="13">
        <f t="shared" si="35"/>
        <v>36.921851771122689</v>
      </c>
      <c r="AL31" s="20">
        <f t="shared" si="4"/>
        <v>312.894756501372</v>
      </c>
      <c r="AM31" s="59">
        <f t="shared" si="5"/>
        <v>603.78364539026086</v>
      </c>
      <c r="AN31" s="59">
        <f ca="1">AVERAGE(OFFSET($AM$3,0,0,'Données projet'!$E$10+1,1))-AVERAGE(OFFSET($H$3,0,0,'Données projet'!$E$10+1,1))</f>
        <v>550.66682372933292</v>
      </c>
      <c r="AO31" s="59">
        <f t="shared" si="36"/>
        <v>387.28615589698444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0.6124033494755613</v>
      </c>
      <c r="AW31" s="21">
        <f>EXP(-LN(2)/2)*AW30+(1-EXP(-LN(2)/2))/(LN(2)/2)*AQ31*AT31*VLOOKUP('Données projet'!$B$10,Paramètres!$A$1:$I$89,3,0)*0.475*44/12</f>
        <v>9.5213659770116268E-2</v>
      </c>
      <c r="AX31" s="21">
        <f t="shared" si="6"/>
        <v>0.70761700924567761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10.4</v>
      </c>
      <c r="BD31" s="12">
        <f>IF('Données projet'!$A$88&gt;35,BD30+BC31-BL30,IF(A31&lt;'Données projet'!$A$88,$BA$205^A31,IF(A31='Données projet'!$A$88,'Données projet'!$B$88,BD30+BC31-BL30)))</f>
        <v>173.20000000000005</v>
      </c>
      <c r="BE31" s="13">
        <f>BD31*VLOOKUP('Données projet'!$B$11,Paramètres!$A$1:$I$89,3,0)*VLOOKUP('Données projet'!$B$11,Paramètres!$A$1:$I$89,5,0)</f>
        <v>135.09600000000003</v>
      </c>
      <c r="BF31" s="13">
        <f t="shared" si="37"/>
        <v>35.171247228284784</v>
      </c>
      <c r="BG31" s="20">
        <f t="shared" si="7"/>
        <v>296.54878892259609</v>
      </c>
      <c r="BH31" s="59">
        <f t="shared" si="8"/>
        <v>587.43767781148495</v>
      </c>
      <c r="BI31" s="59">
        <f ca="1">AVERAGE(OFFSET($BH$3,0,0,'Données projet'!$E$11+1,1))-AVERAGE(OFFSET($H$3,0,0,'Données projet'!$E$11+1,1))</f>
        <v>376.33792692771908</v>
      </c>
      <c r="BJ31" s="59">
        <f t="shared" si="38"/>
        <v>367.92889258044698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1.9969674439420482</v>
      </c>
      <c r="BR31" s="21">
        <f>EXP(-LN(2)/2)*BR30+(1-EXP(-LN(2)/2))/(LN(2)/2)*BL31*BO31*VLOOKUP('Données projet'!$B$11,Paramètres!$A$1:$I$89,3,0)*0.475*44/12</f>
        <v>0.31047932533733563</v>
      </c>
      <c r="BS31" s="22">
        <f t="shared" si="9"/>
        <v>2.3074467692793839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83.603519999999975</v>
      </c>
      <c r="CA31" s="13">
        <f t="shared" si="39"/>
        <v>23.015991519299678</v>
      </c>
      <c r="CB31" s="20">
        <f t="shared" si="10"/>
        <v>185.69564922944687</v>
      </c>
      <c r="CC31" s="59">
        <f t="shared" si="11"/>
        <v>476.58453811833573</v>
      </c>
      <c r="CD31" s="59">
        <f ca="1">AVERAGE(OFFSET($CC$3,0,0,'Données projet'!$E$12+1,1))-AVERAGE(OFFSET($H$3,0,0,'Données projet'!$E$12+1,1))</f>
        <v>388.50131600273431</v>
      </c>
      <c r="CE31" s="59">
        <f t="shared" si="40"/>
        <v>247.01165577562955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6.3</v>
      </c>
      <c r="CT31" s="12">
        <f>IF('Données projet'!$A$140&gt;35,CT30+CS31-DB30,IF(A31&lt;'Données projet'!$A$140,$CQ$205^A31,IF(A31='Données projet'!$A$140,'Données projet'!$B$140,CT30+CS31-DB30)))</f>
        <v>92.399999999999977</v>
      </c>
      <c r="CU31" s="17">
        <f>CT31*VLOOKUP('Données projet'!$B$13,Paramètres!$A$1:$I$89,3,0)*VLOOKUP('Données projet'!$B$13,Paramètres!$A$1:$I$89,5,0)</f>
        <v>99.459359999999975</v>
      </c>
      <c r="CV31" s="13">
        <f t="shared" si="41"/>
        <v>26.833156914576186</v>
      </c>
      <c r="CW31" s="20">
        <f t="shared" si="13"/>
        <v>219.95946695955351</v>
      </c>
      <c r="CX31" s="59">
        <f t="shared" si="14"/>
        <v>510.84835584844234</v>
      </c>
      <c r="CY31" s="59">
        <f ca="1">AVERAGE(OFFSET($CX$3,0,0,'Données projet'!$E$13+1,1))-AVERAGE(OFFSET($H$3,0,0,'Données projet'!$E$13+1,1))</f>
        <v>454.43000549907373</v>
      </c>
      <c r="CZ31" s="59">
        <f t="shared" si="42"/>
        <v>285.83623046025156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10.4</v>
      </c>
      <c r="DO31" s="12">
        <f>IF('Données projet'!$A$166&gt;35,DO30+DN31-DW30,IF(A31&lt;'Données projet'!$A$166,$DL$205^A31,IF(A31='Données projet'!$A$166,'Données projet'!$B$166,DO30+DN31-DW30)))</f>
        <v>173.20000000000005</v>
      </c>
      <c r="DP31" s="17">
        <f>DO31*VLOOKUP('Données projet'!$B$14,Paramètres!$A$1:$I$89,3,0)*VLOOKUP('Données projet'!$B$14,Paramètres!$A$1:$I$89,5,0)</f>
        <v>135.09600000000003</v>
      </c>
      <c r="DQ31" s="13">
        <f t="shared" si="43"/>
        <v>35.171247228284784</v>
      </c>
      <c r="DR31" s="20">
        <f t="shared" si="16"/>
        <v>296.54878892259609</v>
      </c>
      <c r="DS31" s="59">
        <f t="shared" si="17"/>
        <v>587.43767781148495</v>
      </c>
      <c r="DT31" s="59">
        <f ca="1">AVERAGE(OFFSET($DS$3,0,0,'Données projet'!$E$14+1,1))-AVERAGE(OFFSET($H$3,0,0,'Données projet'!$E$14+1,1))</f>
        <v>376.33792692771908</v>
      </c>
      <c r="DU31" s="59">
        <f t="shared" si="44"/>
        <v>367.92889258044698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1.9969674439420482</v>
      </c>
      <c r="EC31" s="21">
        <f>EXP(-LN(2)/2)*EC30+(1-EXP(-LN(2)/2))/(LN(2)/2)*DW31*DZ31*VLOOKUP('Données projet'!$B$14,Paramètres!$A$1:$I$89,3,0)*0.475*44/12</f>
        <v>0.31047932533733563</v>
      </c>
      <c r="ED31" s="22">
        <f t="shared" si="18"/>
        <v>2.3074467692793839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127.39584000000001</v>
      </c>
      <c r="P32" s="13">
        <f t="shared" si="33"/>
        <v>33.393907578695213</v>
      </c>
      <c r="Q32" s="20">
        <f t="shared" si="2"/>
        <v>280.04214369956082</v>
      </c>
      <c r="R32" s="59">
        <f t="shared" si="0"/>
        <v>572.15325481067202</v>
      </c>
      <c r="S32" s="59">
        <f ca="1">AVERAGE(OFFSET($R$3,0,0,'Données projet'!$E$9+1,1))-AVERAGE(OFFSET($H$3,0,0,'Données projet'!$E$9+1,1))</f>
        <v>469.68830256438338</v>
      </c>
      <c r="T32" s="59">
        <f t="shared" si="34"/>
        <v>332.61387922152159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0.50069731254198635</v>
      </c>
      <c r="AB32" s="21">
        <f>EXP(-LN(2)/2)*AB31+(1-EXP(-LN(2)/2))/(LN(2)/2)*V32*Y32*VLOOKUP('Données projet'!$B$9,Paramètres!$A$1:$I$89,3,0)*0.475*44/12</f>
        <v>5.6593058262785573E-2</v>
      </c>
      <c r="AC32" s="22">
        <f t="shared" si="3"/>
        <v>0.55729037080477195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151.55712</v>
      </c>
      <c r="AK32" s="13">
        <f t="shared" si="35"/>
        <v>38.932233760105582</v>
      </c>
      <c r="AL32" s="20">
        <f t="shared" si="4"/>
        <v>331.76895779885058</v>
      </c>
      <c r="AM32" s="59">
        <f t="shared" si="5"/>
        <v>623.88006890996166</v>
      </c>
      <c r="AN32" s="59">
        <f ca="1">AVERAGE(OFFSET($AM$3,0,0,'Données projet'!$E$10+1,1))-AVERAGE(OFFSET($H$3,0,0,'Données projet'!$E$10+1,1))</f>
        <v>550.66682372933292</v>
      </c>
      <c r="AO32" s="59">
        <f t="shared" si="36"/>
        <v>387.28615589698444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0.59565714767925959</v>
      </c>
      <c r="AW32" s="21">
        <f>EXP(-LN(2)/2)*AW31+(1-EXP(-LN(2)/2))/(LN(2)/2)*AQ32*AT32*VLOOKUP('Données projet'!$B$10,Paramètres!$A$1:$I$89,3,0)*0.475*44/12</f>
        <v>6.7326224485037986E-2</v>
      </c>
      <c r="AX32" s="21">
        <f t="shared" si="6"/>
        <v>0.66298337216429759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10.4</v>
      </c>
      <c r="BD32" s="12">
        <f>IF('Données projet'!$A$88&gt;35,BD31+BC32-BL31,IF(A32&lt;'Données projet'!$A$88,$BA$205^A32,IF(A32='Données projet'!$A$88,'Données projet'!$B$88,BD31+BC32-BL31)))</f>
        <v>183.60000000000005</v>
      </c>
      <c r="BE32" s="13">
        <f>BD32*VLOOKUP('Données projet'!$B$11,Paramètres!$A$1:$I$89,3,0)*VLOOKUP('Données projet'!$B$11,Paramètres!$A$1:$I$89,5,0)</f>
        <v>143.20800000000006</v>
      </c>
      <c r="BF32" s="13">
        <f t="shared" si="37"/>
        <v>37.030941422835831</v>
      </c>
      <c r="BG32" s="20">
        <f t="shared" si="7"/>
        <v>313.91615631143918</v>
      </c>
      <c r="BH32" s="59">
        <f t="shared" si="8"/>
        <v>606.02726742255027</v>
      </c>
      <c r="BI32" s="59">
        <f ca="1">AVERAGE(OFFSET($BH$3,0,0,'Données projet'!$E$11+1,1))-AVERAGE(OFFSET($H$3,0,0,'Données projet'!$E$11+1,1))</f>
        <v>376.33792692771908</v>
      </c>
      <c r="BJ32" s="59">
        <f t="shared" si="38"/>
        <v>367.92889258044698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1.9423602641714992</v>
      </c>
      <c r="BR32" s="21">
        <f>EXP(-LN(2)/2)*BR31+(1-EXP(-LN(2)/2))/(LN(2)/2)*BL32*BO32*VLOOKUP('Données projet'!$B$11,Paramètres!$A$1:$I$89,3,0)*0.475*44/12</f>
        <v>0.21954203636425429</v>
      </c>
      <c r="BS32" s="22">
        <f t="shared" si="9"/>
        <v>2.1619023005357536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89.303759999999968</v>
      </c>
      <c r="CA32" s="13">
        <f t="shared" si="39"/>
        <v>24.397232850954325</v>
      </c>
      <c r="CB32" s="20">
        <f t="shared" si="10"/>
        <v>198.02922921541202</v>
      </c>
      <c r="CC32" s="59">
        <f t="shared" si="11"/>
        <v>490.14034032652319</v>
      </c>
      <c r="CD32" s="59">
        <f ca="1">AVERAGE(OFFSET($CC$3,0,0,'Données projet'!$E$12+1,1))-AVERAGE(OFFSET($H$3,0,0,'Données projet'!$E$12+1,1))</f>
        <v>388.50131600273431</v>
      </c>
      <c r="CE32" s="59">
        <f t="shared" si="40"/>
        <v>247.01165577562955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6.3</v>
      </c>
      <c r="CT32" s="12">
        <f>IF('Données projet'!$A$140&gt;35,CT31+CS32-DB31,IF(A32&lt;'Données projet'!$A$140,$CQ$205^A32,IF(A32='Données projet'!$A$140,'Données projet'!$B$140,CT31+CS32-DB31)))</f>
        <v>98.699999999999974</v>
      </c>
      <c r="CU32" s="17">
        <f>CT32*VLOOKUP('Données projet'!$B$13,Paramètres!$A$1:$I$89,3,0)*VLOOKUP('Données projet'!$B$13,Paramètres!$A$1:$I$89,5,0)</f>
        <v>106.24067999999997</v>
      </c>
      <c r="CV32" s="13">
        <f t="shared" si="41"/>
        <v>28.443474912743159</v>
      </c>
      <c r="CW32" s="20">
        <f t="shared" si="13"/>
        <v>234.57490313969427</v>
      </c>
      <c r="CX32" s="59">
        <f t="shared" si="14"/>
        <v>526.68601425080544</v>
      </c>
      <c r="CY32" s="59">
        <f ca="1">AVERAGE(OFFSET($CX$3,0,0,'Données projet'!$E$13+1,1))-AVERAGE(OFFSET($H$3,0,0,'Données projet'!$E$13+1,1))</f>
        <v>454.43000549907373</v>
      </c>
      <c r="CZ32" s="59">
        <f t="shared" si="42"/>
        <v>285.83623046025156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10.4</v>
      </c>
      <c r="DO32" s="12">
        <f>IF('Données projet'!$A$166&gt;35,DO31+DN32-DW31,IF(A32&lt;'Données projet'!$A$166,$DL$205^A32,IF(A32='Données projet'!$A$166,'Données projet'!$B$166,DO31+DN32-DW31)))</f>
        <v>183.60000000000005</v>
      </c>
      <c r="DP32" s="17">
        <f>DO32*VLOOKUP('Données projet'!$B$14,Paramètres!$A$1:$I$89,3,0)*VLOOKUP('Données projet'!$B$14,Paramètres!$A$1:$I$89,5,0)</f>
        <v>143.20800000000006</v>
      </c>
      <c r="DQ32" s="13">
        <f t="shared" si="43"/>
        <v>37.030941422835831</v>
      </c>
      <c r="DR32" s="20">
        <f t="shared" si="16"/>
        <v>313.91615631143918</v>
      </c>
      <c r="DS32" s="59">
        <f t="shared" si="17"/>
        <v>606.02726742255027</v>
      </c>
      <c r="DT32" s="59">
        <f ca="1">AVERAGE(OFFSET($DS$3,0,0,'Données projet'!$E$14+1,1))-AVERAGE(OFFSET($H$3,0,0,'Données projet'!$E$14+1,1))</f>
        <v>376.33792692771908</v>
      </c>
      <c r="DU32" s="59">
        <f t="shared" si="44"/>
        <v>367.92889258044698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1.9423602641714992</v>
      </c>
      <c r="EC32" s="21">
        <f>EXP(-LN(2)/2)*EC31+(1-EXP(-LN(2)/2))/(LN(2)/2)*DW32*DZ32*VLOOKUP('Données projet'!$B$14,Paramètres!$A$1:$I$89,3,0)*0.475*44/12</f>
        <v>0.21954203636425429</v>
      </c>
      <c r="ED32" s="22">
        <f t="shared" si="18"/>
        <v>2.1619023005357536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134.81519999999998</v>
      </c>
      <c r="P33" s="13">
        <f t="shared" si="33"/>
        <v>35.106644529103392</v>
      </c>
      <c r="Q33" s="20">
        <f t="shared" si="2"/>
        <v>295.94721255485501</v>
      </c>
      <c r="R33" s="59">
        <f t="shared" si="0"/>
        <v>589.28054588818827</v>
      </c>
      <c r="S33" s="59">
        <f ca="1">AVERAGE(OFFSET($R$3,0,0,'Données projet'!$E$9+1,1))-AVERAGE(OFFSET($H$3,0,0,'Données projet'!$E$9+1,1))</f>
        <v>469.68830256438338</v>
      </c>
      <c r="T33" s="59">
        <f t="shared" si="34"/>
        <v>332.61387922152159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2.4085528753586032</v>
      </c>
      <c r="AA33" s="21">
        <f>EXP(-LN(2)/25)*AA32+(1-EXP(-LN(2)/25))/(LN(2)/25)*Calculateur!V33*Calculateur!X33*VLOOKUP('Données projet'!$B$9,Paramètres!$A$1:$I$89,3,0)*0.475*44/12</f>
        <v>11.282818400509749</v>
      </c>
      <c r="AB33" s="21">
        <f>EXP(-LN(2)/2)*AB32+(1-EXP(-LN(2)/2))/(LN(2)/2)*V33*Y33*VLOOKUP('Données projet'!$B$9,Paramètres!$A$1:$I$89,3,0)*0.475*44/12</f>
        <v>21.553336774106572</v>
      </c>
      <c r="AC33" s="22">
        <f t="shared" si="3"/>
        <v>35.244708049974925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160.38359999999997</v>
      </c>
      <c r="AK33" s="13">
        <f t="shared" si="35"/>
        <v>40.929025395397851</v>
      </c>
      <c r="AL33" s="20">
        <f t="shared" si="4"/>
        <v>350.61948923031787</v>
      </c>
      <c r="AM33" s="59">
        <f t="shared" si="5"/>
        <v>643.95282256365113</v>
      </c>
      <c r="AN33" s="59">
        <f ca="1">AVERAGE(OFFSET($AM$3,0,0,'Données projet'!$E$10+1,1))-AVERAGE(OFFSET($H$3,0,0,'Données projet'!$E$10+1,1))</f>
        <v>550.66682372933292</v>
      </c>
      <c r="AO33" s="59">
        <f t="shared" si="36"/>
        <v>387.28615589698444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2.8653473862024765</v>
      </c>
      <c r="AV33" s="21">
        <f>EXP(-LN(2)/25)*AV32+(1-EXP(-LN(2)/25))/(LN(2)/25)*Calculateur!AQ33*Calculateur!AS33*VLOOKUP('Données projet'!$B$10,Paramètres!$A$1:$I$89,3,0)*0.475*44/12</f>
        <v>13.422663269571942</v>
      </c>
      <c r="AW33" s="21">
        <f>EXP(-LN(2)/2)*AW32+(1-EXP(-LN(2)/2))/(LN(2)/2)*AQ33*AT33*VLOOKUP('Données projet'!$B$10,Paramètres!$A$1:$I$89,3,0)*0.475*44/12</f>
        <v>25.641038576092303</v>
      </c>
      <c r="AX33" s="21">
        <f t="shared" si="6"/>
        <v>41.929049231866721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194</v>
      </c>
      <c r="BB33" s="12">
        <f>VLOOKUP(A33,'Données projet'!$A$87:$I$107,9,0)</f>
        <v>10.4</v>
      </c>
      <c r="BC33" s="12">
        <f t="array" ref="BC33">INDEX(BB:BB,MIN(IF(ISNUMBER(BB33:BB229),ROW(BB33:BB229),"")))</f>
        <v>10.4</v>
      </c>
      <c r="BD33" s="12">
        <f>IF('Données projet'!$A$88&gt;35,BD32+BC33-BL32,IF(A33&lt;'Données projet'!$A$88,$BA$205^A33,IF(A33='Données projet'!$A$88,'Données projet'!$B$88,BD32+BC33-BL32)))</f>
        <v>194.00000000000006</v>
      </c>
      <c r="BE33" s="13">
        <f>BD33*VLOOKUP('Données projet'!$B$11,Paramètres!$A$1:$I$89,3,0)*VLOOKUP('Données projet'!$B$11,Paramètres!$A$1:$I$89,5,0)</f>
        <v>151.32000000000005</v>
      </c>
      <c r="BF33" s="13">
        <f t="shared" si="37"/>
        <v>38.878407223223149</v>
      </c>
      <c r="BG33" s="20">
        <f t="shared" si="7"/>
        <v>331.26222591378041</v>
      </c>
      <c r="BH33" s="59">
        <f t="shared" si="8"/>
        <v>624.59555924711367</v>
      </c>
      <c r="BI33" s="59">
        <f ca="1">AVERAGE(OFFSET($BH$3,0,0,'Données projet'!$E$11+1,1))-AVERAGE(OFFSET($H$3,0,0,'Données projet'!$E$11+1,1))</f>
        <v>376.33792692771908</v>
      </c>
      <c r="BJ33" s="59">
        <f t="shared" si="38"/>
        <v>367.92889258044698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39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1.4460215846518709</v>
      </c>
      <c r="BQ33" s="21">
        <f>EXP(-LN(2)/25)*BQ32+(1-EXP(-LN(2)/25))/(LN(2)/25)*Calculateur!BL33*Calculateur!BN33*VLOOKUP('Données projet'!$B$11,Paramètres!$A$1:$I$89,3,0)*0.475*44/12</f>
        <v>8.3707225307339872</v>
      </c>
      <c r="BR33" s="21">
        <f>EXP(-LN(2)/2)*BR32+(1-EXP(-LN(2)/2))/(LN(2)/2)*BL33*BO33*VLOOKUP('Données projet'!$B$11,Paramètres!$A$1:$I$89,3,0)*0.475*44/12</f>
        <v>13.071179596701828</v>
      </c>
      <c r="BS33" s="22">
        <f t="shared" si="9"/>
        <v>22.887923712087687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95.003999999999962</v>
      </c>
      <c r="CA33" s="13">
        <f t="shared" si="39"/>
        <v>25.768242550600764</v>
      </c>
      <c r="CB33" s="20">
        <f t="shared" si="10"/>
        <v>210.34498910896289</v>
      </c>
      <c r="CC33" s="59">
        <f t="shared" si="11"/>
        <v>503.67832244229623</v>
      </c>
      <c r="CD33" s="59">
        <f ca="1">AVERAGE(OFFSET($CC$3,0,0,'Données projet'!$E$12+1,1))-AVERAGE(OFFSET($H$3,0,0,'Données projet'!$E$12+1,1))</f>
        <v>388.50131600273431</v>
      </c>
      <c r="CE33" s="59">
        <f t="shared" si="40"/>
        <v>247.01165577562955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3.1059381724899082</v>
      </c>
      <c r="CM33" s="21">
        <f>EXP(-LN(2)/2)*CM32+(1-EXP(-LN(2)/2))/(LN(2)/2)*CG33*CJ33*VLOOKUP('Données projet'!$B$12,Paramètres!$A$1:$I$89,3,0)*0.475*44/12</f>
        <v>6.1893478544284255</v>
      </c>
      <c r="CN33" s="22">
        <f t="shared" si="12"/>
        <v>9.2952860269183333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105</v>
      </c>
      <c r="CR33" s="12">
        <f>VLOOKUP(A33,'Données projet'!$A$139:$I$159,9,0)</f>
        <v>6.3</v>
      </c>
      <c r="CS33" s="12">
        <f t="array" ref="CS33">INDEX(CR:CR,MIN(IF(ISNUMBER(CR33:CR229),ROW(CR33:CR229),"")))</f>
        <v>6.3</v>
      </c>
      <c r="CT33" s="12">
        <f>IF('Données projet'!$A$140&gt;35,CT32+CS33-DB32,IF(A33&lt;'Données projet'!$A$140,$CQ$205^A33,IF(A33='Données projet'!$A$140,'Données projet'!$B$140,CT32+CS33-DB32)))</f>
        <v>104.99999999999997</v>
      </c>
      <c r="CU33" s="17">
        <f>CT33*VLOOKUP('Données projet'!$B$13,Paramètres!$A$1:$I$89,3,0)*VLOOKUP('Données projet'!$B$13,Paramètres!$A$1:$I$89,5,0)</f>
        <v>113.02199999999996</v>
      </c>
      <c r="CV33" s="13">
        <f t="shared" si="41"/>
        <v>30.041864379091852</v>
      </c>
      <c r="CW33" s="20">
        <f t="shared" si="13"/>
        <v>249.16956379358496</v>
      </c>
      <c r="CX33" s="59">
        <f t="shared" si="14"/>
        <v>542.50289712691824</v>
      </c>
      <c r="CY33" s="59">
        <f ca="1">AVERAGE(OFFSET($CX$3,0,0,'Données projet'!$E$13+1,1))-AVERAGE(OFFSET($H$3,0,0,'Données projet'!$E$13+1,1))</f>
        <v>454.43000549907373</v>
      </c>
      <c r="CZ33" s="59">
        <f t="shared" si="42"/>
        <v>285.83623046025156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29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3.694995412100063</v>
      </c>
      <c r="DH33" s="21">
        <f>EXP(-LN(2)/2)*DH32+(1-EXP(-LN(2)/2))/(LN(2)/2)*DB33*DE33*VLOOKUP('Données projet'!$B$13,Paramètres!$A$1:$I$89,3,0)*0.475*44/12</f>
        <v>7.3631896888889896</v>
      </c>
      <c r="DI33" s="22">
        <f t="shared" si="15"/>
        <v>11.058185100989053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194</v>
      </c>
      <c r="DM33" s="12">
        <f>VLOOKUP(A33,'Données projet'!$A$165:$I$185,9,0)</f>
        <v>10.4</v>
      </c>
      <c r="DN33" s="12">
        <f t="array" ref="DN33">INDEX(DM:DM,MIN(IF(ISNUMBER(DM33:DM229),ROW(DM33:DM229),"")))</f>
        <v>10.4</v>
      </c>
      <c r="DO33" s="12">
        <f>IF('Données projet'!$A$166&gt;35,DO32+DN33-DW32,IF(A33&lt;'Données projet'!$A$166,$DL$205^A33,IF(A33='Données projet'!$A$166,'Données projet'!$B$166,DO32+DN33-DW32)))</f>
        <v>194.00000000000006</v>
      </c>
      <c r="DP33" s="17">
        <f>DO33*VLOOKUP('Données projet'!$B$14,Paramètres!$A$1:$I$89,3,0)*VLOOKUP('Données projet'!$B$14,Paramètres!$A$1:$I$89,5,0)</f>
        <v>151.32000000000005</v>
      </c>
      <c r="DQ33" s="13">
        <f t="shared" si="43"/>
        <v>38.878407223223149</v>
      </c>
      <c r="DR33" s="20">
        <f t="shared" si="16"/>
        <v>331.26222591378041</v>
      </c>
      <c r="DS33" s="59">
        <f t="shared" si="17"/>
        <v>624.59555924711367</v>
      </c>
      <c r="DT33" s="59">
        <f ca="1">AVERAGE(OFFSET($DS$3,0,0,'Données projet'!$E$14+1,1))-AVERAGE(OFFSET($H$3,0,0,'Données projet'!$E$14+1,1))</f>
        <v>376.33792692771908</v>
      </c>
      <c r="DU33" s="59">
        <f t="shared" si="44"/>
        <v>367.92889258044698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39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1.4460215846518709</v>
      </c>
      <c r="EB33" s="21">
        <f>EXP(-LN(2)/25)*EB32+(1-EXP(-LN(2)/25))/(LN(2)/25)*Calculateur!DW33*Calculateur!DY33*VLOOKUP('Données projet'!$B$14,Paramètres!$A$1:$I$89,3,0)*0.475*44/12</f>
        <v>8.3707225307339872</v>
      </c>
      <c r="EC33" s="21">
        <f>EXP(-LN(2)/2)*EC32+(1-EXP(-LN(2)/2))/(LN(2)/2)*DW33*DZ33*VLOOKUP('Données projet'!$B$14,Paramètres!$A$1:$I$89,3,0)*0.475*44/12</f>
        <v>13.071179596701828</v>
      </c>
      <c r="ED33" s="22">
        <f t="shared" si="18"/>
        <v>22.887923712087687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94.099199999999996</v>
      </c>
      <c r="P34" s="13">
        <f t="shared" si="33"/>
        <v>25.551276031514817</v>
      </c>
      <c r="Q34" s="20">
        <f t="shared" si="2"/>
        <v>208.39124575488827</v>
      </c>
      <c r="R34" s="59">
        <f t="shared" si="0"/>
        <v>501.72457908822162</v>
      </c>
      <c r="S34" s="59">
        <f ca="1">AVERAGE(OFFSET($R$3,0,0,'Données projet'!$E$9+1,1))-AVERAGE(OFFSET($H$3,0,0,'Données projet'!$E$9+1,1))</f>
        <v>469.68830256438338</v>
      </c>
      <c r="T34" s="59">
        <f t="shared" si="34"/>
        <v>332.61387922152159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2.3613226225450159</v>
      </c>
      <c r="AA34" s="21">
        <f>EXP(-LN(2)/25)*AA33+(1-EXP(-LN(2)/25))/(LN(2)/25)*Calculateur!V34*Calculateur!X34*VLOOKUP('Données projet'!$B$9,Paramètres!$A$1:$I$89,3,0)*0.475*44/12</f>
        <v>10.974289138010176</v>
      </c>
      <c r="AB34" s="21">
        <f>EXP(-LN(2)/2)*AB33+(1-EXP(-LN(2)/2))/(LN(2)/2)*V34*Y34*VLOOKUP('Données projet'!$B$9,Paramètres!$A$1:$I$89,3,0)*0.475*44/12</f>
        <v>15.240510590168146</v>
      </c>
      <c r="AC34" s="22">
        <f t="shared" si="3"/>
        <v>28.576122350723338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111.94559999999998</v>
      </c>
      <c r="AK34" s="13">
        <f t="shared" si="35"/>
        <v>29.788914309703763</v>
      </c>
      <c r="AL34" s="20">
        <f t="shared" si="4"/>
        <v>246.85427908940071</v>
      </c>
      <c r="AM34" s="59">
        <f t="shared" si="5"/>
        <v>540.18761242273399</v>
      </c>
      <c r="AN34" s="59">
        <f ca="1">AVERAGE(OFFSET($AM$3,0,0,'Données projet'!$E$10+1,1))-AVERAGE(OFFSET($H$3,0,0,'Données projet'!$E$10+1,1))</f>
        <v>550.66682372933292</v>
      </c>
      <c r="AO34" s="59">
        <f t="shared" si="36"/>
        <v>387.28615589698444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2.8091596716483815</v>
      </c>
      <c r="AV34" s="21">
        <f>EXP(-LN(2)/25)*AV33+(1-EXP(-LN(2)/25))/(LN(2)/25)*Calculateur!AQ34*Calculateur!AS34*VLOOKUP('Données projet'!$B$10,Paramètres!$A$1:$I$89,3,0)*0.475*44/12</f>
        <v>13.055619836598314</v>
      </c>
      <c r="AW34" s="21">
        <f>EXP(-LN(2)/2)*AW33+(1-EXP(-LN(2)/2))/(LN(2)/2)*AQ34*AT34*VLOOKUP('Données projet'!$B$10,Paramètres!$A$1:$I$89,3,0)*0.475*44/12</f>
        <v>18.130952253820727</v>
      </c>
      <c r="AX34" s="21">
        <f t="shared" si="6"/>
        <v>33.995731762067422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166.50000000000006</v>
      </c>
      <c r="BE34" s="13">
        <f>BD34*VLOOKUP('Données projet'!$B$11,Paramètres!$A$1:$I$89,3,0)*VLOOKUP('Données projet'!$B$11,Paramètres!$A$1:$I$89,5,0)</f>
        <v>129.87000000000006</v>
      </c>
      <c r="BF34" s="13">
        <f t="shared" si="37"/>
        <v>33.966318400312318</v>
      </c>
      <c r="BG34" s="20">
        <f t="shared" si="7"/>
        <v>285.34825454721073</v>
      </c>
      <c r="BH34" s="59">
        <f t="shared" si="8"/>
        <v>578.68158788054404</v>
      </c>
      <c r="BI34" s="59">
        <f ca="1">AVERAGE(OFFSET($BH$3,0,0,'Données projet'!$E$11+1,1))-AVERAGE(OFFSET($H$3,0,0,'Données projet'!$E$11+1,1))</f>
        <v>376.33792692771908</v>
      </c>
      <c r="BJ34" s="59">
        <f t="shared" si="38"/>
        <v>367.92889258044698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1.4176659833629255</v>
      </c>
      <c r="BQ34" s="21">
        <f>EXP(-LN(2)/25)*BQ33+(1-EXP(-LN(2)/25))/(LN(2)/25)*Calculateur!BL34*Calculateur!BN34*VLOOKUP('Données projet'!$B$11,Paramètres!$A$1:$I$89,3,0)*0.475*44/12</f>
        <v>8.1418246829338994</v>
      </c>
      <c r="BR34" s="21">
        <f>EXP(-LN(2)/2)*BR33+(1-EXP(-LN(2)/2))/(LN(2)/2)*BL34*BO34*VLOOKUP('Données projet'!$B$11,Paramètres!$A$1:$I$89,3,0)*0.475*44/12</f>
        <v>9.2427197309351055</v>
      </c>
      <c r="BS34" s="22">
        <f t="shared" si="9"/>
        <v>18.802210397231931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76.184159999999977</v>
      </c>
      <c r="CA34" s="13">
        <f t="shared" si="39"/>
        <v>21.201554232857205</v>
      </c>
      <c r="CB34" s="20">
        <f t="shared" si="10"/>
        <v>169.61345228889294</v>
      </c>
      <c r="CC34" s="59">
        <f t="shared" si="11"/>
        <v>462.94678562222623</v>
      </c>
      <c r="CD34" s="59">
        <f ca="1">AVERAGE(OFFSET($CC$3,0,0,'Données projet'!$E$12+1,1))-AVERAGE(OFFSET($H$3,0,0,'Données projet'!$E$12+1,1))</f>
        <v>388.50131600273431</v>
      </c>
      <c r="CE34" s="59">
        <f t="shared" si="40"/>
        <v>247.01165577562955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3.0210061298289821</v>
      </c>
      <c r="CM34" s="21">
        <f>EXP(-LN(2)/2)*CM33+(1-EXP(-LN(2)/2))/(LN(2)/2)*CG34*CJ34*VLOOKUP('Données projet'!$B$12,Paramètres!$A$1:$I$89,3,0)*0.475*44/12</f>
        <v>4.3765298389887484</v>
      </c>
      <c r="CN34" s="22">
        <f t="shared" si="12"/>
        <v>7.3975359688177305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8.1999999999999993</v>
      </c>
      <c r="CT34" s="12">
        <f>IF('Données projet'!$A$140&gt;35,CT33+CS34-DB33,IF(A34&lt;'Données projet'!$A$140,$CQ$205^A34,IF(A34='Données projet'!$A$140,'Données projet'!$B$140,CT33+CS34-DB33)))</f>
        <v>84.199999999999974</v>
      </c>
      <c r="CU34" s="17">
        <f>CT34*VLOOKUP('Données projet'!$B$13,Paramètres!$A$1:$I$89,3,0)*VLOOKUP('Données projet'!$B$13,Paramètres!$A$1:$I$89,5,0)</f>
        <v>90.632879999999972</v>
      </c>
      <c r="CV34" s="13">
        <f t="shared" si="41"/>
        <v>24.717798105117861</v>
      </c>
      <c r="CW34" s="20">
        <f t="shared" si="13"/>
        <v>200.90243103308021</v>
      </c>
      <c r="CX34" s="59">
        <f t="shared" si="14"/>
        <v>494.23576436641349</v>
      </c>
      <c r="CY34" s="59">
        <f ca="1">AVERAGE(OFFSET($CX$3,0,0,'Données projet'!$E$13+1,1))-AVERAGE(OFFSET($H$3,0,0,'Données projet'!$E$13+1,1))</f>
        <v>454.43000549907373</v>
      </c>
      <c r="CZ34" s="59">
        <f t="shared" si="42"/>
        <v>285.83623046025156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3.593955568244823</v>
      </c>
      <c r="DH34" s="21">
        <f>EXP(-LN(2)/2)*DH33+(1-EXP(-LN(2)/2))/(LN(2)/2)*DB34*DE34*VLOOKUP('Données projet'!$B$13,Paramètres!$A$1:$I$89,3,0)*0.475*44/12</f>
        <v>5.2065613601762699</v>
      </c>
      <c r="DI34" s="22">
        <f t="shared" si="15"/>
        <v>8.8005169284210929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166.50000000000006</v>
      </c>
      <c r="DP34" s="17">
        <f>DO34*VLOOKUP('Données projet'!$B$14,Paramètres!$A$1:$I$89,3,0)*VLOOKUP('Données projet'!$B$14,Paramètres!$A$1:$I$89,5,0)</f>
        <v>129.87000000000006</v>
      </c>
      <c r="DQ34" s="13">
        <f t="shared" si="43"/>
        <v>33.966318400312318</v>
      </c>
      <c r="DR34" s="20">
        <f t="shared" si="16"/>
        <v>285.34825454721073</v>
      </c>
      <c r="DS34" s="59">
        <f t="shared" si="17"/>
        <v>578.68158788054404</v>
      </c>
      <c r="DT34" s="59">
        <f ca="1">AVERAGE(OFFSET($DS$3,0,0,'Données projet'!$E$14+1,1))-AVERAGE(OFFSET($H$3,0,0,'Données projet'!$E$14+1,1))</f>
        <v>376.33792692771908</v>
      </c>
      <c r="DU34" s="59">
        <f t="shared" si="44"/>
        <v>367.92889258044698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1.4176659833629255</v>
      </c>
      <c r="EB34" s="21">
        <f>EXP(-LN(2)/25)*EB33+(1-EXP(-LN(2)/25))/(LN(2)/25)*Calculateur!DW34*Calculateur!DY34*VLOOKUP('Données projet'!$B$14,Paramètres!$A$1:$I$89,3,0)*0.475*44/12</f>
        <v>8.1418246829338994</v>
      </c>
      <c r="EC34" s="21">
        <f>EXP(-LN(2)/2)*EC33+(1-EXP(-LN(2)/2))/(LN(2)/2)*DW34*DZ34*VLOOKUP('Données projet'!$B$14,Paramètres!$A$1:$I$89,3,0)*0.475*44/12</f>
        <v>9.2427197309351055</v>
      </c>
      <c r="ED34" s="22">
        <f t="shared" si="18"/>
        <v>18.802210397231931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104.05199999999999</v>
      </c>
      <c r="P35" s="13">
        <f t="shared" si="33"/>
        <v>27.925087771564417</v>
      </c>
      <c r="Q35" s="20">
        <f t="shared" ref="Q35:Q66" si="53">(O35+P35)*0.475*44/12</f>
        <v>229.86009453547467</v>
      </c>
      <c r="R35" s="59">
        <f t="shared" si="0"/>
        <v>523.19342786880793</v>
      </c>
      <c r="S35" s="59">
        <f ca="1">AVERAGE(OFFSET($R$3,0,0,'Données projet'!$E$9+1,1))-AVERAGE(OFFSET($H$3,0,0,'Données projet'!$E$9+1,1))</f>
        <v>469.68830256438338</v>
      </c>
      <c r="T35" s="59">
        <f t="shared" si="34"/>
        <v>332.61387922152159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2.3150185261814937</v>
      </c>
      <c r="AA35" s="21">
        <f>EXP(-LN(2)/25)*AA34+(1-EXP(-LN(2)/25))/(LN(2)/25)*Calculateur!V35*Calculateur!X35*VLOOKUP('Données projet'!$B$9,Paramètres!$A$1:$I$89,3,0)*0.475*44/12</f>
        <v>10.674196624418505</v>
      </c>
      <c r="AB35" s="21">
        <f>EXP(-LN(2)/2)*AB34+(1-EXP(-LN(2)/2))/(LN(2)/2)*V35*Y35*VLOOKUP('Données projet'!$B$9,Paramètres!$A$1:$I$89,3,0)*0.475*44/12</f>
        <v>10.776668387053288</v>
      </c>
      <c r="AC35" s="22">
        <f t="shared" si="3"/>
        <v>23.765883537653288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123.786</v>
      </c>
      <c r="AK35" s="13">
        <f t="shared" si="35"/>
        <v>32.556418931566412</v>
      </c>
      <c r="AL35" s="20">
        <f t="shared" si="4"/>
        <v>272.29637963914485</v>
      </c>
      <c r="AM35" s="59">
        <f t="shared" si="5"/>
        <v>565.62971297247816</v>
      </c>
      <c r="AN35" s="59">
        <f ca="1">AVERAGE(OFFSET($AM$3,0,0,'Données projet'!$E$10+1,1))-AVERAGE(OFFSET($H$3,0,0,'Données projet'!$E$10+1,1))</f>
        <v>550.66682372933292</v>
      </c>
      <c r="AO35" s="59">
        <f t="shared" si="36"/>
        <v>387.28615589698444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2.7540737639055703</v>
      </c>
      <c r="AV35" s="21">
        <f>EXP(-LN(2)/25)*AV34+(1-EXP(-LN(2)/25))/(LN(2)/25)*Calculateur!AQ35*Calculateur!AS35*VLOOKUP('Données projet'!$B$10,Paramètres!$A$1:$I$89,3,0)*0.475*44/12</f>
        <v>12.698613225601326</v>
      </c>
      <c r="AW35" s="21">
        <f>EXP(-LN(2)/2)*AW34+(1-EXP(-LN(2)/2))/(LN(2)/2)*AQ35*AT35*VLOOKUP('Données projet'!$B$10,Paramètres!$A$1:$I$89,3,0)*0.475*44/12</f>
        <v>12.820519288046155</v>
      </c>
      <c r="AX35" s="21">
        <f t="shared" si="6"/>
        <v>28.273206277553051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178.00000000000006</v>
      </c>
      <c r="BE35" s="13">
        <f>BD35*VLOOKUP('Données projet'!$B$11,Paramètres!$A$1:$I$89,3,0)*VLOOKUP('Données projet'!$B$11,Paramètres!$A$1:$I$89,5,0)</f>
        <v>138.84000000000006</v>
      </c>
      <c r="BF35" s="13">
        <f t="shared" si="37"/>
        <v>36.031137240112955</v>
      </c>
      <c r="BG35" s="20">
        <f t="shared" si="7"/>
        <v>304.56723069319679</v>
      </c>
      <c r="BH35" s="59">
        <f t="shared" si="8"/>
        <v>597.90056402653011</v>
      </c>
      <c r="BI35" s="59">
        <f ca="1">AVERAGE(OFFSET($BH$3,0,0,'Données projet'!$E$11+1,1))-AVERAGE(OFFSET($H$3,0,0,'Données projet'!$E$11+1,1))</f>
        <v>376.33792692771908</v>
      </c>
      <c r="BJ35" s="59">
        <f t="shared" si="38"/>
        <v>367.92889258044698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1.3898664181200473</v>
      </c>
      <c r="BQ35" s="21">
        <f>EXP(-LN(2)/25)*BQ34+(1-EXP(-LN(2)/25))/(LN(2)/25)*Calculateur!BL35*Calculateur!BN35*VLOOKUP('Données projet'!$B$11,Paramètres!$A$1:$I$89,3,0)*0.475*44/12</f>
        <v>7.9191860588191201</v>
      </c>
      <c r="BR35" s="21">
        <f>EXP(-LN(2)/2)*BR34+(1-EXP(-LN(2)/2))/(LN(2)/2)*BL35*BO35*VLOOKUP('Données projet'!$B$11,Paramètres!$A$1:$I$89,3,0)*0.475*44/12</f>
        <v>6.5355897983509159</v>
      </c>
      <c r="BS35" s="22">
        <f t="shared" si="9"/>
        <v>15.844642275290083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83.603519999999975</v>
      </c>
      <c r="CA35" s="13">
        <f t="shared" si="39"/>
        <v>23.015991519299678</v>
      </c>
      <c r="CB35" s="20">
        <f t="shared" si="10"/>
        <v>185.69564922944687</v>
      </c>
      <c r="CC35" s="59">
        <f t="shared" si="11"/>
        <v>479.02898256278019</v>
      </c>
      <c r="CD35" s="59">
        <f ca="1">AVERAGE(OFFSET($CC$3,0,0,'Données projet'!$E$12+1,1))-AVERAGE(OFFSET($H$3,0,0,'Données projet'!$E$12+1,1))</f>
        <v>388.50131600273431</v>
      </c>
      <c r="CE35" s="59">
        <f t="shared" si="40"/>
        <v>247.01165577562955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2.938396558341001</v>
      </c>
      <c r="CM35" s="21">
        <f>EXP(-LN(2)/2)*CM34+(1-EXP(-LN(2)/2))/(LN(2)/2)*CG35*CJ35*VLOOKUP('Données projet'!$B$12,Paramètres!$A$1:$I$89,3,0)*0.475*44/12</f>
        <v>3.0946739272142132</v>
      </c>
      <c r="CN35" s="22">
        <f t="shared" si="12"/>
        <v>6.0330704855552142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8.1999999999999993</v>
      </c>
      <c r="CT35" s="12">
        <f>IF('Données projet'!$A$140&gt;35,CT34+CS35-DB34,IF(A35&lt;'Données projet'!$A$140,$CQ$205^A35,IF(A35='Données projet'!$A$140,'Données projet'!$B$140,CT34+CS35-DB34)))</f>
        <v>92.399999999999977</v>
      </c>
      <c r="CU35" s="17">
        <f>CT35*VLOOKUP('Données projet'!$B$13,Paramètres!$A$1:$I$89,3,0)*VLOOKUP('Données projet'!$B$13,Paramètres!$A$1:$I$89,5,0)</f>
        <v>99.459359999999975</v>
      </c>
      <c r="CV35" s="13">
        <f t="shared" si="41"/>
        <v>26.833156914576186</v>
      </c>
      <c r="CW35" s="20">
        <f t="shared" si="13"/>
        <v>219.95946695955351</v>
      </c>
      <c r="CX35" s="59">
        <f t="shared" si="14"/>
        <v>513.2928002928868</v>
      </c>
      <c r="CY35" s="59">
        <f ca="1">AVERAGE(OFFSET($CX$3,0,0,'Données projet'!$E$13+1,1))-AVERAGE(OFFSET($H$3,0,0,'Données projet'!$E$13+1,1))</f>
        <v>454.43000549907373</v>
      </c>
      <c r="CZ35" s="59">
        <f t="shared" si="42"/>
        <v>285.83623046025156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3.4956786642332589</v>
      </c>
      <c r="DH35" s="21">
        <f>EXP(-LN(2)/2)*DH34+(1-EXP(-LN(2)/2))/(LN(2)/2)*DB35*DE35*VLOOKUP('Données projet'!$B$13,Paramètres!$A$1:$I$89,3,0)*0.475*44/12</f>
        <v>3.6815948444444953</v>
      </c>
      <c r="DI35" s="22">
        <f t="shared" si="15"/>
        <v>7.1772735086777537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11.5</v>
      </c>
      <c r="DO35" s="12">
        <f>IF('Données projet'!$A$166&gt;35,DO34+DN35-DW34,IF(A35&lt;'Données projet'!$A$166,$DL$205^A35,IF(A35='Données projet'!$A$166,'Données projet'!$B$166,DO34+DN35-DW34)))</f>
        <v>178.00000000000006</v>
      </c>
      <c r="DP35" s="17">
        <f>DO35*VLOOKUP('Données projet'!$B$14,Paramètres!$A$1:$I$89,3,0)*VLOOKUP('Données projet'!$B$14,Paramètres!$A$1:$I$89,5,0)</f>
        <v>138.84000000000006</v>
      </c>
      <c r="DQ35" s="13">
        <f t="shared" si="43"/>
        <v>36.031137240112955</v>
      </c>
      <c r="DR35" s="20">
        <f t="shared" si="16"/>
        <v>304.56723069319679</v>
      </c>
      <c r="DS35" s="59">
        <f t="shared" si="17"/>
        <v>597.90056402653011</v>
      </c>
      <c r="DT35" s="59">
        <f ca="1">AVERAGE(OFFSET($DS$3,0,0,'Données projet'!$E$14+1,1))-AVERAGE(OFFSET($H$3,0,0,'Données projet'!$E$14+1,1))</f>
        <v>376.33792692771908</v>
      </c>
      <c r="DU35" s="59">
        <f t="shared" si="44"/>
        <v>367.92889258044698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1.3898664181200473</v>
      </c>
      <c r="EB35" s="21">
        <f>EXP(-LN(2)/25)*EB34+(1-EXP(-LN(2)/25))/(LN(2)/25)*Calculateur!DW35*Calculateur!DY35*VLOOKUP('Données projet'!$B$14,Paramètres!$A$1:$I$89,3,0)*0.475*44/12</f>
        <v>7.9191860588191201</v>
      </c>
      <c r="EC35" s="21">
        <f>EXP(-LN(2)/2)*EC34+(1-EXP(-LN(2)/2))/(LN(2)/2)*DW35*DZ35*VLOOKUP('Données projet'!$B$14,Paramètres!$A$1:$I$89,3,0)*0.475*44/12</f>
        <v>6.5355897983509159</v>
      </c>
      <c r="ED35" s="22">
        <f t="shared" si="18"/>
        <v>15.844642275290083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114.0048</v>
      </c>
      <c r="P36" s="13">
        <f t="shared" si="33"/>
        <v>30.272573949217303</v>
      </c>
      <c r="Q36" s="20">
        <f t="shared" si="53"/>
        <v>251.28309296155342</v>
      </c>
      <c r="R36" s="59">
        <f t="shared" si="0"/>
        <v>544.61642629488676</v>
      </c>
      <c r="S36" s="59">
        <f ca="1">AVERAGE(OFFSET($R$3,0,0,'Données projet'!$E$9+1,1))-AVERAGE(OFFSET($H$3,0,0,'Données projet'!$E$9+1,1))</f>
        <v>469.68830256438338</v>
      </c>
      <c r="T36" s="59">
        <f t="shared" si="34"/>
        <v>332.61387922152159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2.2696224249049499</v>
      </c>
      <c r="AA36" s="21">
        <f>EXP(-LN(2)/25)*AA35+(1-EXP(-LN(2)/25))/(LN(2)/25)*Calculateur!V36*Calculateur!X36*VLOOKUP('Données projet'!$B$9,Paramètres!$A$1:$I$89,3,0)*0.475*44/12</f>
        <v>10.382310156392176</v>
      </c>
      <c r="AB36" s="21">
        <f>EXP(-LN(2)/2)*AB35+(1-EXP(-LN(2)/2))/(LN(2)/2)*V36*Y36*VLOOKUP('Données projet'!$B$9,Paramètres!$A$1:$I$89,3,0)*0.475*44/12</f>
        <v>7.6202552950840738</v>
      </c>
      <c r="AC36" s="22">
        <f t="shared" si="3"/>
        <v>20.272187876381199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135.62639999999999</v>
      </c>
      <c r="AK36" s="13">
        <f t="shared" si="35"/>
        <v>35.293231938598481</v>
      </c>
      <c r="AL36" s="20">
        <f t="shared" si="4"/>
        <v>297.6850256263923</v>
      </c>
      <c r="AM36" s="59">
        <f t="shared" si="5"/>
        <v>591.01835895972567</v>
      </c>
      <c r="AN36" s="59">
        <f ca="1">AVERAGE(OFFSET($AM$3,0,0,'Données projet'!$E$10+1,1))-AVERAGE(OFFSET($H$3,0,0,'Données projet'!$E$10+1,1))</f>
        <v>550.66682372933292</v>
      </c>
      <c r="AO36" s="59">
        <f t="shared" si="36"/>
        <v>387.28615589698444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2.7000680572145099</v>
      </c>
      <c r="AV36" s="21">
        <f>EXP(-LN(2)/25)*AV35+(1-EXP(-LN(2)/25))/(LN(2)/25)*Calculateur!AQ36*Calculateur!AS36*VLOOKUP('Données projet'!$B$10,Paramètres!$A$1:$I$89,3,0)*0.475*44/12</f>
        <v>12.351368979156211</v>
      </c>
      <c r="AW36" s="21">
        <f>EXP(-LN(2)/2)*AW35+(1-EXP(-LN(2)/2))/(LN(2)/2)*AQ36*AT36*VLOOKUP('Données projet'!$B$10,Paramètres!$A$1:$I$89,3,0)*0.475*44/12</f>
        <v>9.0654761269103652</v>
      </c>
      <c r="AX36" s="21">
        <f t="shared" si="6"/>
        <v>24.116913163281087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189.50000000000006</v>
      </c>
      <c r="BE36" s="13">
        <f>BD36*VLOOKUP('Données projet'!$B$11,Paramètres!$A$1:$I$89,3,0)*VLOOKUP('Données projet'!$B$11,Paramètres!$A$1:$I$89,5,0)</f>
        <v>147.81000000000006</v>
      </c>
      <c r="BF36" s="13">
        <f t="shared" si="37"/>
        <v>38.080475053580983</v>
      </c>
      <c r="BG36" s="20">
        <f t="shared" si="7"/>
        <v>323.75924405165364</v>
      </c>
      <c r="BH36" s="59">
        <f t="shared" si="8"/>
        <v>617.09257738498695</v>
      </c>
      <c r="BI36" s="59">
        <f ca="1">AVERAGE(OFFSET($BH$3,0,0,'Données projet'!$E$11+1,1))-AVERAGE(OFFSET($H$3,0,0,'Données projet'!$E$11+1,1))</f>
        <v>376.33792692771908</v>
      </c>
      <c r="BJ36" s="59">
        <f t="shared" si="38"/>
        <v>367.92889258044698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1.3626119853955214</v>
      </c>
      <c r="BQ36" s="21">
        <f>EXP(-LN(2)/25)*BQ35+(1-EXP(-LN(2)/25))/(LN(2)/25)*Calculateur!BL36*Calculateur!BN36*VLOOKUP('Données projet'!$B$11,Paramètres!$A$1:$I$89,3,0)*0.475*44/12</f>
        <v>7.7026354995888155</v>
      </c>
      <c r="BR36" s="21">
        <f>EXP(-LN(2)/2)*BR35+(1-EXP(-LN(2)/2))/(LN(2)/2)*BL36*BO36*VLOOKUP('Données projet'!$B$11,Paramètres!$A$1:$I$89,3,0)*0.475*44/12</f>
        <v>4.6213598654675536</v>
      </c>
      <c r="BS36" s="22">
        <f t="shared" si="9"/>
        <v>13.68660735045189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91.022879999999972</v>
      </c>
      <c r="CA36" s="13">
        <f t="shared" si="39"/>
        <v>24.811756526220293</v>
      </c>
      <c r="CB36" s="20">
        <f t="shared" si="10"/>
        <v>201.74532528316695</v>
      </c>
      <c r="CC36" s="59">
        <f t="shared" si="11"/>
        <v>495.07865861650026</v>
      </c>
      <c r="CD36" s="59">
        <f ca="1">AVERAGE(OFFSET($CC$3,0,0,'Données projet'!$E$12+1,1))-AVERAGE(OFFSET($H$3,0,0,'Données projet'!$E$12+1,1))</f>
        <v>388.50131600273431</v>
      </c>
      <c r="CE36" s="59">
        <f t="shared" si="40"/>
        <v>247.01165577562955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2.8580459499296071</v>
      </c>
      <c r="CM36" s="21">
        <f>EXP(-LN(2)/2)*CM35+(1-EXP(-LN(2)/2))/(LN(2)/2)*CG36*CJ36*VLOOKUP('Données projet'!$B$12,Paramètres!$A$1:$I$89,3,0)*0.475*44/12</f>
        <v>2.1882649194943746</v>
      </c>
      <c r="CN36" s="22">
        <f t="shared" si="12"/>
        <v>5.0463108694239818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8.1999999999999993</v>
      </c>
      <c r="CT36" s="12">
        <f>IF('Données projet'!$A$140&gt;35,CT35+CS36-DB35,IF(A36&lt;'Données projet'!$A$140,$CQ$205^A36,IF(A36='Données projet'!$A$140,'Données projet'!$B$140,CT35+CS36-DB35)))</f>
        <v>100.59999999999998</v>
      </c>
      <c r="CU36" s="17">
        <f>CT36*VLOOKUP('Données projet'!$B$13,Paramètres!$A$1:$I$89,3,0)*VLOOKUP('Données projet'!$B$13,Paramètres!$A$1:$I$89,5,0)</f>
        <v>108.28583999999998</v>
      </c>
      <c r="CV36" s="13">
        <f t="shared" si="41"/>
        <v>28.926746676807358</v>
      </c>
      <c r="CW36" s="20">
        <f t="shared" si="13"/>
        <v>238.97858846210613</v>
      </c>
      <c r="CX36" s="59">
        <f t="shared" si="14"/>
        <v>532.3119217954395</v>
      </c>
      <c r="CY36" s="59">
        <f ca="1">AVERAGE(OFFSET($CX$3,0,0,'Données projet'!$E$13+1,1))-AVERAGE(OFFSET($H$3,0,0,'Données projet'!$E$13+1,1))</f>
        <v>454.43000549907373</v>
      </c>
      <c r="CZ36" s="59">
        <f t="shared" si="42"/>
        <v>285.83623046025156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3.400089147330049</v>
      </c>
      <c r="DH36" s="21">
        <f>EXP(-LN(2)/2)*DH35+(1-EXP(-LN(2)/2))/(LN(2)/2)*DB36*DE36*VLOOKUP('Données projet'!$B$13,Paramètres!$A$1:$I$89,3,0)*0.475*44/12</f>
        <v>2.6032806800881354</v>
      </c>
      <c r="DI36" s="22">
        <f t="shared" si="15"/>
        <v>6.0033698274181848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11.5</v>
      </c>
      <c r="DO36" s="12">
        <f>IF('Données projet'!$A$166&gt;35,DO35+DN36-DW35,IF(A36&lt;'Données projet'!$A$166,$DL$205^A36,IF(A36='Données projet'!$A$166,'Données projet'!$B$166,DO35+DN36-DW35)))</f>
        <v>189.50000000000006</v>
      </c>
      <c r="DP36" s="17">
        <f>DO36*VLOOKUP('Données projet'!$B$14,Paramètres!$A$1:$I$89,3,0)*VLOOKUP('Données projet'!$B$14,Paramètres!$A$1:$I$89,5,0)</f>
        <v>147.81000000000006</v>
      </c>
      <c r="DQ36" s="13">
        <f t="shared" si="43"/>
        <v>38.080475053580983</v>
      </c>
      <c r="DR36" s="20">
        <f t="shared" si="16"/>
        <v>323.75924405165364</v>
      </c>
      <c r="DS36" s="59">
        <f t="shared" si="17"/>
        <v>617.09257738498695</v>
      </c>
      <c r="DT36" s="59">
        <f ca="1">AVERAGE(OFFSET($DS$3,0,0,'Données projet'!$E$14+1,1))-AVERAGE(OFFSET($H$3,0,0,'Données projet'!$E$14+1,1))</f>
        <v>376.33792692771908</v>
      </c>
      <c r="DU36" s="59">
        <f t="shared" si="44"/>
        <v>367.92889258044698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1.3626119853955214</v>
      </c>
      <c r="EB36" s="21">
        <f>EXP(-LN(2)/25)*EB35+(1-EXP(-LN(2)/25))/(LN(2)/25)*Calculateur!DW36*Calculateur!DY36*VLOOKUP('Données projet'!$B$14,Paramètres!$A$1:$I$89,3,0)*0.475*44/12</f>
        <v>7.7026354995888155</v>
      </c>
      <c r="EC36" s="21">
        <f>EXP(-LN(2)/2)*EC35+(1-EXP(-LN(2)/2))/(LN(2)/2)*DW36*DZ36*VLOOKUP('Données projet'!$B$14,Paramètres!$A$1:$I$89,3,0)*0.475*44/12</f>
        <v>4.6213598654675536</v>
      </c>
      <c r="ED36" s="22">
        <f t="shared" si="18"/>
        <v>13.68660735045189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123.9576</v>
      </c>
      <c r="P37" s="13">
        <f t="shared" si="33"/>
        <v>32.59629414926458</v>
      </c>
      <c r="Q37" s="20">
        <f t="shared" si="53"/>
        <v>272.6646989766358</v>
      </c>
      <c r="R37" s="59">
        <f t="shared" si="0"/>
        <v>565.99803230996918</v>
      </c>
      <c r="S37" s="59">
        <f ca="1">AVERAGE(OFFSET($R$3,0,0,'Données projet'!$E$9+1,1))-AVERAGE(OFFSET($H$3,0,0,'Données projet'!$E$9+1,1))</f>
        <v>469.68830256438338</v>
      </c>
      <c r="T37" s="59">
        <f t="shared" si="34"/>
        <v>332.61387922152159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2.2251165134855517</v>
      </c>
      <c r="AA37" s="21">
        <f>EXP(-LN(2)/25)*AA36+(1-EXP(-LN(2)/25))/(LN(2)/25)*Calculateur!V37*Calculateur!X37*VLOOKUP('Données projet'!$B$9,Paramètres!$A$1:$I$89,3,0)*0.475*44/12</f>
        <v>10.098405339183669</v>
      </c>
      <c r="AB37" s="21">
        <f>EXP(-LN(2)/2)*AB36+(1-EXP(-LN(2)/2))/(LN(2)/2)*V37*Y37*VLOOKUP('Données projet'!$B$9,Paramètres!$A$1:$I$89,3,0)*0.475*44/12</f>
        <v>5.3883341935266449</v>
      </c>
      <c r="AC37" s="22">
        <f t="shared" si="3"/>
        <v>17.711856046195866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147.46679999999998</v>
      </c>
      <c r="AK37" s="13">
        <f t="shared" si="35"/>
        <v>38.002337418636273</v>
      </c>
      <c r="AL37" s="20">
        <f t="shared" si="4"/>
        <v>323.02541433745813</v>
      </c>
      <c r="AM37" s="59">
        <f t="shared" si="5"/>
        <v>616.35874767079144</v>
      </c>
      <c r="AN37" s="59">
        <f ca="1">AVERAGE(OFFSET($AM$3,0,0,'Données projet'!$E$10+1,1))-AVERAGE(OFFSET($H$3,0,0,'Données projet'!$E$10+1,1))</f>
        <v>550.66682372933292</v>
      </c>
      <c r="AO37" s="59">
        <f t="shared" si="36"/>
        <v>387.28615589698444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2.6471213694914324</v>
      </c>
      <c r="AV37" s="21">
        <f>EXP(-LN(2)/25)*AV36+(1-EXP(-LN(2)/25))/(LN(2)/25)*Calculateur!AQ37*Calculateur!AS37*VLOOKUP('Données projet'!$B$10,Paramètres!$A$1:$I$89,3,0)*0.475*44/12</f>
        <v>12.01362014489092</v>
      </c>
      <c r="AW37" s="21">
        <f>EXP(-LN(2)/2)*AW36+(1-EXP(-LN(2)/2))/(LN(2)/2)*AQ37*AT37*VLOOKUP('Données projet'!$B$10,Paramètres!$A$1:$I$89,3,0)*0.475*44/12</f>
        <v>6.4102596440230784</v>
      </c>
      <c r="AX37" s="21">
        <f t="shared" si="6"/>
        <v>21.07100115840543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201.00000000000006</v>
      </c>
      <c r="BE37" s="13">
        <f>BD37*VLOOKUP('Données projet'!$B$11,Paramètres!$A$1:$I$89,3,0)*VLOOKUP('Données projet'!$B$11,Paramètres!$A$1:$I$89,5,0)</f>
        <v>156.78000000000006</v>
      </c>
      <c r="BF37" s="13">
        <f t="shared" si="37"/>
        <v>40.115378305457973</v>
      </c>
      <c r="BG37" s="20">
        <f t="shared" si="7"/>
        <v>342.92611721533939</v>
      </c>
      <c r="BH37" s="59">
        <f t="shared" si="8"/>
        <v>636.2594505486727</v>
      </c>
      <c r="BI37" s="59">
        <f ca="1">AVERAGE(OFFSET($BH$3,0,0,'Données projet'!$E$11+1,1))-AVERAGE(OFFSET($H$3,0,0,'Données projet'!$E$11+1,1))</f>
        <v>376.33792692771908</v>
      </c>
      <c r="BJ37" s="59">
        <f t="shared" si="38"/>
        <v>367.92889258044698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1.335891995473161</v>
      </c>
      <c r="BQ37" s="21">
        <f>EXP(-LN(2)/25)*BQ36+(1-EXP(-LN(2)/25))/(LN(2)/25)*Calculateur!BL37*Calculateur!BN37*VLOOKUP('Données projet'!$B$11,Paramètres!$A$1:$I$89,3,0)*0.475*44/12</f>
        <v>7.4920065267885629</v>
      </c>
      <c r="BR37" s="21">
        <f>EXP(-LN(2)/2)*BR36+(1-EXP(-LN(2)/2))/(LN(2)/2)*BL37*BO37*VLOOKUP('Données projet'!$B$11,Paramètres!$A$1:$I$89,3,0)*0.475*44/12</f>
        <v>3.2677948991754584</v>
      </c>
      <c r="BS37" s="22">
        <f t="shared" si="9"/>
        <v>12.095693421437181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98.442239999999984</v>
      </c>
      <c r="CA37" s="13">
        <f t="shared" si="39"/>
        <v>26.590544283900247</v>
      </c>
      <c r="CB37" s="20">
        <f t="shared" si="10"/>
        <v>217.76543262779288</v>
      </c>
      <c r="CC37" s="59">
        <f t="shared" si="11"/>
        <v>511.09876596112622</v>
      </c>
      <c r="CD37" s="59">
        <f ca="1">AVERAGE(OFFSET($CC$3,0,0,'Données projet'!$E$12+1,1))-AVERAGE(OFFSET($H$3,0,0,'Données projet'!$E$12+1,1))</f>
        <v>388.50131600273431</v>
      </c>
      <c r="CE37" s="59">
        <f t="shared" si="40"/>
        <v>247.01165577562955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2.7798925331306776</v>
      </c>
      <c r="CM37" s="21">
        <f>EXP(-LN(2)/2)*CM36+(1-EXP(-LN(2)/2))/(LN(2)/2)*CG37*CJ37*VLOOKUP('Données projet'!$B$12,Paramètres!$A$1:$I$89,3,0)*0.475*44/12</f>
        <v>1.5473369636071068</v>
      </c>
      <c r="CN37" s="22">
        <f t="shared" si="12"/>
        <v>4.3272294967377842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8.1999999999999993</v>
      </c>
      <c r="CT37" s="12">
        <f>IF('Données projet'!$A$140&gt;35,CT36+CS37-DB36,IF(A37&lt;'Données projet'!$A$140,$CQ$205^A37,IF(A37='Données projet'!$A$140,'Données projet'!$B$140,CT36+CS37-DB36)))</f>
        <v>108.79999999999998</v>
      </c>
      <c r="CU37" s="17">
        <f>CT37*VLOOKUP('Données projet'!$B$13,Paramètres!$A$1:$I$89,3,0)*VLOOKUP('Données projet'!$B$13,Paramètres!$A$1:$I$89,5,0)</f>
        <v>117.11231999999998</v>
      </c>
      <c r="CV37" s="13">
        <f t="shared" si="41"/>
        <v>31.000543540154752</v>
      </c>
      <c r="CW37" s="20">
        <f t="shared" si="13"/>
        <v>257.96323733243617</v>
      </c>
      <c r="CX37" s="59">
        <f t="shared" si="14"/>
        <v>551.29657066576942</v>
      </c>
      <c r="CY37" s="59">
        <f ca="1">AVERAGE(OFFSET($CX$3,0,0,'Données projet'!$E$13+1,1))-AVERAGE(OFFSET($H$3,0,0,'Données projet'!$E$13+1,1))</f>
        <v>454.43000549907373</v>
      </c>
      <c r="CZ37" s="59">
        <f t="shared" si="42"/>
        <v>285.83623046025156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3.3071135307933917</v>
      </c>
      <c r="DH37" s="21">
        <f>EXP(-LN(2)/2)*DH36+(1-EXP(-LN(2)/2))/(LN(2)/2)*DB37*DE37*VLOOKUP('Données projet'!$B$13,Paramètres!$A$1:$I$89,3,0)*0.475*44/12</f>
        <v>1.8407974222222478</v>
      </c>
      <c r="DI37" s="22">
        <f t="shared" si="15"/>
        <v>5.1479109530156393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11.5</v>
      </c>
      <c r="DO37" s="12">
        <f>IF('Données projet'!$A$166&gt;35,DO36+DN37-DW36,IF(A37&lt;'Données projet'!$A$166,$DL$205^A37,IF(A37='Données projet'!$A$166,'Données projet'!$B$166,DO36+DN37-DW36)))</f>
        <v>201.00000000000006</v>
      </c>
      <c r="DP37" s="17">
        <f>DO37*VLOOKUP('Données projet'!$B$14,Paramètres!$A$1:$I$89,3,0)*VLOOKUP('Données projet'!$B$14,Paramètres!$A$1:$I$89,5,0)</f>
        <v>156.78000000000006</v>
      </c>
      <c r="DQ37" s="13">
        <f t="shared" si="43"/>
        <v>40.115378305457973</v>
      </c>
      <c r="DR37" s="20">
        <f t="shared" si="16"/>
        <v>342.92611721533939</v>
      </c>
      <c r="DS37" s="59">
        <f t="shared" si="17"/>
        <v>636.2594505486727</v>
      </c>
      <c r="DT37" s="59">
        <f ca="1">AVERAGE(OFFSET($DS$3,0,0,'Données projet'!$E$14+1,1))-AVERAGE(OFFSET($H$3,0,0,'Données projet'!$E$14+1,1))</f>
        <v>376.33792692771908</v>
      </c>
      <c r="DU37" s="59">
        <f t="shared" si="44"/>
        <v>367.92889258044698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1.335891995473161</v>
      </c>
      <c r="EB37" s="21">
        <f>EXP(-LN(2)/25)*EB36+(1-EXP(-LN(2)/25))/(LN(2)/25)*Calculateur!DW37*Calculateur!DY37*VLOOKUP('Données projet'!$B$14,Paramètres!$A$1:$I$89,3,0)*0.475*44/12</f>
        <v>7.4920065267885629</v>
      </c>
      <c r="EC37" s="21">
        <f>EXP(-LN(2)/2)*EC36+(1-EXP(-LN(2)/2))/(LN(2)/2)*DW37*DZ37*VLOOKUP('Données projet'!$B$14,Paramètres!$A$1:$I$89,3,0)*0.475*44/12</f>
        <v>3.2677948991754584</v>
      </c>
      <c r="ED37" s="22">
        <f t="shared" si="18"/>
        <v>12.095693421437181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133.91039999999998</v>
      </c>
      <c r="P38" s="13">
        <f t="shared" si="33"/>
        <v>34.898373535125089</v>
      </c>
      <c r="Q38" s="20">
        <f t="shared" si="53"/>
        <v>294.00861390700948</v>
      </c>
      <c r="R38" s="59">
        <f t="shared" si="0"/>
        <v>587.34194724034273</v>
      </c>
      <c r="S38" s="59">
        <f ca="1">AVERAGE(OFFSET($R$3,0,0,'Données projet'!$E$9+1,1))-AVERAGE(OFFSET($H$3,0,0,'Données projet'!$E$9+1,1))</f>
        <v>469.68830256438338</v>
      </c>
      <c r="T38" s="59">
        <f t="shared" si="34"/>
        <v>332.61387922152159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2.1814833358431622</v>
      </c>
      <c r="AA38" s="21">
        <f>EXP(-LN(2)/25)*AA37+(1-EXP(-LN(2)/25))/(LN(2)/25)*Calculateur!V38*Calculateur!X38*VLOOKUP('Données projet'!$B$9,Paramètres!$A$1:$I$89,3,0)*0.475*44/12</f>
        <v>9.8222639141316357</v>
      </c>
      <c r="AB38" s="21">
        <f>EXP(-LN(2)/2)*AB37+(1-EXP(-LN(2)/2))/(LN(2)/2)*V38*Y38*VLOOKUP('Données projet'!$B$9,Paramètres!$A$1:$I$89,3,0)*0.475*44/12</f>
        <v>3.8101276475420374</v>
      </c>
      <c r="AC38" s="22">
        <f t="shared" si="3"/>
        <v>15.813874897516834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159.30719999999999</v>
      </c>
      <c r="AK38" s="13">
        <f t="shared" si="35"/>
        <v>40.686212990054052</v>
      </c>
      <c r="AL38" s="20">
        <f t="shared" si="4"/>
        <v>348.32186095767747</v>
      </c>
      <c r="AM38" s="59">
        <f t="shared" si="5"/>
        <v>641.65519429101073</v>
      </c>
      <c r="AN38" s="59">
        <f ca="1">AVERAGE(OFFSET($AM$3,0,0,'Données projet'!$E$10+1,1))-AVERAGE(OFFSET($H$3,0,0,'Données projet'!$E$10+1,1))</f>
        <v>550.66682372933292</v>
      </c>
      <c r="AO38" s="59">
        <f t="shared" si="36"/>
        <v>387.28615589698444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2.5952129340203136</v>
      </c>
      <c r="AV38" s="21">
        <f>EXP(-LN(2)/25)*AV37+(1-EXP(-LN(2)/25))/(LN(2)/25)*Calculateur!AQ38*Calculateur!AS38*VLOOKUP('Données projet'!$B$10,Paramètres!$A$1:$I$89,3,0)*0.475*44/12</f>
        <v>11.685107070260052</v>
      </c>
      <c r="AW38" s="21">
        <f>EXP(-LN(2)/2)*AW37+(1-EXP(-LN(2)/2))/(LN(2)/2)*AQ38*AT38*VLOOKUP('Données projet'!$B$10,Paramètres!$A$1:$I$89,3,0)*0.475*44/12</f>
        <v>4.5327380634551835</v>
      </c>
      <c r="AX38" s="21">
        <f t="shared" si="6"/>
        <v>18.81305806773555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212.50000000000006</v>
      </c>
      <c r="BE38" s="13">
        <f>BD38*VLOOKUP('Données projet'!$B$11,Paramètres!$A$1:$I$89,3,0)*VLOOKUP('Données projet'!$B$11,Paramètres!$A$1:$I$89,5,0)</f>
        <v>165.75000000000006</v>
      </c>
      <c r="BF38" s="13">
        <f t="shared" si="37"/>
        <v>42.136766952193284</v>
      </c>
      <c r="BG38" s="20">
        <f t="shared" si="7"/>
        <v>362.06945244173676</v>
      </c>
      <c r="BH38" s="59">
        <f t="shared" si="8"/>
        <v>655.40278577507002</v>
      </c>
      <c r="BI38" s="59">
        <f ca="1">AVERAGE(OFFSET($BH$3,0,0,'Données projet'!$E$11+1,1))-AVERAGE(OFFSET($H$3,0,0,'Données projet'!$E$11+1,1))</f>
        <v>376.33792692771908</v>
      </c>
      <c r="BJ38" s="59">
        <f t="shared" si="38"/>
        <v>367.92889258044698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1.3096959682555933</v>
      </c>
      <c r="BQ38" s="21">
        <f>EXP(-LN(2)/25)*BQ37+(1-EXP(-LN(2)/25))/(LN(2)/25)*Calculateur!BL38*Calculateur!BN38*VLOOKUP('Données projet'!$B$11,Paramètres!$A$1:$I$89,3,0)*0.475*44/12</f>
        <v>7.2871372143260293</v>
      </c>
      <c r="BR38" s="21">
        <f>EXP(-LN(2)/2)*BR37+(1-EXP(-LN(2)/2))/(LN(2)/2)*BL38*BO38*VLOOKUP('Données projet'!$B$11,Paramètres!$A$1:$I$89,3,0)*0.475*44/12</f>
        <v>2.3106799327337773</v>
      </c>
      <c r="BS38" s="22">
        <f t="shared" si="9"/>
        <v>10.9075131153154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105.86159999999998</v>
      </c>
      <c r="CA38" s="13">
        <f t="shared" si="39"/>
        <v>28.353779818951288</v>
      </c>
      <c r="CB38" s="20">
        <f t="shared" si="10"/>
        <v>233.75845318467347</v>
      </c>
      <c r="CC38" s="59">
        <f t="shared" si="11"/>
        <v>527.09178651800676</v>
      </c>
      <c r="CD38" s="59">
        <f ca="1">AVERAGE(OFFSET($CC$3,0,0,'Données projet'!$E$12+1,1))-AVERAGE(OFFSET($H$3,0,0,'Données projet'!$E$12+1,1))</f>
        <v>388.50131600273431</v>
      </c>
      <c r="CE38" s="59">
        <f t="shared" si="40"/>
        <v>247.01165577562955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2.7038762256240245</v>
      </c>
      <c r="CM38" s="21">
        <f>EXP(-LN(2)/2)*CM37+(1-EXP(-LN(2)/2))/(LN(2)/2)*CG38*CJ38*VLOOKUP('Données projet'!$B$12,Paramètres!$A$1:$I$89,3,0)*0.475*44/12</f>
        <v>1.0941324597471873</v>
      </c>
      <c r="CN38" s="22">
        <f t="shared" si="12"/>
        <v>3.7980086853712116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8.1999999999999993</v>
      </c>
      <c r="CT38" s="12">
        <f>IF('Données projet'!$A$140&gt;35,CT37+CS38-DB37,IF(A38&lt;'Données projet'!$A$140,$CQ$205^A38,IF(A38='Données projet'!$A$140,'Données projet'!$B$140,CT37+CS38-DB37)))</f>
        <v>116.99999999999999</v>
      </c>
      <c r="CU38" s="17">
        <f>CT38*VLOOKUP('Données projet'!$B$13,Paramètres!$A$1:$I$89,3,0)*VLOOKUP('Données projet'!$B$13,Paramètres!$A$1:$I$89,5,0)</f>
        <v>125.93879999999999</v>
      </c>
      <c r="CV38" s="13">
        <f t="shared" si="41"/>
        <v>33.056208869615254</v>
      </c>
      <c r="CW38" s="20">
        <f t="shared" si="13"/>
        <v>276.91630711457987</v>
      </c>
      <c r="CX38" s="59">
        <f t="shared" si="14"/>
        <v>570.24964044791318</v>
      </c>
      <c r="CY38" s="59">
        <f ca="1">AVERAGE(OFFSET($CX$3,0,0,'Données projet'!$E$13+1,1))-AVERAGE(OFFSET($H$3,0,0,'Données projet'!$E$13+1,1))</f>
        <v>454.43000549907373</v>
      </c>
      <c r="CZ38" s="59">
        <f t="shared" si="42"/>
        <v>285.83623046025156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3.2166803373803043</v>
      </c>
      <c r="DH38" s="21">
        <f>EXP(-LN(2)/2)*DH37+(1-EXP(-LN(2)/2))/(LN(2)/2)*DB38*DE38*VLOOKUP('Données projet'!$B$13,Paramètres!$A$1:$I$89,3,0)*0.475*44/12</f>
        <v>1.3016403400440679</v>
      </c>
      <c r="DI38" s="22">
        <f t="shared" si="15"/>
        <v>4.5183206774243718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11.5</v>
      </c>
      <c r="DO38" s="12">
        <f>IF('Données projet'!$A$166&gt;35,DO37+DN38-DW37,IF(A38&lt;'Données projet'!$A$166,$DL$205^A38,IF(A38='Données projet'!$A$166,'Données projet'!$B$166,DO37+DN38-DW37)))</f>
        <v>212.50000000000006</v>
      </c>
      <c r="DP38" s="17">
        <f>DO38*VLOOKUP('Données projet'!$B$14,Paramètres!$A$1:$I$89,3,0)*VLOOKUP('Données projet'!$B$14,Paramètres!$A$1:$I$89,5,0)</f>
        <v>165.75000000000006</v>
      </c>
      <c r="DQ38" s="13">
        <f t="shared" si="43"/>
        <v>42.136766952193284</v>
      </c>
      <c r="DR38" s="20">
        <f t="shared" si="16"/>
        <v>362.06945244173676</v>
      </c>
      <c r="DS38" s="59">
        <f t="shared" si="17"/>
        <v>655.40278577507002</v>
      </c>
      <c r="DT38" s="59">
        <f ca="1">AVERAGE(OFFSET($DS$3,0,0,'Données projet'!$E$14+1,1))-AVERAGE(OFFSET($H$3,0,0,'Données projet'!$E$14+1,1))</f>
        <v>376.33792692771908</v>
      </c>
      <c r="DU38" s="59">
        <f t="shared" si="44"/>
        <v>367.92889258044698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1.3096959682555933</v>
      </c>
      <c r="EB38" s="21">
        <f>EXP(-LN(2)/25)*EB37+(1-EXP(-LN(2)/25))/(LN(2)/25)*Calculateur!DW38*Calculateur!DY38*VLOOKUP('Données projet'!$B$14,Paramètres!$A$1:$I$89,3,0)*0.475*44/12</f>
        <v>7.2871372143260293</v>
      </c>
      <c r="EC38" s="21">
        <f>EXP(-LN(2)/2)*EC37+(1-EXP(-LN(2)/2))/(LN(2)/2)*DW38*DZ38*VLOOKUP('Données projet'!$B$14,Paramètres!$A$1:$I$89,3,0)*0.475*44/12</f>
        <v>2.3106799327337773</v>
      </c>
      <c r="ED38" s="22">
        <f t="shared" si="18"/>
        <v>10.9075131153154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143.86320000000001</v>
      </c>
      <c r="P39" s="13">
        <f t="shared" si="33"/>
        <v>37.180603445028773</v>
      </c>
      <c r="Q39" s="20">
        <f t="shared" si="53"/>
        <v>315.31795766675845</v>
      </c>
      <c r="R39" s="59">
        <f t="shared" si="0"/>
        <v>608.65129100009176</v>
      </c>
      <c r="S39" s="59">
        <f ca="1">AVERAGE(OFFSET($R$3,0,0,'Données projet'!$E$9+1,1))-AVERAGE(OFFSET($H$3,0,0,'Données projet'!$E$9+1,1))</f>
        <v>469.68830256438338</v>
      </c>
      <c r="T39" s="59">
        <f t="shared" si="34"/>
        <v>332.61387922152159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2.1387057782007295</v>
      </c>
      <c r="AA39" s="21">
        <f>EXP(-LN(2)/25)*AA38+(1-EXP(-LN(2)/25))/(LN(2)/25)*Calculateur!V39*Calculateur!X39*VLOOKUP('Données projet'!$B$9,Paramètres!$A$1:$I$89,3,0)*0.475*44/12</f>
        <v>9.5536735908692965</v>
      </c>
      <c r="AB39" s="21">
        <f>EXP(-LN(2)/2)*AB38+(1-EXP(-LN(2)/2))/(LN(2)/2)*V39*Y39*VLOOKUP('Données projet'!$B$9,Paramètres!$A$1:$I$89,3,0)*0.475*44/12</f>
        <v>2.6941670967633229</v>
      </c>
      <c r="AC39" s="22">
        <f t="shared" si="3"/>
        <v>14.386546465833348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171.14759999999998</v>
      </c>
      <c r="AK39" s="13">
        <f t="shared" si="35"/>
        <v>43.346947081663025</v>
      </c>
      <c r="AL39" s="20">
        <f t="shared" si="4"/>
        <v>373.57800283389633</v>
      </c>
      <c r="AM39" s="59">
        <f t="shared" si="5"/>
        <v>666.91133616722959</v>
      </c>
      <c r="AN39" s="59">
        <f ca="1">AVERAGE(OFFSET($AM$3,0,0,'Données projet'!$E$10+1,1))-AVERAGE(OFFSET($H$3,0,0,'Données projet'!$E$10+1,1))</f>
        <v>550.66682372933292</v>
      </c>
      <c r="AO39" s="59">
        <f t="shared" si="36"/>
        <v>387.28615589698444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2.5443223913077642</v>
      </c>
      <c r="AV39" s="21">
        <f>EXP(-LN(2)/25)*AV38+(1-EXP(-LN(2)/25))/(LN(2)/25)*Calculateur!AQ39*Calculateur!AS39*VLOOKUP('Données projet'!$B$10,Paramètres!$A$1:$I$89,3,0)*0.475*44/12</f>
        <v>11.365577202930718</v>
      </c>
      <c r="AW39" s="21">
        <f>EXP(-LN(2)/2)*AW38+(1-EXP(-LN(2)/2))/(LN(2)/2)*AQ39*AT39*VLOOKUP('Données projet'!$B$10,Paramètres!$A$1:$I$89,3,0)*0.475*44/12</f>
        <v>3.2051298220115396</v>
      </c>
      <c r="AX39" s="21">
        <f t="shared" si="6"/>
        <v>17.115029416250021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224.00000000000006</v>
      </c>
      <c r="BE39" s="13">
        <f>BD39*VLOOKUP('Données projet'!$B$11,Paramètres!$A$1:$I$89,3,0)*VLOOKUP('Données projet'!$B$11,Paramètres!$A$1:$I$89,5,0)</f>
        <v>174.72000000000006</v>
      </c>
      <c r="BF39" s="13">
        <f t="shared" si="37"/>
        <v>44.145455754865246</v>
      </c>
      <c r="BG39" s="20">
        <f t="shared" si="7"/>
        <v>381.19066877305704</v>
      </c>
      <c r="BH39" s="59">
        <f t="shared" si="8"/>
        <v>674.5240021063903</v>
      </c>
      <c r="BI39" s="59">
        <f ca="1">AVERAGE(OFFSET($BH$3,0,0,'Données projet'!$E$11+1,1))-AVERAGE(OFFSET($H$3,0,0,'Données projet'!$E$11+1,1))</f>
        <v>376.33792692771908</v>
      </c>
      <c r="BJ39" s="59">
        <f t="shared" si="38"/>
        <v>367.92889258044698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1.2840136291537634</v>
      </c>
      <c r="BQ39" s="21">
        <f>EXP(-LN(2)/25)*BQ38+(1-EXP(-LN(2)/25))/(LN(2)/25)*Calculateur!BL39*Calculateur!BN39*VLOOKUP('Données projet'!$B$11,Paramètres!$A$1:$I$89,3,0)*0.475*44/12</f>
        <v>7.0878700639863927</v>
      </c>
      <c r="BR39" s="21">
        <f>EXP(-LN(2)/2)*BR38+(1-EXP(-LN(2)/2))/(LN(2)/2)*BL39*BO39*VLOOKUP('Données projet'!$B$11,Paramètres!$A$1:$I$89,3,0)*0.475*44/12</f>
        <v>1.6338974495877294</v>
      </c>
      <c r="BS39" s="22">
        <f t="shared" si="9"/>
        <v>10.005781142727885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113.28095999999998</v>
      </c>
      <c r="CA39" s="13">
        <f t="shared" si="39"/>
        <v>30.102677097724456</v>
      </c>
      <c r="CB39" s="20">
        <f t="shared" si="10"/>
        <v>249.72650127853672</v>
      </c>
      <c r="CC39" s="59">
        <f t="shared" si="11"/>
        <v>543.05983461186997</v>
      </c>
      <c r="CD39" s="59">
        <f ca="1">AVERAGE(OFFSET($CC$3,0,0,'Données projet'!$E$12+1,1))-AVERAGE(OFFSET($H$3,0,0,'Données projet'!$E$12+1,1))</f>
        <v>388.50131600273431</v>
      </c>
      <c r="CE39" s="59">
        <f t="shared" si="40"/>
        <v>247.01165577562955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2.6299385880436645</v>
      </c>
      <c r="CM39" s="21">
        <f>EXP(-LN(2)/2)*CM38+(1-EXP(-LN(2)/2))/(LN(2)/2)*CG39*CJ39*VLOOKUP('Données projet'!$B$12,Paramètres!$A$1:$I$89,3,0)*0.475*44/12</f>
        <v>0.77366848180355341</v>
      </c>
      <c r="CN39" s="22">
        <f t="shared" si="12"/>
        <v>3.4036070698472178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8.1999999999999993</v>
      </c>
      <c r="CT39" s="12">
        <f>IF('Données projet'!$A$140&gt;35,CT38+CS39-DB38,IF(A39&lt;'Données projet'!$A$140,$CQ$205^A39,IF(A39='Données projet'!$A$140,'Données projet'!$B$140,CT38+CS39-DB38)))</f>
        <v>125.19999999999999</v>
      </c>
      <c r="CU39" s="17">
        <f>CT39*VLOOKUP('Données projet'!$B$13,Paramètres!$A$1:$I$89,3,0)*VLOOKUP('Données projet'!$B$13,Paramètres!$A$1:$I$89,5,0)</f>
        <v>134.76527999999999</v>
      </c>
      <c r="CV39" s="13">
        <f t="shared" si="41"/>
        <v>35.095157965918347</v>
      </c>
      <c r="CW39" s="20">
        <f t="shared" si="13"/>
        <v>295.84026279064108</v>
      </c>
      <c r="CX39" s="59">
        <f t="shared" si="14"/>
        <v>589.17359612397445</v>
      </c>
      <c r="CY39" s="59">
        <f ca="1">AVERAGE(OFFSET($CX$3,0,0,'Données projet'!$E$13+1,1))-AVERAGE(OFFSET($H$3,0,0,'Données projet'!$E$13+1,1))</f>
        <v>454.43000549907373</v>
      </c>
      <c r="CZ39" s="59">
        <f t="shared" si="42"/>
        <v>285.83623046025156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3.1287200443967729</v>
      </c>
      <c r="DH39" s="21">
        <f>EXP(-LN(2)/2)*DH38+(1-EXP(-LN(2)/2))/(LN(2)/2)*DB39*DE39*VLOOKUP('Données projet'!$B$13,Paramètres!$A$1:$I$89,3,0)*0.475*44/12</f>
        <v>0.92039871111112415</v>
      </c>
      <c r="DI39" s="22">
        <f t="shared" si="15"/>
        <v>4.0491187555078971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11.5</v>
      </c>
      <c r="DO39" s="12">
        <f>IF('Données projet'!$A$166&gt;35,DO38+DN39-DW38,IF(A39&lt;'Données projet'!$A$166,$DL$205^A39,IF(A39='Données projet'!$A$166,'Données projet'!$B$166,DO38+DN39-DW38)))</f>
        <v>224.00000000000006</v>
      </c>
      <c r="DP39" s="17">
        <f>DO39*VLOOKUP('Données projet'!$B$14,Paramètres!$A$1:$I$89,3,0)*VLOOKUP('Données projet'!$B$14,Paramètres!$A$1:$I$89,5,0)</f>
        <v>174.72000000000006</v>
      </c>
      <c r="DQ39" s="13">
        <f t="shared" si="43"/>
        <v>44.145455754865246</v>
      </c>
      <c r="DR39" s="20">
        <f t="shared" si="16"/>
        <v>381.19066877305704</v>
      </c>
      <c r="DS39" s="59">
        <f t="shared" si="17"/>
        <v>674.5240021063903</v>
      </c>
      <c r="DT39" s="59">
        <f ca="1">AVERAGE(OFFSET($DS$3,0,0,'Données projet'!$E$14+1,1))-AVERAGE(OFFSET($H$3,0,0,'Données projet'!$E$14+1,1))</f>
        <v>376.33792692771908</v>
      </c>
      <c r="DU39" s="59">
        <f t="shared" si="44"/>
        <v>367.92889258044698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1.2840136291537634</v>
      </c>
      <c r="EB39" s="21">
        <f>EXP(-LN(2)/25)*EB38+(1-EXP(-LN(2)/25))/(LN(2)/25)*Calculateur!DW39*Calculateur!DY39*VLOOKUP('Données projet'!$B$14,Paramètres!$A$1:$I$89,3,0)*0.475*44/12</f>
        <v>7.0878700639863927</v>
      </c>
      <c r="EC39" s="21">
        <f>EXP(-LN(2)/2)*EC38+(1-EXP(-LN(2)/2))/(LN(2)/2)*DW39*DZ39*VLOOKUP('Données projet'!$B$14,Paramètres!$A$1:$I$89,3,0)*0.475*44/12</f>
        <v>1.6338974495877294</v>
      </c>
      <c r="ED39" s="22">
        <f t="shared" si="18"/>
        <v>10.005781142727885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153.816</v>
      </c>
      <c r="P40" s="13">
        <f t="shared" si="33"/>
        <v>39.444513325737063</v>
      </c>
      <c r="Q40" s="20">
        <f t="shared" si="53"/>
        <v>336.59539404232538</v>
      </c>
      <c r="R40" s="59">
        <f t="shared" si="0"/>
        <v>629.9287273756587</v>
      </c>
      <c r="S40" s="59">
        <f ca="1">AVERAGE(OFFSET($R$3,0,0,'Données projet'!$E$9+1,1))-AVERAGE(OFFSET($H$3,0,0,'Données projet'!$E$9+1,1))</f>
        <v>469.68830256438338</v>
      </c>
      <c r="T40" s="59">
        <f t="shared" si="34"/>
        <v>332.61387922152159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2.096767062371931</v>
      </c>
      <c r="AA40" s="21">
        <f>EXP(-LN(2)/25)*AA39+(1-EXP(-LN(2)/25))/(LN(2)/25)*Calculateur!V40*Calculateur!X40*VLOOKUP('Données projet'!$B$9,Paramètres!$A$1:$I$89,3,0)*0.475*44/12</f>
        <v>9.2924278841211159</v>
      </c>
      <c r="AB40" s="21">
        <f>EXP(-LN(2)/2)*AB39+(1-EXP(-LN(2)/2))/(LN(2)/2)*V40*Y40*VLOOKUP('Données projet'!$B$9,Paramètres!$A$1:$I$89,3,0)*0.475*44/12</f>
        <v>1.9050638237710191</v>
      </c>
      <c r="AC40" s="22">
        <f t="shared" si="3"/>
        <v>13.294258770264067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182.988</v>
      </c>
      <c r="AK40" s="13">
        <f t="shared" si="35"/>
        <v>45.986322796524831</v>
      </c>
      <c r="AL40" s="20">
        <f t="shared" si="4"/>
        <v>398.79694553728069</v>
      </c>
      <c r="AM40" s="59">
        <f t="shared" si="5"/>
        <v>692.13027887061401</v>
      </c>
      <c r="AN40" s="59">
        <f ca="1">AVERAGE(OFFSET($AM$3,0,0,'Données projet'!$E$10+1,1))-AVERAGE(OFFSET($H$3,0,0,'Données projet'!$E$10+1,1))</f>
        <v>550.66682372933292</v>
      </c>
      <c r="AO40" s="59">
        <f t="shared" si="36"/>
        <v>387.28615589698444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2.4944297810976419</v>
      </c>
      <c r="AV40" s="21">
        <f>EXP(-LN(2)/25)*AV39+(1-EXP(-LN(2)/25))/(LN(2)/25)*Calculateur!AQ40*Calculateur!AS40*VLOOKUP('Données projet'!$B$10,Paramètres!$A$1:$I$89,3,0)*0.475*44/12</f>
        <v>11.054784896626849</v>
      </c>
      <c r="AW40" s="21">
        <f>EXP(-LN(2)/2)*AW39+(1-EXP(-LN(2)/2))/(LN(2)/2)*AQ40*AT40*VLOOKUP('Données projet'!$B$10,Paramètres!$A$1:$I$89,3,0)*0.475*44/12</f>
        <v>2.2663690317275917</v>
      </c>
      <c r="AX40" s="21">
        <f t="shared" si="6"/>
        <v>15.815583709452083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235.50000000000006</v>
      </c>
      <c r="BE40" s="13">
        <f>BD40*VLOOKUP('Données projet'!$B$11,Paramètres!$A$1:$I$89,3,0)*VLOOKUP('Données projet'!$B$11,Paramètres!$A$1:$I$89,5,0)</f>
        <v>183.69000000000005</v>
      </c>
      <c r="BF40" s="13">
        <f t="shared" si="37"/>
        <v>46.14217109072662</v>
      </c>
      <c r="BG40" s="20">
        <f t="shared" si="7"/>
        <v>400.29103131634889</v>
      </c>
      <c r="BH40" s="59">
        <f t="shared" si="8"/>
        <v>693.62436464968221</v>
      </c>
      <c r="BI40" s="59">
        <f ca="1">AVERAGE(OFFSET($BH$3,0,0,'Données projet'!$E$11+1,1))-AVERAGE(OFFSET($H$3,0,0,'Données projet'!$E$11+1,1))</f>
        <v>376.33792692771908</v>
      </c>
      <c r="BJ40" s="59">
        <f t="shared" si="38"/>
        <v>367.92889258044698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1.2588349050570402</v>
      </c>
      <c r="BQ40" s="21">
        <f>EXP(-LN(2)/25)*BQ39+(1-EXP(-LN(2)/25))/(LN(2)/25)*Calculateur!BL40*Calculateur!BN40*VLOOKUP('Données projet'!$B$11,Paramètres!$A$1:$I$89,3,0)*0.475*44/12</f>
        <v>6.8940518843517973</v>
      </c>
      <c r="BR40" s="21">
        <f>EXP(-LN(2)/2)*BR39+(1-EXP(-LN(2)/2))/(LN(2)/2)*BL40*BO40*VLOOKUP('Données projet'!$B$11,Paramètres!$A$1:$I$89,3,0)*0.475*44/12</f>
        <v>1.1553399663668886</v>
      </c>
      <c r="BS40" s="22">
        <f t="shared" si="9"/>
        <v>9.3082267557757259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120.70031999999998</v>
      </c>
      <c r="CA40" s="13">
        <f t="shared" si="39"/>
        <v>31.838282075030818</v>
      </c>
      <c r="CB40" s="20">
        <f t="shared" si="10"/>
        <v>265.67139861401193</v>
      </c>
      <c r="CC40" s="59">
        <f t="shared" si="11"/>
        <v>559.00473194734525</v>
      </c>
      <c r="CD40" s="59">
        <f ca="1">AVERAGE(OFFSET($CC$3,0,0,'Données projet'!$E$12+1,1))-AVERAGE(OFFSET($H$3,0,0,'Données projet'!$E$12+1,1))</f>
        <v>388.50131600273431</v>
      </c>
      <c r="CE40" s="59">
        <f t="shared" si="40"/>
        <v>247.01165577562955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2.5580227790511509</v>
      </c>
      <c r="CM40" s="21">
        <f>EXP(-LN(2)/2)*CM39+(1-EXP(-LN(2)/2))/(LN(2)/2)*CG40*CJ40*VLOOKUP('Données projet'!$B$12,Paramètres!$A$1:$I$89,3,0)*0.475*44/12</f>
        <v>0.54706622987359366</v>
      </c>
      <c r="CN40" s="22">
        <f t="shared" si="12"/>
        <v>3.1050890089247445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8.1999999999999993</v>
      </c>
      <c r="CT40" s="12">
        <f>IF('Données projet'!$A$140&gt;35,CT39+CS40-DB39,IF(A40&lt;'Données projet'!$A$140,$CQ$205^A40,IF(A40='Données projet'!$A$140,'Données projet'!$B$140,CT39+CS40-DB39)))</f>
        <v>133.39999999999998</v>
      </c>
      <c r="CU40" s="17">
        <f>CT40*VLOOKUP('Données projet'!$B$13,Paramètres!$A$1:$I$89,3,0)*VLOOKUP('Données projet'!$B$13,Paramètres!$A$1:$I$89,5,0)</f>
        <v>143.59175999999997</v>
      </c>
      <c r="CV40" s="13">
        <f t="shared" si="41"/>
        <v>37.118610253808193</v>
      </c>
      <c r="CW40" s="20">
        <f t="shared" si="13"/>
        <v>314.7372281920492</v>
      </c>
      <c r="CX40" s="59">
        <f t="shared" si="14"/>
        <v>608.07056152538257</v>
      </c>
      <c r="CY40" s="59">
        <f ca="1">AVERAGE(OFFSET($CX$3,0,0,'Données projet'!$E$13+1,1))-AVERAGE(OFFSET($H$3,0,0,'Données projet'!$E$13+1,1))</f>
        <v>454.43000549907373</v>
      </c>
      <c r="CZ40" s="59">
        <f t="shared" si="42"/>
        <v>285.83623046025156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3.0431650302505067</v>
      </c>
      <c r="DH40" s="21">
        <f>EXP(-LN(2)/2)*DH39+(1-EXP(-LN(2)/2))/(LN(2)/2)*DB40*DE40*VLOOKUP('Données projet'!$B$13,Paramètres!$A$1:$I$89,3,0)*0.475*44/12</f>
        <v>0.65082017002203407</v>
      </c>
      <c r="DI40" s="22">
        <f t="shared" si="15"/>
        <v>3.6939852002725408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11.5</v>
      </c>
      <c r="DO40" s="12">
        <f>IF('Données projet'!$A$166&gt;35,DO39+DN40-DW39,IF(A40&lt;'Données projet'!$A$166,$DL$205^A40,IF(A40='Données projet'!$A$166,'Données projet'!$B$166,DO39+DN40-DW39)))</f>
        <v>235.50000000000006</v>
      </c>
      <c r="DP40" s="17">
        <f>DO40*VLOOKUP('Données projet'!$B$14,Paramètres!$A$1:$I$89,3,0)*VLOOKUP('Données projet'!$B$14,Paramètres!$A$1:$I$89,5,0)</f>
        <v>183.69000000000005</v>
      </c>
      <c r="DQ40" s="13">
        <f t="shared" si="43"/>
        <v>46.14217109072662</v>
      </c>
      <c r="DR40" s="20">
        <f t="shared" si="16"/>
        <v>400.29103131634889</v>
      </c>
      <c r="DS40" s="59">
        <f t="shared" si="17"/>
        <v>693.62436464968221</v>
      </c>
      <c r="DT40" s="59">
        <f ca="1">AVERAGE(OFFSET($DS$3,0,0,'Données projet'!$E$14+1,1))-AVERAGE(OFFSET($H$3,0,0,'Données projet'!$E$14+1,1))</f>
        <v>376.33792692771908</v>
      </c>
      <c r="DU40" s="59">
        <f t="shared" si="44"/>
        <v>367.92889258044698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1.2588349050570402</v>
      </c>
      <c r="EB40" s="21">
        <f>EXP(-LN(2)/25)*EB39+(1-EXP(-LN(2)/25))/(LN(2)/25)*Calculateur!DW40*Calculateur!DY40*VLOOKUP('Données projet'!$B$14,Paramètres!$A$1:$I$89,3,0)*0.475*44/12</f>
        <v>6.8940518843517973</v>
      </c>
      <c r="EC40" s="21">
        <f>EXP(-LN(2)/2)*EC39+(1-EXP(-LN(2)/2))/(LN(2)/2)*DW40*DZ40*VLOOKUP('Données projet'!$B$14,Paramètres!$A$1:$I$89,3,0)*0.475*44/12</f>
        <v>1.1553399663668886</v>
      </c>
      <c r="ED40" s="22">
        <f t="shared" si="18"/>
        <v>9.3082267557757259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163.7688</v>
      </c>
      <c r="P41" s="13">
        <f t="shared" si="33"/>
        <v>41.691423503509803</v>
      </c>
      <c r="Q41" s="20">
        <f t="shared" si="53"/>
        <v>357.84322260194625</v>
      </c>
      <c r="R41" s="59">
        <f t="shared" si="0"/>
        <v>651.17655593527957</v>
      </c>
      <c r="S41" s="59">
        <f ca="1">AVERAGE(OFFSET($R$3,0,0,'Données projet'!$E$9+1,1))-AVERAGE(OFFSET($H$3,0,0,'Données projet'!$E$9+1,1))</f>
        <v>469.68830256438338</v>
      </c>
      <c r="T41" s="59">
        <f t="shared" si="34"/>
        <v>332.61387922152159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2.0556507391804444</v>
      </c>
      <c r="AA41" s="21">
        <f>EXP(-LN(2)/25)*AA40+(1-EXP(-LN(2)/25))/(LN(2)/25)*Calculateur!V41*Calculateur!X41*VLOOKUP('Données projet'!$B$9,Paramètres!$A$1:$I$89,3,0)*0.475*44/12</f>
        <v>9.0383259549622803</v>
      </c>
      <c r="AB41" s="21">
        <f>EXP(-LN(2)/2)*AB40+(1-EXP(-LN(2)/2))/(LN(2)/2)*V41*Y41*VLOOKUP('Données projet'!$B$9,Paramètres!$A$1:$I$89,3,0)*0.475*44/12</f>
        <v>1.3470835483816617</v>
      </c>
      <c r="AC41" s="22">
        <f t="shared" si="3"/>
        <v>12.441060242524387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194.82839999999999</v>
      </c>
      <c r="AK41" s="13">
        <f t="shared" si="35"/>
        <v>48.605879434898533</v>
      </c>
      <c r="AL41" s="20">
        <f t="shared" si="4"/>
        <v>423.98137001578152</v>
      </c>
      <c r="AM41" s="59">
        <f t="shared" si="5"/>
        <v>717.31470334911478</v>
      </c>
      <c r="AN41" s="59">
        <f ca="1">AVERAGE(OFFSET($AM$3,0,0,'Données projet'!$E$10+1,1))-AVERAGE(OFFSET($H$3,0,0,'Données projet'!$E$10+1,1))</f>
        <v>550.66682372933292</v>
      </c>
      <c r="AO41" s="59">
        <f t="shared" si="36"/>
        <v>387.28615589698444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2.4455155345422526</v>
      </c>
      <c r="AV41" s="21">
        <f>EXP(-LN(2)/25)*AV40+(1-EXP(-LN(2)/25))/(LN(2)/25)*Calculateur!AQ41*Calculateur!AS41*VLOOKUP('Données projet'!$B$10,Paramètres!$A$1:$I$89,3,0)*0.475*44/12</f>
        <v>10.752491222282716</v>
      </c>
      <c r="AW41" s="21">
        <f>EXP(-LN(2)/2)*AW40+(1-EXP(-LN(2)/2))/(LN(2)/2)*AQ41*AT41*VLOOKUP('Données projet'!$B$10,Paramètres!$A$1:$I$89,3,0)*0.475*44/12</f>
        <v>1.6025649110057698</v>
      </c>
      <c r="AX41" s="21">
        <f t="shared" si="6"/>
        <v>14.800571667830738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247.00000000000006</v>
      </c>
      <c r="BE41" s="13">
        <f>BD41*VLOOKUP('Données projet'!$B$11,Paramètres!$A$1:$I$89,3,0)*VLOOKUP('Données projet'!$B$11,Paramètres!$A$1:$I$89,5,0)</f>
        <v>192.66000000000005</v>
      </c>
      <c r="BF41" s="13">
        <f t="shared" si="37"/>
        <v>48.127564387788738</v>
      </c>
      <c r="BG41" s="20">
        <f t="shared" si="7"/>
        <v>419.3716746420655</v>
      </c>
      <c r="BH41" s="59">
        <f t="shared" si="8"/>
        <v>712.70500797539876</v>
      </c>
      <c r="BI41" s="59">
        <f ca="1">AVERAGE(OFFSET($BH$3,0,0,'Données projet'!$E$11+1,1))-AVERAGE(OFFSET($H$3,0,0,'Données projet'!$E$11+1,1))</f>
        <v>376.33792692771908</v>
      </c>
      <c r="BJ41" s="59">
        <f t="shared" si="38"/>
        <v>367.92889258044698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1.2341499203823485</v>
      </c>
      <c r="BQ41" s="21">
        <f>EXP(-LN(2)/25)*BQ40+(1-EXP(-LN(2)/25))/(LN(2)/25)*Calculateur!BL41*Calculateur!BN41*VLOOKUP('Données projet'!$B$11,Paramètres!$A$1:$I$89,3,0)*0.475*44/12</f>
        <v>6.7055336730317654</v>
      </c>
      <c r="BR41" s="21">
        <f>EXP(-LN(2)/2)*BR40+(1-EXP(-LN(2)/2))/(LN(2)/2)*BL41*BO41*VLOOKUP('Données projet'!$B$11,Paramètres!$A$1:$I$89,3,0)*0.475*44/12</f>
        <v>0.81694872479386471</v>
      </c>
      <c r="BS41" s="22">
        <f t="shared" si="9"/>
        <v>8.7566323182079788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128.11967999999996</v>
      </c>
      <c r="CA41" s="13">
        <f t="shared" si="39"/>
        <v>33.561504850994297</v>
      </c>
      <c r="CB41" s="20">
        <f t="shared" si="10"/>
        <v>281.5947302821483</v>
      </c>
      <c r="CC41" s="59">
        <f t="shared" si="11"/>
        <v>574.92806361548162</v>
      </c>
      <c r="CD41" s="59">
        <f ca="1">AVERAGE(OFFSET($CC$3,0,0,'Données projet'!$E$12+1,1))-AVERAGE(OFFSET($H$3,0,0,'Données projet'!$E$12+1,1))</f>
        <v>388.50131600273431</v>
      </c>
      <c r="CE41" s="59">
        <f t="shared" si="40"/>
        <v>247.01165577562955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2.4880735116374257</v>
      </c>
      <c r="CM41" s="21">
        <f>EXP(-LN(2)/2)*CM40+(1-EXP(-LN(2)/2))/(LN(2)/2)*CG41*CJ41*VLOOKUP('Données projet'!$B$12,Paramètres!$A$1:$I$89,3,0)*0.475*44/12</f>
        <v>0.3868342409017767</v>
      </c>
      <c r="CN41" s="22">
        <f t="shared" si="12"/>
        <v>2.8749077525392024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8.1999999999999993</v>
      </c>
      <c r="CT41" s="12">
        <f>IF('Données projet'!$A$140&gt;35,CT40+CS41-DB40,IF(A41&lt;'Données projet'!$A$140,$CQ$205^A41,IF(A41='Données projet'!$A$140,'Données projet'!$B$140,CT40+CS41-DB40)))</f>
        <v>141.59999999999997</v>
      </c>
      <c r="CU41" s="17">
        <f>CT41*VLOOKUP('Données projet'!$B$13,Paramètres!$A$1:$I$89,3,0)*VLOOKUP('Données projet'!$B$13,Paramètres!$A$1:$I$89,5,0)</f>
        <v>152.41823999999994</v>
      </c>
      <c r="CV41" s="13">
        <f t="shared" si="41"/>
        <v>39.127626772059259</v>
      </c>
      <c r="CW41" s="20">
        <f t="shared" si="13"/>
        <v>333.60905129466971</v>
      </c>
      <c r="CX41" s="59">
        <f t="shared" si="14"/>
        <v>626.94238462800308</v>
      </c>
      <c r="CY41" s="59">
        <f ca="1">AVERAGE(OFFSET($CX$3,0,0,'Données projet'!$E$13+1,1))-AVERAGE(OFFSET($H$3,0,0,'Données projet'!$E$13+1,1))</f>
        <v>454.43000549907373</v>
      </c>
      <c r="CZ41" s="59">
        <f t="shared" si="42"/>
        <v>285.83623046025156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2.9599495224652128</v>
      </c>
      <c r="DH41" s="21">
        <f>EXP(-LN(2)/2)*DH40+(1-EXP(-LN(2)/2))/(LN(2)/2)*DB41*DE41*VLOOKUP('Données projet'!$B$13,Paramètres!$A$1:$I$89,3,0)*0.475*44/12</f>
        <v>0.46019935555556213</v>
      </c>
      <c r="DI41" s="22">
        <f t="shared" si="15"/>
        <v>3.4201488780207749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11.5</v>
      </c>
      <c r="DO41" s="12">
        <f>IF('Données projet'!$A$166&gt;35,DO40+DN41-DW40,IF(A41&lt;'Données projet'!$A$166,$DL$205^A41,IF(A41='Données projet'!$A$166,'Données projet'!$B$166,DO40+DN41-DW40)))</f>
        <v>247.00000000000006</v>
      </c>
      <c r="DP41" s="17">
        <f>DO41*VLOOKUP('Données projet'!$B$14,Paramètres!$A$1:$I$89,3,0)*VLOOKUP('Données projet'!$B$14,Paramètres!$A$1:$I$89,5,0)</f>
        <v>192.66000000000005</v>
      </c>
      <c r="DQ41" s="13">
        <f t="shared" si="43"/>
        <v>48.127564387788738</v>
      </c>
      <c r="DR41" s="20">
        <f t="shared" si="16"/>
        <v>419.3716746420655</v>
      </c>
      <c r="DS41" s="59">
        <f t="shared" si="17"/>
        <v>712.70500797539876</v>
      </c>
      <c r="DT41" s="59">
        <f ca="1">AVERAGE(OFFSET($DS$3,0,0,'Données projet'!$E$14+1,1))-AVERAGE(OFFSET($H$3,0,0,'Données projet'!$E$14+1,1))</f>
        <v>376.33792692771908</v>
      </c>
      <c r="DU41" s="59">
        <f t="shared" si="44"/>
        <v>367.92889258044698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1.2341499203823485</v>
      </c>
      <c r="EB41" s="21">
        <f>EXP(-LN(2)/25)*EB40+(1-EXP(-LN(2)/25))/(LN(2)/25)*Calculateur!DW41*Calculateur!DY41*VLOOKUP('Données projet'!$B$14,Paramètres!$A$1:$I$89,3,0)*0.475*44/12</f>
        <v>6.7055336730317654</v>
      </c>
      <c r="EC41" s="21">
        <f>EXP(-LN(2)/2)*EC40+(1-EXP(-LN(2)/2))/(LN(2)/2)*DW41*DZ41*VLOOKUP('Données projet'!$B$14,Paramètres!$A$1:$I$89,3,0)*0.475*44/12</f>
        <v>0.81694872479386471</v>
      </c>
      <c r="ED41" s="22">
        <f t="shared" si="18"/>
        <v>8.7566323182079788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173.7216</v>
      </c>
      <c r="P42" s="13">
        <f t="shared" si="33"/>
        <v>43.922484755075111</v>
      </c>
      <c r="Q42" s="20">
        <f t="shared" si="53"/>
        <v>379.06344761508916</v>
      </c>
      <c r="R42" s="59">
        <f t="shared" si="0"/>
        <v>672.39678094842247</v>
      </c>
      <c r="S42" s="59">
        <f ca="1">AVERAGE(OFFSET($R$3,0,0,'Données projet'!$E$9+1,1))-AVERAGE(OFFSET($H$3,0,0,'Données projet'!$E$9+1,1))</f>
        <v>469.68830256438338</v>
      </c>
      <c r="T42" s="59">
        <f t="shared" si="34"/>
        <v>332.61387922152159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2.015340682008262</v>
      </c>
      <c r="AA42" s="21">
        <f>EXP(-LN(2)/25)*AA41+(1-EXP(-LN(2)/25))/(LN(2)/25)*Calculateur!V42*Calculateur!X42*VLOOKUP('Données projet'!$B$9,Paramètres!$A$1:$I$89,3,0)*0.475*44/12</f>
        <v>8.7911724564189324</v>
      </c>
      <c r="AB42" s="21">
        <f>EXP(-LN(2)/2)*AB41+(1-EXP(-LN(2)/2))/(LN(2)/2)*V42*Y42*VLOOKUP('Données projet'!$B$9,Paramètres!$A$1:$I$89,3,0)*0.475*44/12</f>
        <v>0.95253191188550967</v>
      </c>
      <c r="AC42" s="22">
        <f t="shared" si="3"/>
        <v>11.759045050312704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206.6688</v>
      </c>
      <c r="AK42" s="13">
        <f t="shared" si="35"/>
        <v>51.206958627992755</v>
      </c>
      <c r="AL42" s="20">
        <f t="shared" si="4"/>
        <v>449.13361294375403</v>
      </c>
      <c r="AM42" s="59">
        <f t="shared" si="5"/>
        <v>742.46694627708735</v>
      </c>
      <c r="AN42" s="59">
        <f ca="1">AVERAGE(OFFSET($AM$3,0,0,'Données projet'!$E$10+1,1))-AVERAGE(OFFSET($H$3,0,0,'Données projet'!$E$10+1,1))</f>
        <v>550.66682372933292</v>
      </c>
      <c r="AO42" s="59">
        <f t="shared" si="36"/>
        <v>387.28615589698444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2.3975604665270702</v>
      </c>
      <c r="AV42" s="21">
        <f>EXP(-LN(2)/25)*AV41+(1-EXP(-LN(2)/25))/(LN(2)/25)*Calculateur!AQ42*Calculateur!AS42*VLOOKUP('Données projet'!$B$10,Paramètres!$A$1:$I$89,3,0)*0.475*44/12</f>
        <v>10.458463784360458</v>
      </c>
      <c r="AW42" s="21">
        <f>EXP(-LN(2)/2)*AW41+(1-EXP(-LN(2)/2))/(LN(2)/2)*AQ42*AT42*VLOOKUP('Données projet'!$B$10,Paramètres!$A$1:$I$89,3,0)*0.475*44/12</f>
        <v>1.1331845158637959</v>
      </c>
      <c r="AX42" s="21">
        <f t="shared" si="6"/>
        <v>13.989208766751323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258.50000000000006</v>
      </c>
      <c r="BE42" s="13">
        <f>BD42*VLOOKUP('Données projet'!$B$11,Paramètres!$A$1:$I$89,3,0)*VLOOKUP('Données projet'!$B$11,Paramètres!$A$1:$I$89,5,0)</f>
        <v>201.63000000000005</v>
      </c>
      <c r="BF42" s="13">
        <f t="shared" si="37"/>
        <v>50.102222986612546</v>
      </c>
      <c r="BG42" s="20">
        <f t="shared" si="7"/>
        <v>438.43362170168365</v>
      </c>
      <c r="BH42" s="59">
        <f t="shared" si="8"/>
        <v>731.76695503501696</v>
      </c>
      <c r="BI42" s="59">
        <f ca="1">AVERAGE(OFFSET($BH$3,0,0,'Données projet'!$E$11+1,1))-AVERAGE(OFFSET($H$3,0,0,'Données projet'!$E$11+1,1))</f>
        <v>376.33792692771908</v>
      </c>
      <c r="BJ42" s="59">
        <f t="shared" si="38"/>
        <v>367.92889258044698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1.2099489932007734</v>
      </c>
      <c r="BQ42" s="21">
        <f>EXP(-LN(2)/25)*BQ41+(1-EXP(-LN(2)/25))/(LN(2)/25)*Calculateur!BL42*Calculateur!BN42*VLOOKUP('Données projet'!$B$11,Paramètres!$A$1:$I$89,3,0)*0.475*44/12</f>
        <v>6.5221705021140215</v>
      </c>
      <c r="BR42" s="21">
        <f>EXP(-LN(2)/2)*BR41+(1-EXP(-LN(2)/2))/(LN(2)/2)*BL42*BO42*VLOOKUP('Données projet'!$B$11,Paramètres!$A$1:$I$89,3,0)*0.475*44/12</f>
        <v>0.57766998318344431</v>
      </c>
      <c r="BS42" s="22">
        <f t="shared" si="9"/>
        <v>8.3097894784982387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135.53903999999997</v>
      </c>
      <c r="CA42" s="13">
        <f t="shared" si="39"/>
        <v>35.273144164630104</v>
      </c>
      <c r="CB42" s="20">
        <f t="shared" si="10"/>
        <v>297.49788742006405</v>
      </c>
      <c r="CC42" s="59">
        <f t="shared" si="11"/>
        <v>590.83122075339736</v>
      </c>
      <c r="CD42" s="59">
        <f ca="1">AVERAGE(OFFSET($CC$3,0,0,'Données projet'!$E$12+1,1))-AVERAGE(OFFSET($H$3,0,0,'Données projet'!$E$12+1,1))</f>
        <v>388.50131600273431</v>
      </c>
      <c r="CE42" s="59">
        <f t="shared" si="40"/>
        <v>247.01165577562955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2.420037010619601</v>
      </c>
      <c r="CM42" s="21">
        <f>EXP(-LN(2)/2)*CM41+(1-EXP(-LN(2)/2))/(LN(2)/2)*CG42*CJ42*VLOOKUP('Données projet'!$B$12,Paramètres!$A$1:$I$89,3,0)*0.475*44/12</f>
        <v>0.27353311493679683</v>
      </c>
      <c r="CN42" s="22">
        <f t="shared" si="12"/>
        <v>2.693570125556398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8.1999999999999993</v>
      </c>
      <c r="CT42" s="12">
        <f>IF('Données projet'!$A$140&gt;35,CT41+CS42-DB41,IF(A42&lt;'Données projet'!$A$140,$CQ$205^A42,IF(A42='Données projet'!$A$140,'Données projet'!$B$140,CT41+CS42-DB41)))</f>
        <v>149.79999999999995</v>
      </c>
      <c r="CU42" s="17">
        <f>CT42*VLOOKUP('Données projet'!$B$13,Paramètres!$A$1:$I$89,3,0)*VLOOKUP('Données projet'!$B$13,Paramètres!$A$1:$I$89,5,0)</f>
        <v>161.24471999999994</v>
      </c>
      <c r="CV42" s="13">
        <f t="shared" si="41"/>
        <v>41.123138729275411</v>
      </c>
      <c r="CW42" s="20">
        <f t="shared" si="13"/>
        <v>352.45735395348788</v>
      </c>
      <c r="CX42" s="59">
        <f t="shared" si="14"/>
        <v>645.79068728682114</v>
      </c>
      <c r="CY42" s="59">
        <f ca="1">AVERAGE(OFFSET($CX$3,0,0,'Données projet'!$E$13+1,1))-AVERAGE(OFFSET($H$3,0,0,'Données projet'!$E$13+1,1))</f>
        <v>454.43000549907373</v>
      </c>
      <c r="CZ42" s="59">
        <f t="shared" si="42"/>
        <v>285.83623046025156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2.8790095471164214</v>
      </c>
      <c r="DH42" s="21">
        <f>EXP(-LN(2)/2)*DH41+(1-EXP(-LN(2)/2))/(LN(2)/2)*DB42*DE42*VLOOKUP('Données projet'!$B$13,Paramètres!$A$1:$I$89,3,0)*0.475*44/12</f>
        <v>0.32541008501101709</v>
      </c>
      <c r="DI42" s="22">
        <f t="shared" si="15"/>
        <v>3.2044196321274385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11.5</v>
      </c>
      <c r="DO42" s="12">
        <f>IF('Données projet'!$A$166&gt;35,DO41+DN42-DW41,IF(A42&lt;'Données projet'!$A$166,$DL$205^A42,IF(A42='Données projet'!$A$166,'Données projet'!$B$166,DO41+DN42-DW41)))</f>
        <v>258.50000000000006</v>
      </c>
      <c r="DP42" s="17">
        <f>DO42*VLOOKUP('Données projet'!$B$14,Paramètres!$A$1:$I$89,3,0)*VLOOKUP('Données projet'!$B$14,Paramètres!$A$1:$I$89,5,0)</f>
        <v>201.63000000000005</v>
      </c>
      <c r="DQ42" s="13">
        <f t="shared" si="43"/>
        <v>50.102222986612546</v>
      </c>
      <c r="DR42" s="20">
        <f t="shared" si="16"/>
        <v>438.43362170168365</v>
      </c>
      <c r="DS42" s="59">
        <f t="shared" si="17"/>
        <v>731.76695503501696</v>
      </c>
      <c r="DT42" s="59">
        <f ca="1">AVERAGE(OFFSET($DS$3,0,0,'Données projet'!$E$14+1,1))-AVERAGE(OFFSET($H$3,0,0,'Données projet'!$E$14+1,1))</f>
        <v>376.33792692771908</v>
      </c>
      <c r="DU42" s="59">
        <f t="shared" si="44"/>
        <v>367.92889258044698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1.2099489932007734</v>
      </c>
      <c r="EB42" s="21">
        <f>EXP(-LN(2)/25)*EB41+(1-EXP(-LN(2)/25))/(LN(2)/25)*Calculateur!DW42*Calculateur!DY42*VLOOKUP('Données projet'!$B$14,Paramètres!$A$1:$I$89,3,0)*0.475*44/12</f>
        <v>6.5221705021140215</v>
      </c>
      <c r="EC42" s="21">
        <f>EXP(-LN(2)/2)*EC41+(1-EXP(-LN(2)/2))/(LN(2)/2)*DW42*DZ42*VLOOKUP('Données projet'!$B$14,Paramètres!$A$1:$I$89,3,0)*0.475*44/12</f>
        <v>0.57766998318344431</v>
      </c>
      <c r="ED42" s="22">
        <f t="shared" si="18"/>
        <v>8.3097894784982387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183.67439999999999</v>
      </c>
      <c r="P43" s="13">
        <f t="shared" si="33"/>
        <v>46.138708549418673</v>
      </c>
      <c r="Q43" s="20">
        <f t="shared" si="53"/>
        <v>400.25783072357081</v>
      </c>
      <c r="R43" s="59">
        <f t="shared" si="0"/>
        <v>693.59116405690406</v>
      </c>
      <c r="S43" s="59">
        <f ca="1">AVERAGE(OFFSET($R$3,0,0,'Données projet'!$E$9+1,1))-AVERAGE(OFFSET($H$3,0,0,'Données projet'!$E$9+1,1))</f>
        <v>469.68830256438338</v>
      </c>
      <c r="T43" s="59">
        <f t="shared" si="34"/>
        <v>332.61387922152159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1.975821080470519</v>
      </c>
      <c r="AA43" s="21">
        <f>EXP(-LN(2)/25)*AA42+(1-EXP(-LN(2)/25))/(LN(2)/25)*Calculateur!V43*Calculateur!X43*VLOOKUP('Données projet'!$B$9,Paramètres!$A$1:$I$89,3,0)*0.475*44/12</f>
        <v>8.5507773832904892</v>
      </c>
      <c r="AB43" s="21">
        <f>EXP(-LN(2)/2)*AB42+(1-EXP(-LN(2)/2))/(LN(2)/2)*V43*Y43*VLOOKUP('Données projet'!$B$9,Paramètres!$A$1:$I$89,3,0)*0.475*44/12</f>
        <v>0.67354177419083094</v>
      </c>
      <c r="AC43" s="22">
        <f t="shared" si="3"/>
        <v>11.200140237951839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218.50919999999999</v>
      </c>
      <c r="AK43" s="13">
        <f t="shared" si="35"/>
        <v>53.790739595307251</v>
      </c>
      <c r="AL43" s="20">
        <f t="shared" si="4"/>
        <v>474.2557281284935</v>
      </c>
      <c r="AM43" s="59">
        <f t="shared" si="5"/>
        <v>767.58906146182676</v>
      </c>
      <c r="AN43" s="59">
        <f ca="1">AVERAGE(OFFSET($AM$3,0,0,'Données projet'!$E$10+1,1))-AVERAGE(OFFSET($H$3,0,0,'Données projet'!$E$10+1,1))</f>
        <v>550.66682372933292</v>
      </c>
      <c r="AO43" s="59">
        <f t="shared" si="36"/>
        <v>387.28615589698444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2.3505457681459623</v>
      </c>
      <c r="AV43" s="21">
        <f>EXP(-LN(2)/25)*AV42+(1-EXP(-LN(2)/25))/(LN(2)/25)*Calculateur!AQ43*Calculateur!AS43*VLOOKUP('Données projet'!$B$10,Paramètres!$A$1:$I$89,3,0)*0.475*44/12</f>
        <v>10.172476542190413</v>
      </c>
      <c r="AW43" s="21">
        <f>EXP(-LN(2)/2)*AW42+(1-EXP(-LN(2)/2))/(LN(2)/2)*AQ43*AT43*VLOOKUP('Données projet'!$B$10,Paramètres!$A$1:$I$89,3,0)*0.475*44/12</f>
        <v>0.8012824555028849</v>
      </c>
      <c r="AX43" s="21">
        <f t="shared" si="6"/>
        <v>13.324304765839262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270</v>
      </c>
      <c r="BB43" s="12">
        <f>VLOOKUP(A43,'Données projet'!$A$87:$I$107,9,0)</f>
        <v>11.5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270.00000000000006</v>
      </c>
      <c r="BE43" s="13">
        <f>BD43*VLOOKUP('Données projet'!$B$11,Paramètres!$A$1:$I$89,3,0)*VLOOKUP('Données projet'!$B$11,Paramètres!$A$1:$I$89,5,0)</f>
        <v>210.60000000000005</v>
      </c>
      <c r="BF43" s="13">
        <f t="shared" si="37"/>
        <v>52.066679014660011</v>
      </c>
      <c r="BG43" s="20">
        <f t="shared" si="7"/>
        <v>457.47779928386626</v>
      </c>
      <c r="BH43" s="59">
        <f t="shared" si="8"/>
        <v>750.81113261719952</v>
      </c>
      <c r="BI43" s="59">
        <f ca="1">AVERAGE(OFFSET($BH$3,0,0,'Données projet'!$E$11+1,1))-AVERAGE(OFFSET($H$3,0,0,'Données projet'!$E$11+1,1))</f>
        <v>376.33792692771908</v>
      </c>
      <c r="BJ43" s="59">
        <f t="shared" si="38"/>
        <v>367.92889258044698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61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1.186222631440121</v>
      </c>
      <c r="BQ43" s="21">
        <f>EXP(-LN(2)/25)*BQ42+(1-EXP(-LN(2)/25))/(LN(2)/25)*Calculateur!BL43*Calculateur!BN43*VLOOKUP('Données projet'!$B$11,Paramètres!$A$1:$I$89,3,0)*0.475*44/12</f>
        <v>6.3438214067476739</v>
      </c>
      <c r="BR43" s="21">
        <f>EXP(-LN(2)/2)*BR42+(1-EXP(-LN(2)/2))/(LN(2)/2)*BL43*BO43*VLOOKUP('Données projet'!$B$11,Paramètres!$A$1:$I$89,3,0)*0.475*44/12</f>
        <v>0.40847436239693236</v>
      </c>
      <c r="BS43" s="22">
        <f t="shared" si="9"/>
        <v>7.9385184005847265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142.95839999999993</v>
      </c>
      <c r="CA43" s="13">
        <f t="shared" si="39"/>
        <v>36.973906370811264</v>
      </c>
      <c r="CB43" s="20">
        <f t="shared" si="10"/>
        <v>313.38210026249618</v>
      </c>
      <c r="CC43" s="59">
        <f t="shared" si="11"/>
        <v>606.7154335958295</v>
      </c>
      <c r="CD43" s="59">
        <f ca="1">AVERAGE(OFFSET($CC$3,0,0,'Données projet'!$E$12+1,1))-AVERAGE(OFFSET($H$3,0,0,'Données projet'!$E$12+1,1))</f>
        <v>388.50131600273431</v>
      </c>
      <c r="CE43" s="59">
        <f t="shared" si="40"/>
        <v>247.01165577562955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2.3538609712999925</v>
      </c>
      <c r="CM43" s="21">
        <f>EXP(-LN(2)/2)*CM42+(1-EXP(-LN(2)/2))/(LN(2)/2)*CG43*CJ43*VLOOKUP('Données projet'!$B$12,Paramètres!$A$1:$I$89,3,0)*0.475*44/12</f>
        <v>0.19341712045088835</v>
      </c>
      <c r="CN43" s="22">
        <f t="shared" si="12"/>
        <v>2.547278091750881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158</v>
      </c>
      <c r="CR43" s="12">
        <f>VLOOKUP(A43,'Données projet'!$A$139:$I$159,9,0)</f>
        <v>8.1999999999999993</v>
      </c>
      <c r="CS43" s="12">
        <f t="array" ref="CS43">INDEX(CR:CR,MIN(IF(ISNUMBER(CR43:CR239),ROW(CR43:CR239),"")))</f>
        <v>8.1999999999999993</v>
      </c>
      <c r="CT43" s="12">
        <f>IF('Données projet'!$A$140&gt;35,CT42+CS43-DB42,IF(A43&lt;'Données projet'!$A$140,$CQ$205^A43,IF(A43='Données projet'!$A$140,'Données projet'!$B$140,CT42+CS43-DB42)))</f>
        <v>157.99999999999994</v>
      </c>
      <c r="CU43" s="17">
        <f>CT43*VLOOKUP('Données projet'!$B$13,Paramètres!$A$1:$I$89,3,0)*VLOOKUP('Données projet'!$B$13,Paramètres!$A$1:$I$89,5,0)</f>
        <v>170.07119999999992</v>
      </c>
      <c r="CV43" s="13">
        <f t="shared" si="41"/>
        <v>43.105969628155904</v>
      </c>
      <c r="CW43" s="20">
        <f t="shared" si="13"/>
        <v>371.28357043570469</v>
      </c>
      <c r="CX43" s="59">
        <f t="shared" si="14"/>
        <v>664.616903769038</v>
      </c>
      <c r="CY43" s="59">
        <f ca="1">AVERAGE(OFFSET($CX$3,0,0,'Données projet'!$E$13+1,1))-AVERAGE(OFFSET($H$3,0,0,'Données projet'!$E$13+1,1))</f>
        <v>454.43000549907373</v>
      </c>
      <c r="CZ43" s="59">
        <f t="shared" si="42"/>
        <v>285.83623046025156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42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2.8002828796499908</v>
      </c>
      <c r="DH43" s="21">
        <f>EXP(-LN(2)/2)*DH42+(1-EXP(-LN(2)/2))/(LN(2)/2)*DB43*DE43*VLOOKUP('Données projet'!$B$13,Paramètres!$A$1:$I$89,3,0)*0.475*44/12</f>
        <v>0.23009967777778112</v>
      </c>
      <c r="DI43" s="22">
        <f t="shared" si="15"/>
        <v>3.0303825574277719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270</v>
      </c>
      <c r="DM43" s="12">
        <f>VLOOKUP(A43,'Données projet'!$A$165:$I$185,9,0)</f>
        <v>11.5</v>
      </c>
      <c r="DN43" s="12">
        <f t="array" ref="DN43">INDEX(DM:DM,MIN(IF(ISNUMBER(DM43:DM239),ROW(DM43:DM239),"")))</f>
        <v>11.5</v>
      </c>
      <c r="DO43" s="12">
        <f>IF('Données projet'!$A$166&gt;35,DO42+DN43-DW42,IF(A43&lt;'Données projet'!$A$166,$DL$205^A43,IF(A43='Données projet'!$A$166,'Données projet'!$B$166,DO42+DN43-DW42)))</f>
        <v>270.00000000000006</v>
      </c>
      <c r="DP43" s="17">
        <f>DO43*VLOOKUP('Données projet'!$B$14,Paramètres!$A$1:$I$89,3,0)*VLOOKUP('Données projet'!$B$14,Paramètres!$A$1:$I$89,5,0)</f>
        <v>210.60000000000005</v>
      </c>
      <c r="DQ43" s="13">
        <f t="shared" si="43"/>
        <v>52.066679014660011</v>
      </c>
      <c r="DR43" s="20">
        <f t="shared" si="16"/>
        <v>457.47779928386626</v>
      </c>
      <c r="DS43" s="59">
        <f t="shared" si="17"/>
        <v>750.81113261719952</v>
      </c>
      <c r="DT43" s="59">
        <f ca="1">AVERAGE(OFFSET($DS$3,0,0,'Données projet'!$E$14+1,1))-AVERAGE(OFFSET($H$3,0,0,'Données projet'!$E$14+1,1))</f>
        <v>376.33792692771908</v>
      </c>
      <c r="DU43" s="59">
        <f t="shared" si="44"/>
        <v>367.92889258044698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61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1.186222631440121</v>
      </c>
      <c r="EB43" s="21">
        <f>EXP(-LN(2)/25)*EB42+(1-EXP(-LN(2)/25))/(LN(2)/25)*Calculateur!DW43*Calculateur!DY43*VLOOKUP('Données projet'!$B$14,Paramètres!$A$1:$I$89,3,0)*0.475*44/12</f>
        <v>6.3438214067476739</v>
      </c>
      <c r="EC43" s="21">
        <f>EXP(-LN(2)/2)*EC42+(1-EXP(-LN(2)/2))/(LN(2)/2)*DW43*DZ43*VLOOKUP('Données projet'!$B$14,Paramètres!$A$1:$I$89,3,0)*0.475*44/12</f>
        <v>0.40847436239693236</v>
      </c>
      <c r="ED43" s="22">
        <f t="shared" si="18"/>
        <v>7.9385184005847265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143.13935999999998</v>
      </c>
      <c r="P44" s="13">
        <f t="shared" si="33"/>
        <v>37.015257937854066</v>
      </c>
      <c r="Q44" s="20">
        <f t="shared" si="53"/>
        <v>313.76929290842912</v>
      </c>
      <c r="R44" s="59">
        <f t="shared" si="0"/>
        <v>607.10262624176244</v>
      </c>
      <c r="S44" s="59">
        <f ca="1">AVERAGE(OFFSET($R$3,0,0,'Données projet'!$E$9+1,1))-AVERAGE(OFFSET($H$3,0,0,'Données projet'!$E$9+1,1))</f>
        <v>469.68830256438338</v>
      </c>
      <c r="T44" s="59">
        <f t="shared" si="34"/>
        <v>332.61387922152159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1.9370764342143543</v>
      </c>
      <c r="AA44" s="21">
        <f>EXP(-LN(2)/25)*AA43+(1-EXP(-LN(2)/25))/(LN(2)/25)*Calculateur!V44*Calculateur!X44*VLOOKUP('Données projet'!$B$9,Paramètres!$A$1:$I$89,3,0)*0.475*44/12</f>
        <v>8.3169559260785704</v>
      </c>
      <c r="AB44" s="21">
        <f>EXP(-LN(2)/2)*AB43+(1-EXP(-LN(2)/2))/(LN(2)/2)*V44*Y44*VLOOKUP('Données projet'!$B$9,Paramètres!$A$1:$I$89,3,0)*0.475*44/12</f>
        <v>0.47626595594275495</v>
      </c>
      <c r="AC44" s="22">
        <f t="shared" si="3"/>
        <v>10.730298316235681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170.28647999999998</v>
      </c>
      <c r="AK44" s="13">
        <f t="shared" si="35"/>
        <v>43.154179286479454</v>
      </c>
      <c r="AL44" s="20">
        <f t="shared" si="4"/>
        <v>371.74248159061835</v>
      </c>
      <c r="AM44" s="59">
        <f t="shared" si="5"/>
        <v>665.07581492395161</v>
      </c>
      <c r="AN44" s="59">
        <f ca="1">AVERAGE(OFFSET($AM$3,0,0,'Données projet'!$E$10+1,1))-AVERAGE(OFFSET($H$3,0,0,'Données projet'!$E$10+1,1))</f>
        <v>550.66682372933292</v>
      </c>
      <c r="AO44" s="59">
        <f t="shared" si="36"/>
        <v>387.28615589698444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2.3044529993239733</v>
      </c>
      <c r="AV44" s="21">
        <f>EXP(-LN(2)/25)*AV43+(1-EXP(-LN(2)/25))/(LN(2)/25)*Calculateur!AQ44*Calculateur!AS44*VLOOKUP('Données projet'!$B$10,Paramètres!$A$1:$I$89,3,0)*0.475*44/12</f>
        <v>9.8943096361969243</v>
      </c>
      <c r="AW44" s="21">
        <f>EXP(-LN(2)/2)*AW43+(1-EXP(-LN(2)/2))/(LN(2)/2)*AQ44*AT44*VLOOKUP('Données projet'!$B$10,Paramètres!$A$1:$I$89,3,0)*0.475*44/12</f>
        <v>0.56659225793189794</v>
      </c>
      <c r="AX44" s="21">
        <f t="shared" si="6"/>
        <v>12.765354893452795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220.00000000000006</v>
      </c>
      <c r="BE44" s="13">
        <f>BD44*VLOOKUP('Données projet'!$B$11,Paramètres!$A$1:$I$89,3,0)*VLOOKUP('Données projet'!$B$11,Paramètres!$A$1:$I$89,5,0)</f>
        <v>171.60000000000005</v>
      </c>
      <c r="BF44" s="13">
        <f t="shared" si="37"/>
        <v>43.44817475464852</v>
      </c>
      <c r="BG44" s="20">
        <f t="shared" si="7"/>
        <v>374.54223769767958</v>
      </c>
      <c r="BH44" s="59">
        <f t="shared" si="8"/>
        <v>667.8755710310129</v>
      </c>
      <c r="BI44" s="59">
        <f ca="1">AVERAGE(OFFSET($BH$3,0,0,'Données projet'!$E$11+1,1))-AVERAGE(OFFSET($H$3,0,0,'Données projet'!$E$11+1,1))</f>
        <v>376.33792692771908</v>
      </c>
      <c r="BJ44" s="59">
        <f t="shared" si="38"/>
        <v>367.92889258044698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1.1629615291619433</v>
      </c>
      <c r="BQ44" s="21">
        <f>EXP(-LN(2)/25)*BQ43+(1-EXP(-LN(2)/25))/(LN(2)/25)*Calculateur!BL44*Calculateur!BN44*VLOOKUP('Données projet'!$B$11,Paramètres!$A$1:$I$89,3,0)*0.475*44/12</f>
        <v>6.1703492767730896</v>
      </c>
      <c r="BR44" s="21">
        <f>EXP(-LN(2)/2)*BR43+(1-EXP(-LN(2)/2))/(LN(2)/2)*BL44*BO44*VLOOKUP('Données projet'!$B$11,Paramètres!$A$1:$I$89,3,0)*0.475*44/12</f>
        <v>0.28883499159172216</v>
      </c>
      <c r="BS44" s="22">
        <f t="shared" si="9"/>
        <v>7.6221457975267555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112.46663999999996</v>
      </c>
      <c r="CA44" s="13">
        <f t="shared" si="39"/>
        <v>29.911391992758421</v>
      </c>
      <c r="CB44" s="20">
        <f t="shared" si="10"/>
        <v>247.97507238738748</v>
      </c>
      <c r="CC44" s="59">
        <f t="shared" si="11"/>
        <v>541.30840572072077</v>
      </c>
      <c r="CD44" s="59">
        <f ca="1">AVERAGE(OFFSET($CC$3,0,0,'Données projet'!$E$12+1,1))-AVERAGE(OFFSET($H$3,0,0,'Données projet'!$E$12+1,1))</f>
        <v>388.50131600273431</v>
      </c>
      <c r="CE44" s="59">
        <f t="shared" si="40"/>
        <v>247.01165577562955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2.2894945192556255</v>
      </c>
      <c r="CM44" s="21">
        <f>EXP(-LN(2)/2)*CM43+(1-EXP(-LN(2)/2))/(LN(2)/2)*CG44*CJ44*VLOOKUP('Données projet'!$B$12,Paramètres!$A$1:$I$89,3,0)*0.475*44/12</f>
        <v>0.13676655746839841</v>
      </c>
      <c r="CN44" s="22">
        <f t="shared" si="12"/>
        <v>2.4262610767240238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8.3000000000000007</v>
      </c>
      <c r="CT44" s="12">
        <f>IF('Données projet'!$A$140&gt;35,CT43+CS44-DB43,IF(A44&lt;'Données projet'!$A$140,$CQ$205^A44,IF(A44='Données projet'!$A$140,'Données projet'!$B$140,CT43+CS44-DB43)))</f>
        <v>124.29999999999995</v>
      </c>
      <c r="CU44" s="17">
        <f>CT44*VLOOKUP('Données projet'!$B$13,Paramètres!$A$1:$I$89,3,0)*VLOOKUP('Données projet'!$B$13,Paramètres!$A$1:$I$89,5,0)</f>
        <v>133.79651999999996</v>
      </c>
      <c r="CV44" s="13">
        <f t="shared" si="41"/>
        <v>34.872148532122218</v>
      </c>
      <c r="CW44" s="20">
        <f t="shared" si="13"/>
        <v>293.76459769344609</v>
      </c>
      <c r="CX44" s="59">
        <f t="shared" si="14"/>
        <v>587.09793102677941</v>
      </c>
      <c r="CY44" s="59">
        <f ca="1">AVERAGE(OFFSET($CX$3,0,0,'Données projet'!$E$13+1,1))-AVERAGE(OFFSET($H$3,0,0,'Données projet'!$E$13+1,1))</f>
        <v>454.43000549907373</v>
      </c>
      <c r="CZ44" s="59">
        <f t="shared" si="42"/>
        <v>285.83623046025156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2.7237089970454851</v>
      </c>
      <c r="DH44" s="21">
        <f>EXP(-LN(2)/2)*DH43+(1-EXP(-LN(2)/2))/(LN(2)/2)*DB44*DE44*VLOOKUP('Données projet'!$B$13,Paramètres!$A$1:$I$89,3,0)*0.475*44/12</f>
        <v>0.16270504250550857</v>
      </c>
      <c r="DI44" s="22">
        <f t="shared" si="15"/>
        <v>2.8864140395509938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</v>
      </c>
      <c r="DO44" s="12">
        <f>IF('Données projet'!$A$166&gt;35,DO43+DN44-DW43,IF(A44&lt;'Données projet'!$A$166,$DL$205^A44,IF(A44='Données projet'!$A$166,'Données projet'!$B$166,DO43+DN44-DW43)))</f>
        <v>220.00000000000006</v>
      </c>
      <c r="DP44" s="17">
        <f>DO44*VLOOKUP('Données projet'!$B$14,Paramètres!$A$1:$I$89,3,0)*VLOOKUP('Données projet'!$B$14,Paramètres!$A$1:$I$89,5,0)</f>
        <v>171.60000000000005</v>
      </c>
      <c r="DQ44" s="13">
        <f t="shared" si="43"/>
        <v>43.44817475464852</v>
      </c>
      <c r="DR44" s="20">
        <f t="shared" si="16"/>
        <v>374.54223769767958</v>
      </c>
      <c r="DS44" s="59">
        <f t="shared" si="17"/>
        <v>667.8755710310129</v>
      </c>
      <c r="DT44" s="59">
        <f ca="1">AVERAGE(OFFSET($DS$3,0,0,'Données projet'!$E$14+1,1))-AVERAGE(OFFSET($H$3,0,0,'Données projet'!$E$14+1,1))</f>
        <v>376.33792692771908</v>
      </c>
      <c r="DU44" s="59">
        <f t="shared" si="44"/>
        <v>367.92889258044698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1.1629615291619433</v>
      </c>
      <c r="EB44" s="21">
        <f>EXP(-LN(2)/25)*EB43+(1-EXP(-LN(2)/25))/(LN(2)/25)*Calculateur!DW44*Calculateur!DY44*VLOOKUP('Données projet'!$B$14,Paramètres!$A$1:$I$89,3,0)*0.475*44/12</f>
        <v>6.1703492767730896</v>
      </c>
      <c r="EC44" s="21">
        <f>EXP(-LN(2)/2)*EC43+(1-EXP(-LN(2)/2))/(LN(2)/2)*DW44*DZ44*VLOOKUP('Données projet'!$B$14,Paramètres!$A$1:$I$89,3,0)*0.475*44/12</f>
        <v>0.28883499159172216</v>
      </c>
      <c r="ED44" s="22">
        <f t="shared" si="18"/>
        <v>7.6221457975267555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153.27311999999998</v>
      </c>
      <c r="P45" s="13">
        <f t="shared" si="33"/>
        <v>39.321476829336504</v>
      </c>
      <c r="Q45" s="20">
        <f t="shared" si="53"/>
        <v>335.43558947776097</v>
      </c>
      <c r="R45" s="59">
        <f t="shared" si="0"/>
        <v>628.76892281109428</v>
      </c>
      <c r="S45" s="59">
        <f ca="1">AVERAGE(OFFSET($R$3,0,0,'Données projet'!$E$9+1,1))-AVERAGE(OFFSET($H$3,0,0,'Données projet'!$E$9+1,1))</f>
        <v>469.68830256438338</v>
      </c>
      <c r="T45" s="59">
        <f t="shared" si="34"/>
        <v>332.61387922152159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1.8990915468393723</v>
      </c>
      <c r="AA45" s="21">
        <f>EXP(-LN(2)/25)*AA44+(1-EXP(-LN(2)/25))/(LN(2)/25)*Calculateur!V45*Calculateur!X45*VLOOKUP('Données projet'!$B$9,Paramètres!$A$1:$I$89,3,0)*0.475*44/12</f>
        <v>8.089528328910248</v>
      </c>
      <c r="AB45" s="21">
        <f>EXP(-LN(2)/2)*AB44+(1-EXP(-LN(2)/2))/(LN(2)/2)*V45*Y45*VLOOKUP('Données projet'!$B$9,Paramètres!$A$1:$I$89,3,0)*0.475*44/12</f>
        <v>0.33677088709541553</v>
      </c>
      <c r="AC45" s="22">
        <f t="shared" si="3"/>
        <v>10.325390762845036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182.34215999999998</v>
      </c>
      <c r="AK45" s="13">
        <f t="shared" si="35"/>
        <v>45.84288089390823</v>
      </c>
      <c r="AL45" s="20">
        <f t="shared" si="4"/>
        <v>397.42227955689009</v>
      </c>
      <c r="AM45" s="59">
        <f t="shared" si="5"/>
        <v>690.75561289022335</v>
      </c>
      <c r="AN45" s="59">
        <f ca="1">AVERAGE(OFFSET($AM$3,0,0,'Données projet'!$E$10+1,1))-AVERAGE(OFFSET($H$3,0,0,'Données projet'!$E$10+1,1))</f>
        <v>550.66682372933292</v>
      </c>
      <c r="AO45" s="59">
        <f t="shared" si="36"/>
        <v>387.28615589698444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2.2592640815847704</v>
      </c>
      <c r="AV45" s="21">
        <f>EXP(-LN(2)/25)*AV44+(1-EXP(-LN(2)/25))/(LN(2)/25)*Calculateur!AQ45*Calculateur!AS45*VLOOKUP('Données projet'!$B$10,Paramètres!$A$1:$I$89,3,0)*0.475*44/12</f>
        <v>9.6237492188759894</v>
      </c>
      <c r="AW45" s="21">
        <f>EXP(-LN(2)/2)*AW44+(1-EXP(-LN(2)/2))/(LN(2)/2)*AQ45*AT45*VLOOKUP('Données projet'!$B$10,Paramètres!$A$1:$I$89,3,0)*0.475*44/12</f>
        <v>0.40064122775144245</v>
      </c>
      <c r="AX45" s="21">
        <f t="shared" si="6"/>
        <v>12.283654528212203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231.00000000000006</v>
      </c>
      <c r="BE45" s="13">
        <f>BD45*VLOOKUP('Données projet'!$B$11,Paramètres!$A$1:$I$89,3,0)*VLOOKUP('Données projet'!$B$11,Paramètres!$A$1:$I$89,5,0)</f>
        <v>180.18000000000006</v>
      </c>
      <c r="BF45" s="13">
        <f t="shared" si="37"/>
        <v>45.362230520410691</v>
      </c>
      <c r="BG45" s="20">
        <f t="shared" si="7"/>
        <v>392.81938482304872</v>
      </c>
      <c r="BH45" s="59">
        <f t="shared" si="8"/>
        <v>686.15271815638198</v>
      </c>
      <c r="BI45" s="59">
        <f ca="1">AVERAGE(OFFSET($BH$3,0,0,'Données projet'!$E$11+1,1))-AVERAGE(OFFSET($H$3,0,0,'Données projet'!$E$11+1,1))</f>
        <v>376.33792692771908</v>
      </c>
      <c r="BJ45" s="59">
        <f t="shared" si="38"/>
        <v>367.92889258044698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1.1401565629115693</v>
      </c>
      <c r="BQ45" s="21">
        <f>EXP(-LN(2)/25)*BQ44+(1-EXP(-LN(2)/25))/(LN(2)/25)*Calculateur!BL45*Calculateur!BN45*VLOOKUP('Données projet'!$B$11,Paramètres!$A$1:$I$89,3,0)*0.475*44/12</f>
        <v>6.0016207513151638</v>
      </c>
      <c r="BR45" s="21">
        <f>EXP(-LN(2)/2)*BR44+(1-EXP(-LN(2)/2))/(LN(2)/2)*BL45*BO45*VLOOKUP('Données projet'!$B$11,Paramètres!$A$1:$I$89,3,0)*0.475*44/12</f>
        <v>0.20423718119846618</v>
      </c>
      <c r="BS45" s="22">
        <f t="shared" si="9"/>
        <v>7.3460144954251989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119.97647999999997</v>
      </c>
      <c r="CA45" s="13">
        <f t="shared" si="39"/>
        <v>31.669513577784763</v>
      </c>
      <c r="CB45" s="20">
        <f t="shared" si="10"/>
        <v>264.11677214797504</v>
      </c>
      <c r="CC45" s="59">
        <f t="shared" si="11"/>
        <v>557.45010548130836</v>
      </c>
      <c r="CD45" s="59">
        <f ca="1">AVERAGE(OFFSET($CC$3,0,0,'Données projet'!$E$12+1,1))-AVERAGE(OFFSET($H$3,0,0,'Données projet'!$E$12+1,1))</f>
        <v>388.50131600273431</v>
      </c>
      <c r="CE45" s="59">
        <f t="shared" si="40"/>
        <v>247.01165577562955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2.2268881712272965</v>
      </c>
      <c r="CM45" s="21">
        <f>EXP(-LN(2)/2)*CM44+(1-EXP(-LN(2)/2))/(LN(2)/2)*CG45*CJ45*VLOOKUP('Données projet'!$B$12,Paramètres!$A$1:$I$89,3,0)*0.475*44/12</f>
        <v>9.6708560225444176E-2</v>
      </c>
      <c r="CN45" s="22">
        <f t="shared" si="12"/>
        <v>2.3235967314527408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8.3000000000000007</v>
      </c>
      <c r="CT45" s="12">
        <f>IF('Données projet'!$A$140&gt;35,CT44+CS45-DB44,IF(A45&lt;'Données projet'!$A$140,$CQ$205^A45,IF(A45='Données projet'!$A$140,'Données projet'!$B$140,CT44+CS45-DB44)))</f>
        <v>132.59999999999997</v>
      </c>
      <c r="CU45" s="17">
        <f>CT45*VLOOKUP('Données projet'!$B$13,Paramètres!$A$1:$I$89,3,0)*VLOOKUP('Données projet'!$B$13,Paramètres!$A$1:$I$89,5,0)</f>
        <v>142.73063999999997</v>
      </c>
      <c r="CV45" s="13">
        <f t="shared" si="41"/>
        <v>36.921851771122689</v>
      </c>
      <c r="CW45" s="20">
        <f t="shared" si="13"/>
        <v>312.89475650137189</v>
      </c>
      <c r="CX45" s="59">
        <f t="shared" si="14"/>
        <v>606.2280898347052</v>
      </c>
      <c r="CY45" s="59">
        <f ca="1">AVERAGE(OFFSET($CX$3,0,0,'Données projet'!$E$13+1,1))-AVERAGE(OFFSET($H$3,0,0,'Données projet'!$E$13+1,1))</f>
        <v>454.43000549907373</v>
      </c>
      <c r="CZ45" s="59">
        <f t="shared" si="42"/>
        <v>285.83623046025156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2.6492290312876454</v>
      </c>
      <c r="DH45" s="21">
        <f>EXP(-LN(2)/2)*DH44+(1-EXP(-LN(2)/2))/(LN(2)/2)*DB45*DE45*VLOOKUP('Données projet'!$B$13,Paramètres!$A$1:$I$89,3,0)*0.475*44/12</f>
        <v>0.11504983888889057</v>
      </c>
      <c r="DI45" s="22">
        <f t="shared" si="15"/>
        <v>2.7642788701765362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</v>
      </c>
      <c r="DO45" s="12">
        <f>IF('Données projet'!$A$166&gt;35,DO44+DN45-DW44,IF(A45&lt;'Données projet'!$A$166,$DL$205^A45,IF(A45='Données projet'!$A$166,'Données projet'!$B$166,DO44+DN45-DW44)))</f>
        <v>231.00000000000006</v>
      </c>
      <c r="DP45" s="17">
        <f>DO45*VLOOKUP('Données projet'!$B$14,Paramètres!$A$1:$I$89,3,0)*VLOOKUP('Données projet'!$B$14,Paramètres!$A$1:$I$89,5,0)</f>
        <v>180.18000000000006</v>
      </c>
      <c r="DQ45" s="13">
        <f t="shared" si="43"/>
        <v>45.362230520410691</v>
      </c>
      <c r="DR45" s="20">
        <f t="shared" si="16"/>
        <v>392.81938482304872</v>
      </c>
      <c r="DS45" s="59">
        <f t="shared" si="17"/>
        <v>686.15271815638198</v>
      </c>
      <c r="DT45" s="59">
        <f ca="1">AVERAGE(OFFSET($DS$3,0,0,'Données projet'!$E$14+1,1))-AVERAGE(OFFSET($H$3,0,0,'Données projet'!$E$14+1,1))</f>
        <v>376.33792692771908</v>
      </c>
      <c r="DU45" s="59">
        <f t="shared" si="44"/>
        <v>367.92889258044698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1.1401565629115693</v>
      </c>
      <c r="EB45" s="21">
        <f>EXP(-LN(2)/25)*EB44+(1-EXP(-LN(2)/25))/(LN(2)/25)*Calculateur!DW45*Calculateur!DY45*VLOOKUP('Données projet'!$B$14,Paramètres!$A$1:$I$89,3,0)*0.475*44/12</f>
        <v>6.0016207513151638</v>
      </c>
      <c r="EC45" s="21">
        <f>EXP(-LN(2)/2)*EC44+(1-EXP(-LN(2)/2))/(LN(2)/2)*DW45*DZ45*VLOOKUP('Données projet'!$B$14,Paramètres!$A$1:$I$89,3,0)*0.475*44/12</f>
        <v>0.20423718119846618</v>
      </c>
      <c r="ED45" s="22">
        <f t="shared" si="18"/>
        <v>7.3460144954251989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163.40687999999997</v>
      </c>
      <c r="P46" s="13">
        <f t="shared" si="33"/>
        <v>41.610001881769797</v>
      </c>
      <c r="Q46" s="20">
        <f t="shared" si="53"/>
        <v>357.07106927741569</v>
      </c>
      <c r="R46" s="59">
        <f t="shared" si="0"/>
        <v>650.404402610749</v>
      </c>
      <c r="S46" s="59">
        <f ca="1">AVERAGE(OFFSET($R$3,0,0,'Données projet'!$E$9+1,1))-AVERAGE(OFFSET($H$3,0,0,'Données projet'!$E$9+1,1))</f>
        <v>469.68830256438338</v>
      </c>
      <c r="T46" s="59">
        <f t="shared" si="34"/>
        <v>332.61387922152159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1.86185151993732</v>
      </c>
      <c r="AA46" s="21">
        <f>EXP(-LN(2)/25)*AA45+(1-EXP(-LN(2)/25))/(LN(2)/25)*Calculateur!V46*Calculateur!X46*VLOOKUP('Données projet'!$B$9,Paramètres!$A$1:$I$89,3,0)*0.475*44/12</f>
        <v>7.8683197513463909</v>
      </c>
      <c r="AB46" s="21">
        <f>EXP(-LN(2)/2)*AB45+(1-EXP(-LN(2)/2))/(LN(2)/2)*V46*Y46*VLOOKUP('Données projet'!$B$9,Paramètres!$A$1:$I$89,3,0)*0.475*44/12</f>
        <v>0.2381329779713775</v>
      </c>
      <c r="AC46" s="22">
        <f t="shared" si="3"/>
        <v>9.9683042492550875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194.39783999999995</v>
      </c>
      <c r="AK46" s="13">
        <f t="shared" si="35"/>
        <v>48.510954167370699</v>
      </c>
      <c r="AL46" s="20">
        <f t="shared" si="4"/>
        <v>423.06614984150383</v>
      </c>
      <c r="AM46" s="59">
        <f t="shared" si="5"/>
        <v>716.39948317483709</v>
      </c>
      <c r="AN46" s="59">
        <f ca="1">AVERAGE(OFFSET($AM$3,0,0,'Données projet'!$E$10+1,1))-AVERAGE(OFFSET($H$3,0,0,'Données projet'!$E$10+1,1))</f>
        <v>550.66682372933292</v>
      </c>
      <c r="AO46" s="59">
        <f t="shared" si="36"/>
        <v>387.28615589698444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2.214961290959915</v>
      </c>
      <c r="AV46" s="21">
        <f>EXP(-LN(2)/25)*AV45+(1-EXP(-LN(2)/25))/(LN(2)/25)*Calculateur!AQ46*Calculateur!AS46*VLOOKUP('Données projet'!$B$10,Paramètres!$A$1:$I$89,3,0)*0.475*44/12</f>
        <v>9.3605872903948502</v>
      </c>
      <c r="AW46" s="21">
        <f>EXP(-LN(2)/2)*AW45+(1-EXP(-LN(2)/2))/(LN(2)/2)*AQ46*AT46*VLOOKUP('Données projet'!$B$10,Paramètres!$A$1:$I$89,3,0)*0.475*44/12</f>
        <v>0.28329612896594897</v>
      </c>
      <c r="AX46" s="21">
        <f t="shared" si="6"/>
        <v>11.858844710320714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242.00000000000006</v>
      </c>
      <c r="BE46" s="13">
        <f>BD46*VLOOKUP('Données projet'!$B$11,Paramètres!$A$1:$I$89,3,0)*VLOOKUP('Données projet'!$B$11,Paramètres!$A$1:$I$89,5,0)</f>
        <v>188.76000000000005</v>
      </c>
      <c r="BF46" s="13">
        <f t="shared" si="37"/>
        <v>47.265702073783714</v>
      </c>
      <c r="BG46" s="20">
        <f t="shared" si="7"/>
        <v>411.07809777850667</v>
      </c>
      <c r="BH46" s="59">
        <f t="shared" si="8"/>
        <v>704.41143111183999</v>
      </c>
      <c r="BI46" s="59">
        <f ca="1">AVERAGE(OFFSET($BH$3,0,0,'Données projet'!$E$11+1,1))-AVERAGE(OFFSET($H$3,0,0,'Données projet'!$E$11+1,1))</f>
        <v>376.33792692771908</v>
      </c>
      <c r="BJ46" s="59">
        <f t="shared" si="38"/>
        <v>367.92889258044698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1.1177987881397091</v>
      </c>
      <c r="BQ46" s="21">
        <f>EXP(-LN(2)/25)*BQ45+(1-EXP(-LN(2)/25))/(LN(2)/25)*Calculateur!BL46*Calculateur!BN46*VLOOKUP('Données projet'!$B$11,Paramètres!$A$1:$I$89,3,0)*0.475*44/12</f>
        <v>5.8375061162589326</v>
      </c>
      <c r="BR46" s="21">
        <f>EXP(-LN(2)/2)*BR45+(1-EXP(-LN(2)/2))/(LN(2)/2)*BL46*BO46*VLOOKUP('Données projet'!$B$11,Paramètres!$A$1:$I$89,3,0)*0.475*44/12</f>
        <v>0.14441749579586108</v>
      </c>
      <c r="BS46" s="22">
        <f t="shared" si="9"/>
        <v>7.0997224001945023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127.48631999999998</v>
      </c>
      <c r="CA46" s="13">
        <f t="shared" si="39"/>
        <v>33.414863287066048</v>
      </c>
      <c r="CB46" s="20">
        <f t="shared" si="10"/>
        <v>280.23622755830667</v>
      </c>
      <c r="CC46" s="59">
        <f t="shared" si="11"/>
        <v>573.56956089163998</v>
      </c>
      <c r="CD46" s="59">
        <f ca="1">AVERAGE(OFFSET($CC$3,0,0,'Données projet'!$E$12+1,1))-AVERAGE(OFFSET($H$3,0,0,'Données projet'!$E$12+1,1))</f>
        <v>388.50131600273431</v>
      </c>
      <c r="CE46" s="59">
        <f t="shared" si="40"/>
        <v>247.01165577562955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2.1659937970781269</v>
      </c>
      <c r="CM46" s="21">
        <f>EXP(-LN(2)/2)*CM45+(1-EXP(-LN(2)/2))/(LN(2)/2)*CG46*CJ46*VLOOKUP('Données projet'!$B$12,Paramètres!$A$1:$I$89,3,0)*0.475*44/12</f>
        <v>6.8383278734199207E-2</v>
      </c>
      <c r="CN46" s="22">
        <f t="shared" si="12"/>
        <v>2.234377075812326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8.3000000000000007</v>
      </c>
      <c r="CT46" s="12">
        <f>IF('Données projet'!$A$140&gt;35,CT45+CS46-DB45,IF(A46&lt;'Données projet'!$A$140,$CQ$205^A46,IF(A46='Données projet'!$A$140,'Données projet'!$B$140,CT45+CS46-DB45)))</f>
        <v>140.89999999999998</v>
      </c>
      <c r="CU46" s="17">
        <f>CT46*VLOOKUP('Données projet'!$B$13,Paramètres!$A$1:$I$89,3,0)*VLOOKUP('Données projet'!$B$13,Paramètres!$A$1:$I$89,5,0)</f>
        <v>151.66475999999997</v>
      </c>
      <c r="CV46" s="13">
        <f t="shared" si="41"/>
        <v>38.956664939205524</v>
      </c>
      <c r="CW46" s="20">
        <f t="shared" si="13"/>
        <v>331.9989817691162</v>
      </c>
      <c r="CX46" s="59">
        <f t="shared" si="14"/>
        <v>625.33231510244946</v>
      </c>
      <c r="CY46" s="59">
        <f ca="1">AVERAGE(OFFSET($CX$3,0,0,'Données projet'!$E$13+1,1))-AVERAGE(OFFSET($H$3,0,0,'Données projet'!$E$13+1,1))</f>
        <v>454.43000549907373</v>
      </c>
      <c r="CZ46" s="59">
        <f t="shared" si="42"/>
        <v>285.83623046025156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2.5767857241101848</v>
      </c>
      <c r="DH46" s="21">
        <f>EXP(-LN(2)/2)*DH45+(1-EXP(-LN(2)/2))/(LN(2)/2)*DB46*DE46*VLOOKUP('Données projet'!$B$13,Paramètres!$A$1:$I$89,3,0)*0.475*44/12</f>
        <v>8.1352521252754301E-2</v>
      </c>
      <c r="DI46" s="22">
        <f t="shared" si="15"/>
        <v>2.658138245362939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</v>
      </c>
      <c r="DO46" s="12">
        <f>IF('Données projet'!$A$166&gt;35,DO45+DN46-DW45,IF(A46&lt;'Données projet'!$A$166,$DL$205^A46,IF(A46='Données projet'!$A$166,'Données projet'!$B$166,DO45+DN46-DW45)))</f>
        <v>242.00000000000006</v>
      </c>
      <c r="DP46" s="17">
        <f>DO46*VLOOKUP('Données projet'!$B$14,Paramètres!$A$1:$I$89,3,0)*VLOOKUP('Données projet'!$B$14,Paramètres!$A$1:$I$89,5,0)</f>
        <v>188.76000000000005</v>
      </c>
      <c r="DQ46" s="13">
        <f t="shared" si="43"/>
        <v>47.265702073783714</v>
      </c>
      <c r="DR46" s="20">
        <f t="shared" si="16"/>
        <v>411.07809777850667</v>
      </c>
      <c r="DS46" s="59">
        <f t="shared" si="17"/>
        <v>704.41143111183999</v>
      </c>
      <c r="DT46" s="59">
        <f ca="1">AVERAGE(OFFSET($DS$3,0,0,'Données projet'!$E$14+1,1))-AVERAGE(OFFSET($H$3,0,0,'Données projet'!$E$14+1,1))</f>
        <v>376.33792692771908</v>
      </c>
      <c r="DU46" s="59">
        <f t="shared" si="44"/>
        <v>367.92889258044698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1.1177987881397091</v>
      </c>
      <c r="EB46" s="21">
        <f>EXP(-LN(2)/25)*EB45+(1-EXP(-LN(2)/25))/(LN(2)/25)*Calculateur!DW46*Calculateur!DY46*VLOOKUP('Données projet'!$B$14,Paramètres!$A$1:$I$89,3,0)*0.475*44/12</f>
        <v>5.8375061162589326</v>
      </c>
      <c r="EC46" s="21">
        <f>EXP(-LN(2)/2)*EC45+(1-EXP(-LN(2)/2))/(LN(2)/2)*DW46*DZ46*VLOOKUP('Données projet'!$B$14,Paramètres!$A$1:$I$89,3,0)*0.475*44/12</f>
        <v>0.14441749579586108</v>
      </c>
      <c r="ED46" s="22">
        <f t="shared" si="18"/>
        <v>7.0997224001945023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173.54063999999997</v>
      </c>
      <c r="P47" s="13">
        <f t="shared" si="33"/>
        <v>43.882055316228445</v>
      </c>
      <c r="Q47" s="20">
        <f t="shared" si="53"/>
        <v>378.6778610090978</v>
      </c>
      <c r="R47" s="59">
        <f t="shared" si="0"/>
        <v>672.01119434243105</v>
      </c>
      <c r="S47" s="59">
        <f ca="1">AVERAGE(OFFSET($R$3,0,0,'Données projet'!$E$9+1,1))-AVERAGE(OFFSET($H$3,0,0,'Données projet'!$E$9+1,1))</f>
        <v>469.68830256438338</v>
      </c>
      <c r="T47" s="59">
        <f t="shared" si="34"/>
        <v>332.61387922152159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1.8253417472486435</v>
      </c>
      <c r="AA47" s="21">
        <f>EXP(-LN(2)/25)*AA46+(1-EXP(-LN(2)/25))/(LN(2)/25)*Calculateur!V47*Calculateur!X47*VLOOKUP('Données projet'!$B$9,Paramètres!$A$1:$I$89,3,0)*0.475*44/12</f>
        <v>7.6531601339688713</v>
      </c>
      <c r="AB47" s="21">
        <f>EXP(-LN(2)/2)*AB46+(1-EXP(-LN(2)/2))/(LN(2)/2)*V47*Y47*VLOOKUP('Données projet'!$B$9,Paramètres!$A$1:$I$89,3,0)*0.475*44/12</f>
        <v>0.16838544354770779</v>
      </c>
      <c r="AC47" s="22">
        <f t="shared" si="3"/>
        <v>9.6468873247652223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206.45351999999994</v>
      </c>
      <c r="AK47" s="13">
        <f t="shared" si="35"/>
        <v>51.159824031352322</v>
      </c>
      <c r="AL47" s="20">
        <f t="shared" si="4"/>
        <v>448.67657418793851</v>
      </c>
      <c r="AM47" s="59">
        <f t="shared" si="5"/>
        <v>742.00990752127177</v>
      </c>
      <c r="AN47" s="59">
        <f ca="1">AVERAGE(OFFSET($AM$3,0,0,'Données projet'!$E$10+1,1))-AVERAGE(OFFSET($H$3,0,0,'Données projet'!$E$10+1,1))</f>
        <v>550.66682372933292</v>
      </c>
      <c r="AO47" s="59">
        <f t="shared" si="36"/>
        <v>387.28615589698444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2.1715272510371793</v>
      </c>
      <c r="AV47" s="21">
        <f>EXP(-LN(2)/25)*AV46+(1-EXP(-LN(2)/25))/(LN(2)/25)*Calculateur!AQ47*Calculateur!AS47*VLOOKUP('Données projet'!$B$10,Paramètres!$A$1:$I$89,3,0)*0.475*44/12</f>
        <v>9.1046215386871108</v>
      </c>
      <c r="AW47" s="21">
        <f>EXP(-LN(2)/2)*AW46+(1-EXP(-LN(2)/2))/(LN(2)/2)*AQ47*AT47*VLOOKUP('Données projet'!$B$10,Paramètres!$A$1:$I$89,3,0)*0.475*44/12</f>
        <v>0.20032061387572123</v>
      </c>
      <c r="AX47" s="21">
        <f t="shared" si="6"/>
        <v>11.476469403600012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253.00000000000006</v>
      </c>
      <c r="BE47" s="13">
        <f>BD47*VLOOKUP('Données projet'!$B$11,Paramètres!$A$1:$I$89,3,0)*VLOOKUP('Données projet'!$B$11,Paramètres!$A$1:$I$89,5,0)</f>
        <v>197.34000000000006</v>
      </c>
      <c r="BF47" s="13">
        <f t="shared" si="37"/>
        <v>49.15912547427002</v>
      </c>
      <c r="BG47" s="20">
        <f t="shared" si="7"/>
        <v>429.3193102010203</v>
      </c>
      <c r="BH47" s="59">
        <f t="shared" si="8"/>
        <v>722.65264353435361</v>
      </c>
      <c r="BI47" s="59">
        <f ca="1">AVERAGE(OFFSET($BH$3,0,0,'Données projet'!$E$11+1,1))-AVERAGE(OFFSET($H$3,0,0,'Données projet'!$E$11+1,1))</f>
        <v>376.33792692771908</v>
      </c>
      <c r="BJ47" s="59">
        <f t="shared" si="38"/>
        <v>367.92889258044698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1.095879435694229</v>
      </c>
      <c r="BQ47" s="21">
        <f>EXP(-LN(2)/25)*BQ46+(1-EXP(-LN(2)/25))/(LN(2)/25)*Calculateur!BL47*Calculateur!BN47*VLOOKUP('Données projet'!$B$11,Paramètres!$A$1:$I$89,3,0)*0.475*44/12</f>
        <v>5.6778792045287272</v>
      </c>
      <c r="BR47" s="21">
        <f>EXP(-LN(2)/2)*BR46+(1-EXP(-LN(2)/2))/(LN(2)/2)*BL47*BO47*VLOOKUP('Données projet'!$B$11,Paramètres!$A$1:$I$89,3,0)*0.475*44/12</f>
        <v>0.10211859059923309</v>
      </c>
      <c r="BS47" s="22">
        <f t="shared" si="9"/>
        <v>6.8758772308221898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134.99615999999997</v>
      </c>
      <c r="CA47" s="13">
        <f t="shared" si="39"/>
        <v>35.148279172043118</v>
      </c>
      <c r="CB47" s="20">
        <f t="shared" si="10"/>
        <v>296.33489822464168</v>
      </c>
      <c r="CC47" s="59">
        <f t="shared" si="11"/>
        <v>589.66823155797499</v>
      </c>
      <c r="CD47" s="59">
        <f ca="1">AVERAGE(OFFSET($CC$3,0,0,'Données projet'!$E$12+1,1))-AVERAGE(OFFSET($H$3,0,0,'Données projet'!$E$12+1,1))</f>
        <v>388.50131600273431</v>
      </c>
      <c r="CE47" s="59">
        <f t="shared" si="40"/>
        <v>247.01165577562955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2.106764582792362</v>
      </c>
      <c r="CM47" s="21">
        <f>EXP(-LN(2)/2)*CM46+(1-EXP(-LN(2)/2))/(LN(2)/2)*CG47*CJ47*VLOOKUP('Données projet'!$B$12,Paramètres!$A$1:$I$89,3,0)*0.475*44/12</f>
        <v>4.8354280112722088E-2</v>
      </c>
      <c r="CN47" s="22">
        <f t="shared" si="12"/>
        <v>2.1551188629050841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8.3000000000000007</v>
      </c>
      <c r="CT47" s="12">
        <f>IF('Données projet'!$A$140&gt;35,CT46+CS47-DB46,IF(A47&lt;'Données projet'!$A$140,$CQ$205^A47,IF(A47='Données projet'!$A$140,'Données projet'!$B$140,CT46+CS47-DB46)))</f>
        <v>149.19999999999999</v>
      </c>
      <c r="CU47" s="17">
        <f>CT47*VLOOKUP('Données projet'!$B$13,Paramètres!$A$1:$I$89,3,0)*VLOOKUP('Données projet'!$B$13,Paramètres!$A$1:$I$89,5,0)</f>
        <v>160.59887999999998</v>
      </c>
      <c r="CV47" s="13">
        <f t="shared" si="41"/>
        <v>40.97756507730324</v>
      </c>
      <c r="CW47" s="20">
        <f t="shared" si="13"/>
        <v>351.07897517630312</v>
      </c>
      <c r="CX47" s="59">
        <f t="shared" si="14"/>
        <v>644.41230850963643</v>
      </c>
      <c r="CY47" s="59">
        <f ca="1">AVERAGE(OFFSET($CX$3,0,0,'Données projet'!$E$13+1,1))-AVERAGE(OFFSET($H$3,0,0,'Données projet'!$E$13+1,1))</f>
        <v>454.43000549907373</v>
      </c>
      <c r="CZ47" s="59">
        <f t="shared" si="42"/>
        <v>285.83623046025156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2.5063233829771199</v>
      </c>
      <c r="DH47" s="21">
        <f>EXP(-LN(2)/2)*DH46+(1-EXP(-LN(2)/2))/(LN(2)/2)*DB47*DE47*VLOOKUP('Données projet'!$B$13,Paramètres!$A$1:$I$89,3,0)*0.475*44/12</f>
        <v>5.7524919444445294E-2</v>
      </c>
      <c r="DI47" s="22">
        <f t="shared" si="15"/>
        <v>2.5638483024215653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</v>
      </c>
      <c r="DO47" s="12">
        <f>IF('Données projet'!$A$166&gt;35,DO46+DN47-DW46,IF(A47&lt;'Données projet'!$A$166,$DL$205^A47,IF(A47='Données projet'!$A$166,'Données projet'!$B$166,DO46+DN47-DW46)))</f>
        <v>253.00000000000006</v>
      </c>
      <c r="DP47" s="17">
        <f>DO47*VLOOKUP('Données projet'!$B$14,Paramètres!$A$1:$I$89,3,0)*VLOOKUP('Données projet'!$B$14,Paramètres!$A$1:$I$89,5,0)</f>
        <v>197.34000000000006</v>
      </c>
      <c r="DQ47" s="13">
        <f t="shared" si="43"/>
        <v>49.15912547427002</v>
      </c>
      <c r="DR47" s="20">
        <f t="shared" si="16"/>
        <v>429.3193102010203</v>
      </c>
      <c r="DS47" s="59">
        <f t="shared" si="17"/>
        <v>722.65264353435361</v>
      </c>
      <c r="DT47" s="59">
        <f ca="1">AVERAGE(OFFSET($DS$3,0,0,'Données projet'!$E$14+1,1))-AVERAGE(OFFSET($H$3,0,0,'Données projet'!$E$14+1,1))</f>
        <v>376.33792692771908</v>
      </c>
      <c r="DU47" s="59">
        <f t="shared" si="44"/>
        <v>367.92889258044698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1.095879435694229</v>
      </c>
      <c r="EB47" s="21">
        <f>EXP(-LN(2)/25)*EB46+(1-EXP(-LN(2)/25))/(LN(2)/25)*Calculateur!DW47*Calculateur!DY47*VLOOKUP('Données projet'!$B$14,Paramètres!$A$1:$I$89,3,0)*0.475*44/12</f>
        <v>5.6778792045287272</v>
      </c>
      <c r="EC47" s="21">
        <f>EXP(-LN(2)/2)*EC46+(1-EXP(-LN(2)/2))/(LN(2)/2)*DW47*DZ47*VLOOKUP('Données projet'!$B$14,Paramètres!$A$1:$I$89,3,0)*0.475*44/12</f>
        <v>0.10211859059923309</v>
      </c>
      <c r="ED47" s="22">
        <f t="shared" si="18"/>
        <v>6.8758772308221898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183.67439999999993</v>
      </c>
      <c r="P48" s="13">
        <f t="shared" si="33"/>
        <v>46.138708549418673</v>
      </c>
      <c r="Q48" s="20">
        <f t="shared" si="53"/>
        <v>400.25783072357075</v>
      </c>
      <c r="R48" s="59">
        <f t="shared" si="0"/>
        <v>693.59116405690406</v>
      </c>
      <c r="S48" s="59">
        <f ca="1">AVERAGE(OFFSET($R$3,0,0,'Données projet'!$E$9+1,1))-AVERAGE(OFFSET($H$3,0,0,'Données projet'!$E$9+1,1))</f>
        <v>469.68830256438338</v>
      </c>
      <c r="T48" s="59">
        <f t="shared" si="34"/>
        <v>332.61387922152159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1.7895479089336295</v>
      </c>
      <c r="AA48" s="21">
        <f>EXP(-LN(2)/25)*AA47+(1-EXP(-LN(2)/25))/(LN(2)/25)*Calculateur!V48*Calculateur!X48*VLOOKUP('Données projet'!$B$9,Paramètres!$A$1:$I$89,3,0)*0.475*44/12</f>
        <v>7.4438840676432925</v>
      </c>
      <c r="AB48" s="21">
        <f>EXP(-LN(2)/2)*AB47+(1-EXP(-LN(2)/2))/(LN(2)/2)*V48*Y48*VLOOKUP('Données projet'!$B$9,Paramètres!$A$1:$I$89,3,0)*0.475*44/12</f>
        <v>0.11906648898568878</v>
      </c>
      <c r="AC48" s="22">
        <f t="shared" si="3"/>
        <v>9.3524984655626113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218.50919999999991</v>
      </c>
      <c r="AK48" s="13">
        <f t="shared" si="35"/>
        <v>53.790739595307201</v>
      </c>
      <c r="AL48" s="20">
        <f t="shared" si="4"/>
        <v>474.25572812849327</v>
      </c>
      <c r="AM48" s="59">
        <f t="shared" si="5"/>
        <v>767.58906146182653</v>
      </c>
      <c r="AN48" s="59">
        <f ca="1">AVERAGE(OFFSET($AM$3,0,0,'Données projet'!$E$10+1,1))-AVERAGE(OFFSET($H$3,0,0,'Données projet'!$E$10+1,1))</f>
        <v>550.66682372933292</v>
      </c>
      <c r="AO48" s="59">
        <f t="shared" si="36"/>
        <v>387.28615589698444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2.1289449261451798</v>
      </c>
      <c r="AV48" s="21">
        <f>EXP(-LN(2)/25)*AV47+(1-EXP(-LN(2)/25))/(LN(2)/25)*Calculateur!AQ48*Calculateur!AS48*VLOOKUP('Données projet'!$B$10,Paramètres!$A$1:$I$89,3,0)*0.475*44/12</f>
        <v>8.855655183920474</v>
      </c>
      <c r="AW48" s="21">
        <f>EXP(-LN(2)/2)*AW47+(1-EXP(-LN(2)/2))/(LN(2)/2)*AQ48*AT48*VLOOKUP('Données projet'!$B$10,Paramètres!$A$1:$I$89,3,0)*0.475*44/12</f>
        <v>0.14164806448297448</v>
      </c>
      <c r="AX48" s="21">
        <f t="shared" si="6"/>
        <v>11.126248174548627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264.00000000000006</v>
      </c>
      <c r="BE48" s="13">
        <f>BD48*VLOOKUP('Données projet'!$B$11,Paramètres!$A$1:$I$89,3,0)*VLOOKUP('Données projet'!$B$11,Paramètres!$A$1:$I$89,5,0)</f>
        <v>205.92000000000004</v>
      </c>
      <c r="BF48" s="13">
        <f t="shared" si="37"/>
        <v>51.042987531485686</v>
      </c>
      <c r="BG48" s="20">
        <f t="shared" si="7"/>
        <v>447.54386995067097</v>
      </c>
      <c r="BH48" s="59">
        <f t="shared" si="8"/>
        <v>740.87720328400428</v>
      </c>
      <c r="BI48" s="59">
        <f ca="1">AVERAGE(OFFSET($BH$3,0,0,'Données projet'!$E$11+1,1))-AVERAGE(OFFSET($H$3,0,0,'Données projet'!$E$11+1,1))</f>
        <v>376.33792692771908</v>
      </c>
      <c r="BJ48" s="59">
        <f t="shared" si="38"/>
        <v>367.92889258044698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1.0743899083807198</v>
      </c>
      <c r="BQ48" s="21">
        <f>EXP(-LN(2)/25)*BQ47+(1-EXP(-LN(2)/25))/(LN(2)/25)*Calculateur!BL48*Calculateur!BN48*VLOOKUP('Données projet'!$B$11,Paramètres!$A$1:$I$89,3,0)*0.475*44/12</f>
        <v>5.5226172990941986</v>
      </c>
      <c r="BR48" s="21">
        <f>EXP(-LN(2)/2)*BR47+(1-EXP(-LN(2)/2))/(LN(2)/2)*BL48*BO48*VLOOKUP('Données projet'!$B$11,Paramètres!$A$1:$I$89,3,0)*0.475*44/12</f>
        <v>7.2208747897930539E-2</v>
      </c>
      <c r="BS48" s="22">
        <f t="shared" si="9"/>
        <v>6.6692159553728496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142.506</v>
      </c>
      <c r="CA48" s="13">
        <f t="shared" si="39"/>
        <v>36.870500776307537</v>
      </c>
      <c r="CB48" s="20">
        <f t="shared" si="10"/>
        <v>312.41407218540223</v>
      </c>
      <c r="CC48" s="59">
        <f t="shared" si="11"/>
        <v>605.7474055187356</v>
      </c>
      <c r="CD48" s="59">
        <f ca="1">AVERAGE(OFFSET($CC$3,0,0,'Données projet'!$E$12+1,1))-AVERAGE(OFFSET($H$3,0,0,'Données projet'!$E$12+1,1))</f>
        <v>388.50131600273431</v>
      </c>
      <c r="CE48" s="59">
        <f t="shared" si="40"/>
        <v>247.01165577562955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2.0491549944859706</v>
      </c>
      <c r="CM48" s="21">
        <f>EXP(-LN(2)/2)*CM47+(1-EXP(-LN(2)/2))/(LN(2)/2)*CG48*CJ48*VLOOKUP('Données projet'!$B$12,Paramètres!$A$1:$I$89,3,0)*0.475*44/12</f>
        <v>3.4191639367099604E-2</v>
      </c>
      <c r="CN48" s="22">
        <f t="shared" si="12"/>
        <v>2.0833466338530702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8.3000000000000007</v>
      </c>
      <c r="CT48" s="12">
        <f>IF('Données projet'!$A$140&gt;35,CT47+CS48-DB47,IF(A48&lt;'Données projet'!$A$140,$CQ$205^A48,IF(A48='Données projet'!$A$140,'Données projet'!$B$140,CT47+CS48-DB47)))</f>
        <v>157.5</v>
      </c>
      <c r="CU48" s="17">
        <f>CT48*VLOOKUP('Données projet'!$B$13,Paramètres!$A$1:$I$89,3,0)*VLOOKUP('Données projet'!$B$13,Paramètres!$A$1:$I$89,5,0)</f>
        <v>169.53300000000002</v>
      </c>
      <c r="CV48" s="13">
        <f t="shared" si="41"/>
        <v>42.985414381129679</v>
      </c>
      <c r="CW48" s="20">
        <f t="shared" si="13"/>
        <v>370.13623838046755</v>
      </c>
      <c r="CX48" s="59">
        <f t="shared" si="14"/>
        <v>663.46957171380086</v>
      </c>
      <c r="CY48" s="59">
        <f ca="1">AVERAGE(OFFSET($CX$3,0,0,'Données projet'!$E$13+1,1))-AVERAGE(OFFSET($H$3,0,0,'Données projet'!$E$13+1,1))</f>
        <v>454.43000549907373</v>
      </c>
      <c r="CZ48" s="59">
        <f t="shared" si="42"/>
        <v>285.83623046025156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2.4377878382677922</v>
      </c>
      <c r="DH48" s="21">
        <f>EXP(-LN(2)/2)*DH47+(1-EXP(-LN(2)/2))/(LN(2)/2)*DB48*DE48*VLOOKUP('Données projet'!$B$13,Paramètres!$A$1:$I$89,3,0)*0.475*44/12</f>
        <v>4.0676260626377157E-2</v>
      </c>
      <c r="DI48" s="22">
        <f t="shared" si="15"/>
        <v>2.4784640988941695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</v>
      </c>
      <c r="DO48" s="12">
        <f>IF('Données projet'!$A$166&gt;35,DO47+DN48-DW47,IF(A48&lt;'Données projet'!$A$166,$DL$205^A48,IF(A48='Données projet'!$A$166,'Données projet'!$B$166,DO47+DN48-DW47)))</f>
        <v>264.00000000000006</v>
      </c>
      <c r="DP48" s="17">
        <f>DO48*VLOOKUP('Données projet'!$B$14,Paramètres!$A$1:$I$89,3,0)*VLOOKUP('Données projet'!$B$14,Paramètres!$A$1:$I$89,5,0)</f>
        <v>205.92000000000004</v>
      </c>
      <c r="DQ48" s="13">
        <f t="shared" si="43"/>
        <v>51.042987531485686</v>
      </c>
      <c r="DR48" s="20">
        <f t="shared" si="16"/>
        <v>447.54386995067097</v>
      </c>
      <c r="DS48" s="59">
        <f t="shared" si="17"/>
        <v>740.87720328400428</v>
      </c>
      <c r="DT48" s="59">
        <f ca="1">AVERAGE(OFFSET($DS$3,0,0,'Données projet'!$E$14+1,1))-AVERAGE(OFFSET($H$3,0,0,'Données projet'!$E$14+1,1))</f>
        <v>376.33792692771908</v>
      </c>
      <c r="DU48" s="59">
        <f t="shared" si="44"/>
        <v>367.92889258044698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1.0743899083807198</v>
      </c>
      <c r="EB48" s="21">
        <f>EXP(-LN(2)/25)*EB47+(1-EXP(-LN(2)/25))/(LN(2)/25)*Calculateur!DW48*Calculateur!DY48*VLOOKUP('Données projet'!$B$14,Paramètres!$A$1:$I$89,3,0)*0.475*44/12</f>
        <v>5.5226172990941986</v>
      </c>
      <c r="EC48" s="21">
        <f>EXP(-LN(2)/2)*EC47+(1-EXP(-LN(2)/2))/(LN(2)/2)*DW48*DZ48*VLOOKUP('Données projet'!$B$14,Paramètres!$A$1:$I$89,3,0)*0.475*44/12</f>
        <v>7.2208747897930539E-2</v>
      </c>
      <c r="ED48" s="22">
        <f t="shared" si="18"/>
        <v>6.6692159553728496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193.80815999999993</v>
      </c>
      <c r="P49" s="13">
        <f t="shared" si="33"/>
        <v>48.380908095574689</v>
      </c>
      <c r="Q49" s="20">
        <f t="shared" si="53"/>
        <v>421.81262693312578</v>
      </c>
      <c r="R49" s="59">
        <f t="shared" si="0"/>
        <v>715.14596026645904</v>
      </c>
      <c r="S49" s="59">
        <f ca="1">AVERAGE(OFFSET($R$3,0,0,'Données projet'!$E$9+1,1))-AVERAGE(OFFSET($H$3,0,0,'Données projet'!$E$9+1,1))</f>
        <v>469.68830256438338</v>
      </c>
      <c r="T49" s="59">
        <f t="shared" si="34"/>
        <v>332.61387922152159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1.7544559659558872</v>
      </c>
      <c r="AA49" s="21">
        <f>EXP(-LN(2)/25)*AA48+(1-EXP(-LN(2)/25))/(LN(2)/25)*Calculateur!V49*Calculateur!X49*VLOOKUP('Données projet'!$B$9,Paramètres!$A$1:$I$89,3,0)*0.475*44/12</f>
        <v>7.2403306663567371</v>
      </c>
      <c r="AB49" s="21">
        <f>EXP(-LN(2)/2)*AB48+(1-EXP(-LN(2)/2))/(LN(2)/2)*V49*Y49*VLOOKUP('Données projet'!$B$9,Paramètres!$A$1:$I$89,3,0)*0.475*44/12</f>
        <v>8.419272177385391E-2</v>
      </c>
      <c r="AC49" s="22">
        <f t="shared" si="3"/>
        <v>9.0789793540864796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230.56487999999993</v>
      </c>
      <c r="AK49" s="13">
        <f t="shared" si="35"/>
        <v>56.404804351341944</v>
      </c>
      <c r="AL49" s="20">
        <f t="shared" si="4"/>
        <v>499.80553357858707</v>
      </c>
      <c r="AM49" s="59">
        <f t="shared" si="5"/>
        <v>793.13886691192033</v>
      </c>
      <c r="AN49" s="59">
        <f ca="1">AVERAGE(OFFSET($AM$3,0,0,'Données projet'!$E$10+1,1))-AVERAGE(OFFSET($H$3,0,0,'Données projet'!$E$10+1,1))</f>
        <v>550.66682372933292</v>
      </c>
      <c r="AO49" s="59">
        <f t="shared" si="36"/>
        <v>387.28615589698444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2.0871976146716587</v>
      </c>
      <c r="AV49" s="21">
        <f>EXP(-LN(2)/25)*AV48+(1-EXP(-LN(2)/25))/(LN(2)/25)*Calculateur!AQ49*Calculateur!AS49*VLOOKUP('Données projet'!$B$10,Paramètres!$A$1:$I$89,3,0)*0.475*44/12</f>
        <v>8.613496827217503</v>
      </c>
      <c r="AW49" s="21">
        <f>EXP(-LN(2)/2)*AW48+(1-EXP(-LN(2)/2))/(LN(2)/2)*AQ49*AT49*VLOOKUP('Données projet'!$B$10,Paramètres!$A$1:$I$89,3,0)*0.475*44/12</f>
        <v>0.10016030693786061</v>
      </c>
      <c r="AX49" s="21">
        <f t="shared" si="6"/>
        <v>10.800854748827023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275.00000000000006</v>
      </c>
      <c r="BE49" s="13">
        <f>BD49*VLOOKUP('Données projet'!$B$11,Paramètres!$A$1:$I$89,3,0)*VLOOKUP('Données projet'!$B$11,Paramètres!$A$1:$I$89,5,0)</f>
        <v>214.50000000000006</v>
      </c>
      <c r="BF49" s="13">
        <f t="shared" si="37"/>
        <v>52.917732192436588</v>
      </c>
      <c r="BG49" s="20">
        <f t="shared" si="7"/>
        <v>465.75255023516047</v>
      </c>
      <c r="BH49" s="59">
        <f t="shared" si="8"/>
        <v>759.08588356849373</v>
      </c>
      <c r="BI49" s="59">
        <f ca="1">AVERAGE(OFFSET($BH$3,0,0,'Données projet'!$E$11+1,1))-AVERAGE(OFFSET($H$3,0,0,'Données projet'!$E$11+1,1))</f>
        <v>376.33792692771908</v>
      </c>
      <c r="BJ49" s="59">
        <f t="shared" si="38"/>
        <v>367.92889258044698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1.0533217775905113</v>
      </c>
      <c r="BQ49" s="21">
        <f>EXP(-LN(2)/25)*BQ48+(1-EXP(-LN(2)/25))/(LN(2)/25)*Calculateur!BL49*Calculateur!BN49*VLOOKUP('Données projet'!$B$11,Paramètres!$A$1:$I$89,3,0)*0.475*44/12</f>
        <v>5.3716010386286461</v>
      </c>
      <c r="BR49" s="21">
        <f>EXP(-LN(2)/2)*BR48+(1-EXP(-LN(2)/2))/(LN(2)/2)*BL49*BO49*VLOOKUP('Données projet'!$B$11,Paramètres!$A$1:$I$89,3,0)*0.475*44/12</f>
        <v>5.1059295299616544E-2</v>
      </c>
      <c r="BS49" s="22">
        <f t="shared" si="9"/>
        <v>6.4759821115187739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150.01584</v>
      </c>
      <c r="CA49" s="13">
        <f t="shared" si="39"/>
        <v>38.582185295570788</v>
      </c>
      <c r="CB49" s="20">
        <f t="shared" si="10"/>
        <v>328.47489405645246</v>
      </c>
      <c r="CC49" s="59">
        <f t="shared" si="11"/>
        <v>621.80822738978577</v>
      </c>
      <c r="CD49" s="59">
        <f ca="1">AVERAGE(OFFSET($CC$3,0,0,'Données projet'!$E$12+1,1))-AVERAGE(OFFSET($H$3,0,0,'Données projet'!$E$12+1,1))</f>
        <v>388.50131600273431</v>
      </c>
      <c r="CE49" s="59">
        <f t="shared" si="40"/>
        <v>247.01165577562955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1.993120743401374</v>
      </c>
      <c r="CM49" s="21">
        <f>EXP(-LN(2)/2)*CM48+(1-EXP(-LN(2)/2))/(LN(2)/2)*CG49*CJ49*VLOOKUP('Données projet'!$B$12,Paramètres!$A$1:$I$89,3,0)*0.475*44/12</f>
        <v>2.4177140056361044E-2</v>
      </c>
      <c r="CN49" s="22">
        <f t="shared" si="12"/>
        <v>2.0172978834577351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8.3000000000000007</v>
      </c>
      <c r="CT49" s="12">
        <f>IF('Données projet'!$A$140&gt;35,CT48+CS49-DB48,IF(A49&lt;'Données projet'!$A$140,$CQ$205^A49,IF(A49='Données projet'!$A$140,'Données projet'!$B$140,CT48+CS49-DB48)))</f>
        <v>165.8</v>
      </c>
      <c r="CU49" s="17">
        <f>CT49*VLOOKUP('Données projet'!$B$13,Paramètres!$A$1:$I$89,3,0)*VLOOKUP('Données projet'!$B$13,Paramètres!$A$1:$I$89,5,0)</f>
        <v>178.46711999999999</v>
      </c>
      <c r="CV49" s="13">
        <f t="shared" si="41"/>
        <v>44.980979041254272</v>
      </c>
      <c r="CW49" s="20">
        <f t="shared" si="13"/>
        <v>389.17210583018453</v>
      </c>
      <c r="CX49" s="59">
        <f t="shared" si="14"/>
        <v>682.50543916351785</v>
      </c>
      <c r="CY49" s="59">
        <f ca="1">AVERAGE(OFFSET($CX$3,0,0,'Données projet'!$E$13+1,1))-AVERAGE(OFFSET($H$3,0,0,'Données projet'!$E$13+1,1))</f>
        <v>454.43000549907373</v>
      </c>
      <c r="CZ49" s="59">
        <f t="shared" si="42"/>
        <v>285.83623046025156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2.3711264016326687</v>
      </c>
      <c r="DH49" s="21">
        <f>EXP(-LN(2)/2)*DH48+(1-EXP(-LN(2)/2))/(LN(2)/2)*DB49*DE49*VLOOKUP('Données projet'!$B$13,Paramètres!$A$1:$I$89,3,0)*0.475*44/12</f>
        <v>2.8762459722222654E-2</v>
      </c>
      <c r="DI49" s="22">
        <f t="shared" si="15"/>
        <v>2.3998888613548912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275.00000000000006</v>
      </c>
      <c r="DP49" s="17">
        <f>DO49*VLOOKUP('Données projet'!$B$14,Paramètres!$A$1:$I$89,3,0)*VLOOKUP('Données projet'!$B$14,Paramètres!$A$1:$I$89,5,0)</f>
        <v>214.50000000000006</v>
      </c>
      <c r="DQ49" s="13">
        <f t="shared" si="43"/>
        <v>52.917732192436588</v>
      </c>
      <c r="DR49" s="20">
        <f t="shared" si="16"/>
        <v>465.75255023516047</v>
      </c>
      <c r="DS49" s="59">
        <f t="shared" si="17"/>
        <v>759.08588356849373</v>
      </c>
      <c r="DT49" s="59">
        <f ca="1">AVERAGE(OFFSET($DS$3,0,0,'Données projet'!$E$14+1,1))-AVERAGE(OFFSET($H$3,0,0,'Données projet'!$E$14+1,1))</f>
        <v>376.33792692771908</v>
      </c>
      <c r="DU49" s="59">
        <f t="shared" si="44"/>
        <v>367.92889258044698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1.0533217775905113</v>
      </c>
      <c r="EB49" s="21">
        <f>EXP(-LN(2)/25)*EB48+(1-EXP(-LN(2)/25))/(LN(2)/25)*Calculateur!DW49*Calculateur!DY49*VLOOKUP('Données projet'!$B$14,Paramètres!$A$1:$I$89,3,0)*0.475*44/12</f>
        <v>5.3716010386286461</v>
      </c>
      <c r="EC49" s="21">
        <f>EXP(-LN(2)/2)*EC48+(1-EXP(-LN(2)/2))/(LN(2)/2)*DW49*DZ49*VLOOKUP('Données projet'!$B$14,Paramètres!$A$1:$I$89,3,0)*0.475*44/12</f>
        <v>5.1059295299616544E-2</v>
      </c>
      <c r="ED49" s="22">
        <f t="shared" si="18"/>
        <v>6.4759821115187739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203.94191999999993</v>
      </c>
      <c r="P50" s="13">
        <f t="shared" si="33"/>
        <v>50.609495896501116</v>
      </c>
      <c r="Q50" s="20">
        <f t="shared" si="53"/>
        <v>443.3437160197393</v>
      </c>
      <c r="R50" s="59">
        <f t="shared" si="0"/>
        <v>736.67704935307256</v>
      </c>
      <c r="S50" s="59">
        <f ca="1">AVERAGE(OFFSET($R$3,0,0,'Données projet'!$E$9+1,1))-AVERAGE(OFFSET($H$3,0,0,'Données projet'!$E$9+1,1))</f>
        <v>469.68830256438338</v>
      </c>
      <c r="T50" s="59">
        <f t="shared" si="34"/>
        <v>332.61387922152159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1.7200521545759666</v>
      </c>
      <c r="AA50" s="21">
        <f>EXP(-LN(2)/25)*AA49+(1-EXP(-LN(2)/25))/(LN(2)/25)*Calculateur!V50*Calculateur!X50*VLOOKUP('Données projet'!$B$9,Paramètres!$A$1:$I$89,3,0)*0.475*44/12</f>
        <v>7.0423434435327703</v>
      </c>
      <c r="AB50" s="21">
        <f>EXP(-LN(2)/2)*AB49+(1-EXP(-LN(2)/2))/(LN(2)/2)*V50*Y50*VLOOKUP('Données projet'!$B$9,Paramètres!$A$1:$I$89,3,0)*0.475*44/12</f>
        <v>5.9533244492844396E-2</v>
      </c>
      <c r="AC50" s="22">
        <f t="shared" si="3"/>
        <v>8.8219288426015812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242.6205599999999</v>
      </c>
      <c r="AK50" s="13">
        <f t="shared" si="35"/>
        <v>59.002999875963368</v>
      </c>
      <c r="AL50" s="20">
        <f t="shared" si="4"/>
        <v>525.3277001173027</v>
      </c>
      <c r="AM50" s="59">
        <f t="shared" si="5"/>
        <v>818.66103345063607</v>
      </c>
      <c r="AN50" s="59">
        <f ca="1">AVERAGE(OFFSET($AM$3,0,0,'Données projet'!$E$10+1,1))-AVERAGE(OFFSET($H$3,0,0,'Données projet'!$E$10+1,1))</f>
        <v>550.66682372933292</v>
      </c>
      <c r="AO50" s="59">
        <f t="shared" si="36"/>
        <v>387.28615589698444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2.0462689425127878</v>
      </c>
      <c r="AV50" s="21">
        <f>EXP(-LN(2)/25)*AV49+(1-EXP(-LN(2)/25))/(LN(2)/25)*Calculateur!AQ50*Calculateur!AS50*VLOOKUP('Données projet'!$B$10,Paramètres!$A$1:$I$89,3,0)*0.475*44/12</f>
        <v>8.3779603035131291</v>
      </c>
      <c r="AW50" s="21">
        <f>EXP(-LN(2)/2)*AW49+(1-EXP(-LN(2)/2))/(LN(2)/2)*AQ50*AT50*VLOOKUP('Données projet'!$B$10,Paramètres!$A$1:$I$89,3,0)*0.475*44/12</f>
        <v>7.0824032241487242E-2</v>
      </c>
      <c r="AX50" s="21">
        <f t="shared" si="6"/>
        <v>10.495053278267404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286.00000000000006</v>
      </c>
      <c r="BE50" s="13">
        <f>BD50*VLOOKUP('Données projet'!$B$11,Paramètres!$A$1:$I$89,3,0)*VLOOKUP('Données projet'!$B$11,Paramètres!$A$1:$I$89,5,0)</f>
        <v>223.08000000000004</v>
      </c>
      <c r="BF50" s="13">
        <f t="shared" si="37"/>
        <v>54.783765878062667</v>
      </c>
      <c r="BG50" s="20">
        <f t="shared" si="7"/>
        <v>483.94605890429256</v>
      </c>
      <c r="BH50" s="59">
        <f t="shared" si="8"/>
        <v>777.27939223762587</v>
      </c>
      <c r="BI50" s="59">
        <f ca="1">AVERAGE(OFFSET($BH$3,0,0,'Données projet'!$E$11+1,1))-AVERAGE(OFFSET($H$3,0,0,'Données projet'!$E$11+1,1))</f>
        <v>376.33792692771908</v>
      </c>
      <c r="BJ50" s="59">
        <f t="shared" si="38"/>
        <v>367.92889258044698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1.0326667799948077</v>
      </c>
      <c r="BQ50" s="21">
        <f>EXP(-LN(2)/25)*BQ49+(1-EXP(-LN(2)/25))/(LN(2)/25)*Calculateur!BL50*Calculateur!BN50*VLOOKUP('Données projet'!$B$11,Paramètres!$A$1:$I$89,3,0)*0.475*44/12</f>
        <v>5.224714325747124</v>
      </c>
      <c r="BR50" s="21">
        <f>EXP(-LN(2)/2)*BR49+(1-EXP(-LN(2)/2))/(LN(2)/2)*BL50*BO50*VLOOKUP('Données projet'!$B$11,Paramètres!$A$1:$I$89,3,0)*0.475*44/12</f>
        <v>3.610437394896527E-2</v>
      </c>
      <c r="BS50" s="22">
        <f t="shared" si="9"/>
        <v>6.2934854796908963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157.52568000000002</v>
      </c>
      <c r="CA50" s="13">
        <f t="shared" si="39"/>
        <v>40.283920409774808</v>
      </c>
      <c r="CB50" s="20">
        <f t="shared" si="10"/>
        <v>344.51838738035781</v>
      </c>
      <c r="CC50" s="59">
        <f t="shared" si="11"/>
        <v>637.85172071369107</v>
      </c>
      <c r="CD50" s="59">
        <f ca="1">AVERAGE(OFFSET($CC$3,0,0,'Données projet'!$E$12+1,1))-AVERAGE(OFFSET($H$3,0,0,'Données projet'!$E$12+1,1))</f>
        <v>388.50131600273431</v>
      </c>
      <c r="CE50" s="59">
        <f t="shared" si="40"/>
        <v>247.01165577562955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1.9386187518593989</v>
      </c>
      <c r="CM50" s="21">
        <f>EXP(-LN(2)/2)*CM49+(1-EXP(-LN(2)/2))/(LN(2)/2)*CG50*CJ50*VLOOKUP('Données projet'!$B$12,Paramètres!$A$1:$I$89,3,0)*0.475*44/12</f>
        <v>1.7095819683549802E-2</v>
      </c>
      <c r="CN50" s="22">
        <f t="shared" si="12"/>
        <v>1.9557145715429487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8.3000000000000007</v>
      </c>
      <c r="CT50" s="12">
        <f>IF('Données projet'!$A$140&gt;35,CT49+CS50-DB49,IF(A50&lt;'Données projet'!$A$140,$CQ$205^A50,IF(A50='Données projet'!$A$140,'Données projet'!$B$140,CT49+CS50-DB49)))</f>
        <v>174.10000000000002</v>
      </c>
      <c r="CU50" s="17">
        <f>CT50*VLOOKUP('Données projet'!$B$13,Paramètres!$A$1:$I$89,3,0)*VLOOKUP('Données projet'!$B$13,Paramètres!$A$1:$I$89,5,0)</f>
        <v>187.40124</v>
      </c>
      <c r="CV50" s="13">
        <f t="shared" si="41"/>
        <v>46.964944203397764</v>
      </c>
      <c r="CW50" s="20">
        <f t="shared" si="13"/>
        <v>408.18777082091782</v>
      </c>
      <c r="CX50" s="59">
        <f t="shared" si="14"/>
        <v>701.52110415425113</v>
      </c>
      <c r="CY50" s="59">
        <f ca="1">AVERAGE(OFFSET($CX$3,0,0,'Données projet'!$E$13+1,1))-AVERAGE(OFFSET($H$3,0,0,'Données projet'!$E$13+1,1))</f>
        <v>454.43000549907373</v>
      </c>
      <c r="CZ50" s="59">
        <f t="shared" si="42"/>
        <v>285.83623046025156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2.3062878254879053</v>
      </c>
      <c r="DH50" s="21">
        <f>EXP(-LN(2)/2)*DH49+(1-EXP(-LN(2)/2))/(LN(2)/2)*DB50*DE50*VLOOKUP('Données projet'!$B$13,Paramètres!$A$1:$I$89,3,0)*0.475*44/12</f>
        <v>2.0338130313188582E-2</v>
      </c>
      <c r="DI50" s="22">
        <f t="shared" si="15"/>
        <v>2.3266259558010938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286.00000000000006</v>
      </c>
      <c r="DP50" s="17">
        <f>DO50*VLOOKUP('Données projet'!$B$14,Paramètres!$A$1:$I$89,3,0)*VLOOKUP('Données projet'!$B$14,Paramètres!$A$1:$I$89,5,0)</f>
        <v>223.08000000000004</v>
      </c>
      <c r="DQ50" s="13">
        <f t="shared" si="43"/>
        <v>54.783765878062667</v>
      </c>
      <c r="DR50" s="20">
        <f t="shared" si="16"/>
        <v>483.94605890429256</v>
      </c>
      <c r="DS50" s="59">
        <f t="shared" si="17"/>
        <v>777.27939223762587</v>
      </c>
      <c r="DT50" s="59">
        <f ca="1">AVERAGE(OFFSET($DS$3,0,0,'Données projet'!$E$14+1,1))-AVERAGE(OFFSET($H$3,0,0,'Données projet'!$E$14+1,1))</f>
        <v>376.33792692771908</v>
      </c>
      <c r="DU50" s="59">
        <f t="shared" si="44"/>
        <v>367.92889258044698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1.0326667799948077</v>
      </c>
      <c r="EB50" s="21">
        <f>EXP(-LN(2)/25)*EB49+(1-EXP(-LN(2)/25))/(LN(2)/25)*Calculateur!DW50*Calculateur!DY50*VLOOKUP('Données projet'!$B$14,Paramètres!$A$1:$I$89,3,0)*0.475*44/12</f>
        <v>5.224714325747124</v>
      </c>
      <c r="EC50" s="21">
        <f>EXP(-LN(2)/2)*EC49+(1-EXP(-LN(2)/2))/(LN(2)/2)*DW50*DZ50*VLOOKUP('Données projet'!$B$14,Paramètres!$A$1:$I$89,3,0)*0.475*44/12</f>
        <v>3.610437394896527E-2</v>
      </c>
      <c r="ED50" s="22">
        <f t="shared" si="18"/>
        <v>6.2934854796908963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214.07567999999992</v>
      </c>
      <c r="P51" s="13">
        <f t="shared" si="33"/>
        <v>52.825225496078176</v>
      </c>
      <c r="Q51" s="20">
        <f t="shared" si="53"/>
        <v>464.85241040566939</v>
      </c>
      <c r="R51" s="59">
        <f t="shared" si="0"/>
        <v>758.18574373900265</v>
      </c>
      <c r="S51" s="59">
        <f ca="1">AVERAGE(OFFSET($R$3,0,0,'Données projet'!$E$9+1,1))-AVERAGE(OFFSET($H$3,0,0,'Données projet'!$E$9+1,1))</f>
        <v>469.68830256438338</v>
      </c>
      <c r="T51" s="59">
        <f t="shared" si="34"/>
        <v>332.61387922152159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1.6863229809529534</v>
      </c>
      <c r="AA51" s="21">
        <f>EXP(-LN(2)/25)*AA50+(1-EXP(-LN(2)/25))/(LN(2)/25)*Calculateur!V51*Calculateur!X51*VLOOKUP('Données projet'!$B$9,Paramètres!$A$1:$I$89,3,0)*0.475*44/12</f>
        <v>6.8497701917286209</v>
      </c>
      <c r="AB51" s="21">
        <f>EXP(-LN(2)/2)*AB50+(1-EXP(-LN(2)/2))/(LN(2)/2)*V51*Y51*VLOOKUP('Données projet'!$B$9,Paramètres!$A$1:$I$89,3,0)*0.475*44/12</f>
        <v>4.2096360886926962E-2</v>
      </c>
      <c r="AC51" s="22">
        <f t="shared" si="3"/>
        <v>8.5781895335685014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254.67623999999989</v>
      </c>
      <c r="AK51" s="13">
        <f t="shared" si="35"/>
        <v>61.58620468709951</v>
      </c>
      <c r="AL51" s="20">
        <f t="shared" si="4"/>
        <v>550.82375783003147</v>
      </c>
      <c r="AM51" s="59">
        <f t="shared" si="5"/>
        <v>844.15709116336484</v>
      </c>
      <c r="AN51" s="59">
        <f ca="1">AVERAGE(OFFSET($AM$3,0,0,'Données projet'!$E$10+1,1))-AVERAGE(OFFSET($H$3,0,0,'Données projet'!$E$10+1,1))</f>
        <v>550.66682372933292</v>
      </c>
      <c r="AO51" s="59">
        <f t="shared" si="36"/>
        <v>387.28615589698444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2.0061428566509272</v>
      </c>
      <c r="AV51" s="21">
        <f>EXP(-LN(2)/25)*AV50+(1-EXP(-LN(2)/25))/(LN(2)/25)*Calculateur!AQ51*Calculateur!AS51*VLOOKUP('Données projet'!$B$10,Paramètres!$A$1:$I$89,3,0)*0.475*44/12</f>
        <v>8.1488645384357792</v>
      </c>
      <c r="AW51" s="21">
        <f>EXP(-LN(2)/2)*AW50+(1-EXP(-LN(2)/2))/(LN(2)/2)*AQ51*AT51*VLOOKUP('Données projet'!$B$10,Paramètres!$A$1:$I$89,3,0)*0.475*44/12</f>
        <v>5.0080153468930307E-2</v>
      </c>
      <c r="AX51" s="21">
        <f t="shared" si="6"/>
        <v>10.205087548555635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297.00000000000006</v>
      </c>
      <c r="BE51" s="13">
        <f>BD51*VLOOKUP('Données projet'!$B$11,Paramètres!$A$1:$I$89,3,0)*VLOOKUP('Données projet'!$B$11,Paramètres!$A$1:$I$89,5,0)</f>
        <v>231.66000000000005</v>
      </c>
      <c r="BF51" s="13">
        <f t="shared" si="37"/>
        <v>56.641461975682823</v>
      </c>
      <c r="BG51" s="20">
        <f t="shared" si="7"/>
        <v>502.12504627431434</v>
      </c>
      <c r="BH51" s="59">
        <f t="shared" si="8"/>
        <v>795.45837960764766</v>
      </c>
      <c r="BI51" s="59">
        <f ca="1">AVERAGE(OFFSET($BH$3,0,0,'Données projet'!$E$11+1,1))-AVERAGE(OFFSET($H$3,0,0,'Données projet'!$E$11+1,1))</f>
        <v>376.33792692771908</v>
      </c>
      <c r="BJ51" s="59">
        <f t="shared" si="38"/>
        <v>367.92889258044698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1.0124168143036514</v>
      </c>
      <c r="BQ51" s="21">
        <f>EXP(-LN(2)/25)*BQ50+(1-EXP(-LN(2)/25))/(LN(2)/25)*Calculateur!BL51*Calculateur!BN51*VLOOKUP('Données projet'!$B$11,Paramètres!$A$1:$I$89,3,0)*0.475*44/12</f>
        <v>5.081844237753784</v>
      </c>
      <c r="BR51" s="21">
        <f>EXP(-LN(2)/2)*BR50+(1-EXP(-LN(2)/2))/(LN(2)/2)*BL51*BO51*VLOOKUP('Données projet'!$B$11,Paramètres!$A$1:$I$89,3,0)*0.475*44/12</f>
        <v>2.5529647649808272E-2</v>
      </c>
      <c r="BS51" s="22">
        <f t="shared" si="9"/>
        <v>6.1197906997072433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165.03552000000002</v>
      </c>
      <c r="CA51" s="13">
        <f t="shared" si="39"/>
        <v>41.976234598846517</v>
      </c>
      <c r="CB51" s="20">
        <f t="shared" si="10"/>
        <v>360.54547259299108</v>
      </c>
      <c r="CC51" s="59">
        <f t="shared" si="11"/>
        <v>653.87880592632439</v>
      </c>
      <c r="CD51" s="59">
        <f ca="1">AVERAGE(OFFSET($CC$3,0,0,'Données projet'!$E$12+1,1))-AVERAGE(OFFSET($H$3,0,0,'Données projet'!$E$12+1,1))</f>
        <v>388.50131600273431</v>
      </c>
      <c r="CE51" s="59">
        <f t="shared" si="40"/>
        <v>247.01165577562955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1.8856071201422742</v>
      </c>
      <c r="CM51" s="21">
        <f>EXP(-LN(2)/2)*CM50+(1-EXP(-LN(2)/2))/(LN(2)/2)*CG51*CJ51*VLOOKUP('Données projet'!$B$12,Paramètres!$A$1:$I$89,3,0)*0.475*44/12</f>
        <v>1.2088570028180522E-2</v>
      </c>
      <c r="CN51" s="22">
        <f t="shared" si="12"/>
        <v>1.8976956901704547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8.3000000000000007</v>
      </c>
      <c r="CT51" s="12">
        <f>IF('Données projet'!$A$140&gt;35,CT50+CS51-DB50,IF(A51&lt;'Données projet'!$A$140,$CQ$205^A51,IF(A51='Données projet'!$A$140,'Données projet'!$B$140,CT50+CS51-DB50)))</f>
        <v>182.40000000000003</v>
      </c>
      <c r="CU51" s="17">
        <f>CT51*VLOOKUP('Données projet'!$B$13,Paramètres!$A$1:$I$89,3,0)*VLOOKUP('Données projet'!$B$13,Paramètres!$A$1:$I$89,5,0)</f>
        <v>196.33536000000001</v>
      </c>
      <c r="CV51" s="13">
        <f t="shared" si="41"/>
        <v>48.937925995037986</v>
      </c>
      <c r="CW51" s="20">
        <f t="shared" si="13"/>
        <v>427.18430644135782</v>
      </c>
      <c r="CX51" s="59">
        <f t="shared" si="14"/>
        <v>720.51763977469113</v>
      </c>
      <c r="CY51" s="59">
        <f ca="1">AVERAGE(OFFSET($CX$3,0,0,'Données projet'!$E$13+1,1))-AVERAGE(OFFSET($H$3,0,0,'Données projet'!$E$13+1,1))</f>
        <v>454.43000549907373</v>
      </c>
      <c r="CZ51" s="59">
        <f t="shared" si="42"/>
        <v>285.83623046025156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2.243222263617533</v>
      </c>
      <c r="DH51" s="21">
        <f>EXP(-LN(2)/2)*DH50+(1-EXP(-LN(2)/2))/(LN(2)/2)*DB51*DE51*VLOOKUP('Données projet'!$B$13,Paramètres!$A$1:$I$89,3,0)*0.475*44/12</f>
        <v>1.4381229861111329E-2</v>
      </c>
      <c r="DI51" s="22">
        <f t="shared" si="15"/>
        <v>2.2576034934786442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297.00000000000006</v>
      </c>
      <c r="DP51" s="17">
        <f>DO51*VLOOKUP('Données projet'!$B$14,Paramètres!$A$1:$I$89,3,0)*VLOOKUP('Données projet'!$B$14,Paramètres!$A$1:$I$89,5,0)</f>
        <v>231.66000000000005</v>
      </c>
      <c r="DQ51" s="13">
        <f t="shared" si="43"/>
        <v>56.641461975682823</v>
      </c>
      <c r="DR51" s="20">
        <f t="shared" si="16"/>
        <v>502.12504627431434</v>
      </c>
      <c r="DS51" s="59">
        <f t="shared" si="17"/>
        <v>795.45837960764766</v>
      </c>
      <c r="DT51" s="59">
        <f ca="1">AVERAGE(OFFSET($DS$3,0,0,'Données projet'!$E$14+1,1))-AVERAGE(OFFSET($H$3,0,0,'Données projet'!$E$14+1,1))</f>
        <v>376.33792692771908</v>
      </c>
      <c r="DU51" s="59">
        <f t="shared" si="44"/>
        <v>367.92889258044698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1.0124168143036514</v>
      </c>
      <c r="EB51" s="21">
        <f>EXP(-LN(2)/25)*EB50+(1-EXP(-LN(2)/25))/(LN(2)/25)*Calculateur!DW51*Calculateur!DY51*VLOOKUP('Données projet'!$B$14,Paramètres!$A$1:$I$89,3,0)*0.475*44/12</f>
        <v>5.081844237753784</v>
      </c>
      <c r="EC51" s="21">
        <f>EXP(-LN(2)/2)*EC50+(1-EXP(-LN(2)/2))/(LN(2)/2)*DW51*DZ51*VLOOKUP('Données projet'!$B$14,Paramètres!$A$1:$I$89,3,0)*0.475*44/12</f>
        <v>2.5529647649808272E-2</v>
      </c>
      <c r="ED51" s="22">
        <f t="shared" si="18"/>
        <v>6.1197906997072433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224.20943999999992</v>
      </c>
      <c r="P52" s="13">
        <f t="shared" si="33"/>
        <v>55.028775065392324</v>
      </c>
      <c r="Q52" s="20">
        <f t="shared" si="53"/>
        <v>486.33989123889143</v>
      </c>
      <c r="R52" s="59">
        <f t="shared" si="0"/>
        <v>779.67322457222474</v>
      </c>
      <c r="S52" s="59">
        <f ca="1">AVERAGE(OFFSET($R$3,0,0,'Données projet'!$E$9+1,1))-AVERAGE(OFFSET($H$3,0,0,'Données projet'!$E$9+1,1))</f>
        <v>469.68830256438338</v>
      </c>
      <c r="T52" s="59">
        <f t="shared" si="34"/>
        <v>332.61387922152159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1.6532552158519229</v>
      </c>
      <c r="AA52" s="21">
        <f>EXP(-LN(2)/25)*AA51+(1-EXP(-LN(2)/25))/(LN(2)/25)*Calculateur!V52*Calculateur!X52*VLOOKUP('Données projet'!$B$9,Paramètres!$A$1:$I$89,3,0)*0.475*44/12</f>
        <v>6.662462865622043</v>
      </c>
      <c r="AB52" s="21">
        <f>EXP(-LN(2)/2)*AB51+(1-EXP(-LN(2)/2))/(LN(2)/2)*V52*Y52*VLOOKUP('Données projet'!$B$9,Paramètres!$A$1:$I$89,3,0)*0.475*44/12</f>
        <v>2.9766622246422202E-2</v>
      </c>
      <c r="AC52" s="22">
        <f t="shared" si="3"/>
        <v>8.3454847037203876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266.73191999999989</v>
      </c>
      <c r="AK52" s="13">
        <f t="shared" si="35"/>
        <v>64.155209429427074</v>
      </c>
      <c r="AL52" s="20">
        <f t="shared" si="4"/>
        <v>576.29508375625198</v>
      </c>
      <c r="AM52" s="59">
        <f t="shared" si="5"/>
        <v>869.62841708958535</v>
      </c>
      <c r="AN52" s="59">
        <f ca="1">AVERAGE(OFFSET($AM$3,0,0,'Données projet'!$E$10+1,1))-AVERAGE(OFFSET($H$3,0,0,'Données projet'!$E$10+1,1))</f>
        <v>550.66682372933292</v>
      </c>
      <c r="AO52" s="59">
        <f t="shared" si="36"/>
        <v>387.28615589698444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1.966803618858322</v>
      </c>
      <c r="AV52" s="21">
        <f>EXP(-LN(2)/25)*AV51+(1-EXP(-LN(2)/25))/(LN(2)/25)*Calculateur!AQ52*Calculateur!AS52*VLOOKUP('Données projet'!$B$10,Paramètres!$A$1:$I$89,3,0)*0.475*44/12</f>
        <v>7.9260334091020912</v>
      </c>
      <c r="AW52" s="21">
        <f>EXP(-LN(2)/2)*AW51+(1-EXP(-LN(2)/2))/(LN(2)/2)*AQ52*AT52*VLOOKUP('Données projet'!$B$10,Paramètres!$A$1:$I$89,3,0)*0.475*44/12</f>
        <v>3.5412016120743621E-2</v>
      </c>
      <c r="AX52" s="21">
        <f t="shared" si="6"/>
        <v>9.9282490440811557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308.00000000000006</v>
      </c>
      <c r="BE52" s="13">
        <f>BD52*VLOOKUP('Données projet'!$B$11,Paramètres!$A$1:$I$89,3,0)*VLOOKUP('Données projet'!$B$11,Paramètres!$A$1:$I$89,5,0)</f>
        <v>240.24000000000007</v>
      </c>
      <c r="BF52" s="13">
        <f t="shared" si="37"/>
        <v>58.491164647183133</v>
      </c>
      <c r="BG52" s="20">
        <f t="shared" si="7"/>
        <v>520.29011176051074</v>
      </c>
      <c r="BH52" s="59">
        <f t="shared" si="8"/>
        <v>813.62344509384411</v>
      </c>
      <c r="BI52" s="59">
        <f ca="1">AVERAGE(OFFSET($BH$3,0,0,'Données projet'!$E$11+1,1))-AVERAGE(OFFSET($H$3,0,0,'Données projet'!$E$11+1,1))</f>
        <v>376.33792692771908</v>
      </c>
      <c r="BJ52" s="59">
        <f t="shared" si="38"/>
        <v>367.92889258044698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0.99256393808843912</v>
      </c>
      <c r="BQ52" s="21">
        <f>EXP(-LN(2)/25)*BQ51+(1-EXP(-LN(2)/25))/(LN(2)/25)*Calculateur!BL52*Calculateur!BN52*VLOOKUP('Données projet'!$B$11,Paramètres!$A$1:$I$89,3,0)*0.475*44/12</f>
        <v>4.9428809398298332</v>
      </c>
      <c r="BR52" s="21">
        <f>EXP(-LN(2)/2)*BR51+(1-EXP(-LN(2)/2))/(LN(2)/2)*BL52*BO52*VLOOKUP('Données projet'!$B$11,Paramètres!$A$1:$I$89,3,0)*0.475*44/12</f>
        <v>1.8052186974482635E-2</v>
      </c>
      <c r="BS52" s="22">
        <f t="shared" si="9"/>
        <v>5.9534970648927557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172.54536000000004</v>
      </c>
      <c r="CA52" s="13">
        <f t="shared" si="39"/>
        <v>43.65960552772448</v>
      </c>
      <c r="CB52" s="20">
        <f t="shared" si="10"/>
        <v>376.55698162745358</v>
      </c>
      <c r="CC52" s="59">
        <f t="shared" si="11"/>
        <v>669.8903149607869</v>
      </c>
      <c r="CD52" s="59">
        <f ca="1">AVERAGE(OFFSET($CC$3,0,0,'Données projet'!$E$12+1,1))-AVERAGE(OFFSET($H$3,0,0,'Données projet'!$E$12+1,1))</f>
        <v>388.50131600273431</v>
      </c>
      <c r="CE52" s="59">
        <f t="shared" si="40"/>
        <v>247.01165577562955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1.8340450942822148</v>
      </c>
      <c r="CM52" s="21">
        <f>EXP(-LN(2)/2)*CM51+(1-EXP(-LN(2)/2))/(LN(2)/2)*CG52*CJ52*VLOOKUP('Données projet'!$B$12,Paramètres!$A$1:$I$89,3,0)*0.475*44/12</f>
        <v>8.5479098417749009E-3</v>
      </c>
      <c r="CN52" s="22">
        <f t="shared" si="12"/>
        <v>1.8425930041239897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8.3000000000000007</v>
      </c>
      <c r="CT52" s="12">
        <f>IF('Données projet'!$A$140&gt;35,CT51+CS52-DB51,IF(A52&lt;'Données projet'!$A$140,$CQ$205^A52,IF(A52='Données projet'!$A$140,'Données projet'!$B$140,CT51+CS52-DB51)))</f>
        <v>190.70000000000005</v>
      </c>
      <c r="CU52" s="17">
        <f>CT52*VLOOKUP('Données projet'!$B$13,Paramètres!$A$1:$I$89,3,0)*VLOOKUP('Données projet'!$B$13,Paramètres!$A$1:$I$89,5,0)</f>
        <v>205.26948000000004</v>
      </c>
      <c r="CV52" s="13">
        <f t="shared" si="41"/>
        <v>50.900481301079985</v>
      </c>
      <c r="CW52" s="20">
        <f t="shared" si="13"/>
        <v>446.16268259938101</v>
      </c>
      <c r="CX52" s="59">
        <f t="shared" si="14"/>
        <v>739.49601593271427</v>
      </c>
      <c r="CY52" s="59">
        <f ca="1">AVERAGE(OFFSET($CX$3,0,0,'Données projet'!$E$13+1,1))-AVERAGE(OFFSET($H$3,0,0,'Données projet'!$E$13+1,1))</f>
        <v>454.43000549907373</v>
      </c>
      <c r="CZ52" s="59">
        <f t="shared" si="42"/>
        <v>285.83623046025156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2.1818812328529797</v>
      </c>
      <c r="DH52" s="21">
        <f>EXP(-LN(2)/2)*DH51+(1-EXP(-LN(2)/2))/(LN(2)/2)*DB52*DE52*VLOOKUP('Données projet'!$B$13,Paramètres!$A$1:$I$89,3,0)*0.475*44/12</f>
        <v>1.0169065156594293E-2</v>
      </c>
      <c r="DI52" s="22">
        <f t="shared" si="15"/>
        <v>2.192050298009574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308.00000000000006</v>
      </c>
      <c r="DP52" s="17">
        <f>DO52*VLOOKUP('Données projet'!$B$14,Paramètres!$A$1:$I$89,3,0)*VLOOKUP('Données projet'!$B$14,Paramètres!$A$1:$I$89,5,0)</f>
        <v>240.24000000000007</v>
      </c>
      <c r="DQ52" s="13">
        <f t="shared" si="43"/>
        <v>58.491164647183133</v>
      </c>
      <c r="DR52" s="20">
        <f t="shared" si="16"/>
        <v>520.29011176051074</v>
      </c>
      <c r="DS52" s="59">
        <f t="shared" si="17"/>
        <v>813.62344509384411</v>
      </c>
      <c r="DT52" s="59">
        <f ca="1">AVERAGE(OFFSET($DS$3,0,0,'Données projet'!$E$14+1,1))-AVERAGE(OFFSET($H$3,0,0,'Données projet'!$E$14+1,1))</f>
        <v>376.33792692771908</v>
      </c>
      <c r="DU52" s="59">
        <f t="shared" si="44"/>
        <v>367.92889258044698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0.99256393808843912</v>
      </c>
      <c r="EB52" s="21">
        <f>EXP(-LN(2)/25)*EB51+(1-EXP(-LN(2)/25))/(LN(2)/25)*Calculateur!DW52*Calculateur!DY52*VLOOKUP('Données projet'!$B$14,Paramètres!$A$1:$I$89,3,0)*0.475*44/12</f>
        <v>4.9428809398298332</v>
      </c>
      <c r="EC52" s="21">
        <f>EXP(-LN(2)/2)*EC51+(1-EXP(-LN(2)/2))/(LN(2)/2)*DW52*DZ52*VLOOKUP('Données projet'!$B$14,Paramètres!$A$1:$I$89,3,0)*0.475*44/12</f>
        <v>1.8052186974482635E-2</v>
      </c>
      <c r="ED52" s="22">
        <f t="shared" si="18"/>
        <v>5.9534970648927557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234.34319999999988</v>
      </c>
      <c r="P53" s="13">
        <f t="shared" si="33"/>
        <v>57.220758006491614</v>
      </c>
      <c r="Q53" s="20">
        <f t="shared" si="53"/>
        <v>507.80722686130594</v>
      </c>
      <c r="R53" s="59">
        <f t="shared" si="0"/>
        <v>801.14056019463919</v>
      </c>
      <c r="S53" s="59">
        <f ca="1">AVERAGE(OFFSET($R$3,0,0,'Données projet'!$E$9+1,1))-AVERAGE(OFFSET($H$3,0,0,'Données projet'!$E$9+1,1))</f>
        <v>469.68830256438338</v>
      </c>
      <c r="T53" s="59">
        <f t="shared" si="34"/>
        <v>332.61387922152159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1.6208358894551784</v>
      </c>
      <c r="AA53" s="21">
        <f>EXP(-LN(2)/25)*AA52+(1-EXP(-LN(2)/25))/(LN(2)/25)*Calculateur!V53*Calculateur!X53*VLOOKUP('Données projet'!$B$9,Paramètres!$A$1:$I$89,3,0)*0.475*44/12</f>
        <v>6.4802774681979134</v>
      </c>
      <c r="AB53" s="21">
        <f>EXP(-LN(2)/2)*AB52+(1-EXP(-LN(2)/2))/(LN(2)/2)*V53*Y53*VLOOKUP('Données projet'!$B$9,Paramètres!$A$1:$I$89,3,0)*0.475*44/12</f>
        <v>2.1048180443463484E-2</v>
      </c>
      <c r="AC53" s="22">
        <f t="shared" si="3"/>
        <v>8.1221615380965542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278.78759999999983</v>
      </c>
      <c r="AK53" s="13">
        <f t="shared" si="35"/>
        <v>66.710729236743248</v>
      </c>
      <c r="AL53" s="20">
        <f t="shared" si="4"/>
        <v>601.74292342066076</v>
      </c>
      <c r="AM53" s="59">
        <f t="shared" si="5"/>
        <v>895.07625675399413</v>
      </c>
      <c r="AN53" s="59">
        <f ca="1">AVERAGE(OFFSET($AM$3,0,0,'Données projet'!$E$10+1,1))-AVERAGE(OFFSET($H$3,0,0,'Données projet'!$E$10+1,1))</f>
        <v>550.66682372933292</v>
      </c>
      <c r="AO53" s="59">
        <f t="shared" si="36"/>
        <v>387.28615589698444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1.928235799524264</v>
      </c>
      <c r="AV53" s="21">
        <f>EXP(-LN(2)/25)*AV52+(1-EXP(-LN(2)/25))/(LN(2)/25)*Calculateur!AQ53*Calculateur!AS53*VLOOKUP('Données projet'!$B$10,Paramètres!$A$1:$I$89,3,0)*0.475*44/12</f>
        <v>7.7092956087182127</v>
      </c>
      <c r="AW53" s="21">
        <f>EXP(-LN(2)/2)*AW52+(1-EXP(-LN(2)/2))/(LN(2)/2)*AQ53*AT53*VLOOKUP('Données projet'!$B$10,Paramètres!$A$1:$I$89,3,0)*0.475*44/12</f>
        <v>2.5040076734465153E-2</v>
      </c>
      <c r="AX53" s="21">
        <f t="shared" si="6"/>
        <v>9.662571484976942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319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319.00000000000006</v>
      </c>
      <c r="BE53" s="13">
        <f>BD53*VLOOKUP('Données projet'!$B$11,Paramètres!$A$1:$I$89,3,0)*VLOOKUP('Données projet'!$B$11,Paramètres!$A$1:$I$89,5,0)</f>
        <v>248.82000000000005</v>
      </c>
      <c r="BF53" s="13">
        <f t="shared" si="37"/>
        <v>60.333192077890068</v>
      </c>
      <c r="BG53" s="20">
        <f t="shared" si="7"/>
        <v>538.44180953565865</v>
      </c>
      <c r="BH53" s="59">
        <f t="shared" si="8"/>
        <v>831.77514286899191</v>
      </c>
      <c r="BI53" s="59">
        <f ca="1">AVERAGE(OFFSET($BH$3,0,0,'Données projet'!$E$11+1,1))-AVERAGE(OFFSET($H$3,0,0,'Données projet'!$E$11+1,1))</f>
        <v>376.33792692771908</v>
      </c>
      <c r="BJ53" s="59">
        <f t="shared" si="38"/>
        <v>367.92889258044698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0.97310036466674832</v>
      </c>
      <c r="BQ53" s="21">
        <f>EXP(-LN(2)/25)*BQ52+(1-EXP(-LN(2)/25))/(LN(2)/25)*Calculateur!BL53*Calculateur!BN53*VLOOKUP('Données projet'!$B$11,Paramètres!$A$1:$I$89,3,0)*0.475*44/12</f>
        <v>4.8077176005953746</v>
      </c>
      <c r="BR53" s="21">
        <f>EXP(-LN(2)/2)*BR52+(1-EXP(-LN(2)/2))/(LN(2)/2)*BL53*BO53*VLOOKUP('Données projet'!$B$11,Paramètres!$A$1:$I$89,3,0)*0.475*44/12</f>
        <v>1.2764823824904136E-2</v>
      </c>
      <c r="BS53" s="22">
        <f t="shared" si="9"/>
        <v>5.7935827890870266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180.05520000000004</v>
      </c>
      <c r="CA53" s="13">
        <f t="shared" si="39"/>
        <v>45.334466930398399</v>
      </c>
      <c r="CB53" s="20">
        <f t="shared" si="10"/>
        <v>392.55366990377729</v>
      </c>
      <c r="CC53" s="59">
        <f t="shared" si="11"/>
        <v>685.88700323711055</v>
      </c>
      <c r="CD53" s="59">
        <f ca="1">AVERAGE(OFFSET($CC$3,0,0,'Données projet'!$E$12+1,1))-AVERAGE(OFFSET($H$3,0,0,'Données projet'!$E$12+1,1))</f>
        <v>388.50131600273431</v>
      </c>
      <c r="CE53" s="59">
        <f t="shared" si="40"/>
        <v>247.01165577562955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1.7838930347308279</v>
      </c>
      <c r="CM53" s="21">
        <f>EXP(-LN(2)/2)*CM52+(1-EXP(-LN(2)/2))/(LN(2)/2)*CG53*CJ53*VLOOKUP('Données projet'!$B$12,Paramètres!$A$1:$I$89,3,0)*0.475*44/12</f>
        <v>6.044285014090261E-3</v>
      </c>
      <c r="CN53" s="22">
        <f t="shared" si="12"/>
        <v>1.7899373197449182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199</v>
      </c>
      <c r="CR53" s="12">
        <f>VLOOKUP(A53,'Données projet'!$A$139:$I$159,9,0)</f>
        <v>8.3000000000000007</v>
      </c>
      <c r="CS53" s="12">
        <f t="array" ref="CS53">INDEX(CR:CR,MIN(IF(ISNUMBER(CR53:CR249),ROW(CR53:CR249),"")))</f>
        <v>8.3000000000000007</v>
      </c>
      <c r="CT53" s="12">
        <f>IF('Données projet'!$A$140&gt;35,CT52+CS53-DB52,IF(A53&lt;'Données projet'!$A$140,$CQ$205^A53,IF(A53='Données projet'!$A$140,'Données projet'!$B$140,CT52+CS53-DB52)))</f>
        <v>199.00000000000006</v>
      </c>
      <c r="CU53" s="17">
        <f>CT53*VLOOKUP('Données projet'!$B$13,Paramètres!$A$1:$I$89,3,0)*VLOOKUP('Données projet'!$B$13,Paramètres!$A$1:$I$89,5,0)</f>
        <v>214.20360000000005</v>
      </c>
      <c r="CV53" s="13">
        <f t="shared" si="41"/>
        <v>52.853115789602029</v>
      </c>
      <c r="CW53" s="20">
        <f t="shared" si="13"/>
        <v>465.12378000022363</v>
      </c>
      <c r="CX53" s="59">
        <f t="shared" si="14"/>
        <v>758.45711333355689</v>
      </c>
      <c r="CY53" s="59">
        <f ca="1">AVERAGE(OFFSET($CX$3,0,0,'Données projet'!$E$13+1,1))-AVERAGE(OFFSET($H$3,0,0,'Données projet'!$E$13+1,1))</f>
        <v>454.43000549907373</v>
      </c>
      <c r="CZ53" s="59">
        <f t="shared" si="42"/>
        <v>285.83623046025156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42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2.1222175758004678</v>
      </c>
      <c r="DH53" s="21">
        <f>EXP(-LN(2)/2)*DH52+(1-EXP(-LN(2)/2))/(LN(2)/2)*DB53*DE53*VLOOKUP('Données projet'!$B$13,Paramètres!$A$1:$I$89,3,0)*0.475*44/12</f>
        <v>7.1906149305556661E-3</v>
      </c>
      <c r="DI53" s="22">
        <f t="shared" si="15"/>
        <v>2.1294081907310236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319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319.00000000000006</v>
      </c>
      <c r="DP53" s="17">
        <f>DO53*VLOOKUP('Données projet'!$B$14,Paramètres!$A$1:$I$89,3,0)*VLOOKUP('Données projet'!$B$14,Paramètres!$A$1:$I$89,5,0)</f>
        <v>248.82000000000005</v>
      </c>
      <c r="DQ53" s="13">
        <f t="shared" si="43"/>
        <v>60.333192077890068</v>
      </c>
      <c r="DR53" s="20">
        <f t="shared" si="16"/>
        <v>538.44180953565865</v>
      </c>
      <c r="DS53" s="59">
        <f t="shared" si="17"/>
        <v>831.77514286899191</v>
      </c>
      <c r="DT53" s="59">
        <f ca="1">AVERAGE(OFFSET($DS$3,0,0,'Données projet'!$E$14+1,1))-AVERAGE(OFFSET($H$3,0,0,'Données projet'!$E$14+1,1))</f>
        <v>376.33792692771908</v>
      </c>
      <c r="DU53" s="59">
        <f t="shared" si="44"/>
        <v>367.92889258044698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71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0.97310036466674832</v>
      </c>
      <c r="EB53" s="21">
        <f>EXP(-LN(2)/25)*EB52+(1-EXP(-LN(2)/25))/(LN(2)/25)*Calculateur!DW53*Calculateur!DY53*VLOOKUP('Données projet'!$B$14,Paramètres!$A$1:$I$89,3,0)*0.475*44/12</f>
        <v>4.8077176005953746</v>
      </c>
      <c r="EC53" s="21">
        <f>EXP(-LN(2)/2)*EC52+(1-EXP(-LN(2)/2))/(LN(2)/2)*DW53*DZ53*VLOOKUP('Données projet'!$B$14,Paramètres!$A$1:$I$89,3,0)*0.475*44/12</f>
        <v>1.2764823824904136E-2</v>
      </c>
      <c r="ED53" s="22">
        <f t="shared" si="18"/>
        <v>5.7935827890870266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192.54143999999991</v>
      </c>
      <c r="P54" s="13">
        <f t="shared" si="33"/>
        <v>48.101393902059698</v>
      </c>
      <c r="Q54" s="20">
        <f t="shared" si="53"/>
        <v>419.11960237942048</v>
      </c>
      <c r="R54" s="59">
        <f t="shared" si="0"/>
        <v>712.45293571275374</v>
      </c>
      <c r="S54" s="59">
        <f ca="1">AVERAGE(OFFSET($R$3,0,0,'Données projet'!$E$9+1,1))-AVERAGE(OFFSET($H$3,0,0,'Données projet'!$E$9+1,1))</f>
        <v>469.68830256438338</v>
      </c>
      <c r="T54" s="59">
        <f t="shared" si="34"/>
        <v>332.61387922152159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1.5890522862752376</v>
      </c>
      <c r="AA54" s="21">
        <f>EXP(-LN(2)/25)*AA53+(1-EXP(-LN(2)/25))/(LN(2)/25)*Calculateur!V54*Calculateur!X54*VLOOKUP('Données projet'!$B$9,Paramètres!$A$1:$I$89,3,0)*0.475*44/12</f>
        <v>6.3030739400470601</v>
      </c>
      <c r="AB54" s="21">
        <f>EXP(-LN(2)/2)*AB53+(1-EXP(-LN(2)/2))/(LN(2)/2)*V54*Y54*VLOOKUP('Données projet'!$B$9,Paramètres!$A$1:$I$89,3,0)*0.475*44/12</f>
        <v>1.4883311123211104E-2</v>
      </c>
      <c r="AC54" s="22">
        <f t="shared" si="3"/>
        <v>7.9070095374455089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229.05791999999985</v>
      </c>
      <c r="AK54" s="13">
        <f t="shared" si="35"/>
        <v>56.078933175722597</v>
      </c>
      <c r="AL54" s="20">
        <f t="shared" si="4"/>
        <v>496.61335261438325</v>
      </c>
      <c r="AM54" s="59">
        <f t="shared" si="5"/>
        <v>789.94668594771656</v>
      </c>
      <c r="AN54" s="59">
        <f ca="1">AVERAGE(OFFSET($AM$3,0,0,'Données projet'!$E$10+1,1))-AVERAGE(OFFSET($H$3,0,0,'Données projet'!$E$10+1,1))</f>
        <v>550.66682372933292</v>
      </c>
      <c r="AO54" s="59">
        <f t="shared" si="36"/>
        <v>387.28615589698444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1.8904242716033</v>
      </c>
      <c r="AV54" s="21">
        <f>EXP(-LN(2)/25)*AV53+(1-EXP(-LN(2)/25))/(LN(2)/25)*Calculateur!AQ54*Calculateur!AS54*VLOOKUP('Données projet'!$B$10,Paramètres!$A$1:$I$89,3,0)*0.475*44/12</f>
        <v>7.498484514883577</v>
      </c>
      <c r="AW54" s="21">
        <f>EXP(-LN(2)/2)*AW53+(1-EXP(-LN(2)/2))/(LN(2)/2)*AQ54*AT54*VLOOKUP('Données projet'!$B$10,Paramètres!$A$1:$I$89,3,0)*0.475*44/12</f>
        <v>1.770600806037181E-2</v>
      </c>
      <c r="AX54" s="21">
        <f t="shared" si="6"/>
        <v>9.4066147945472487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9.6999999999999993</v>
      </c>
      <c r="BD54" s="12">
        <f>IF('Données projet'!$A$88&gt;35,BD53+BC54-BL53,IF(A54&lt;'Données projet'!$A$88,$BA$205^A54,IF(A54='Données projet'!$A$88,'Données projet'!$B$88,BD53+BC54-BL53)))</f>
        <v>257.70000000000005</v>
      </c>
      <c r="BE54" s="13">
        <f>BD54*VLOOKUP('Données projet'!$B$11,Paramètres!$A$1:$I$89,3,0)*VLOOKUP('Données projet'!$B$11,Paramètres!$A$1:$I$89,5,0)</f>
        <v>201.00600000000003</v>
      </c>
      <c r="BF54" s="13">
        <f t="shared" si="37"/>
        <v>49.965191474890041</v>
      </c>
      <c r="BG54" s="20">
        <f t="shared" si="7"/>
        <v>437.10815848543353</v>
      </c>
      <c r="BH54" s="59">
        <f t="shared" si="8"/>
        <v>730.44149181876685</v>
      </c>
      <c r="BI54" s="59">
        <f ca="1">AVERAGE(OFFSET($BH$3,0,0,'Données projet'!$E$11+1,1))-AVERAGE(OFFSET($H$3,0,0,'Données projet'!$E$11+1,1))</f>
        <v>376.33792692771908</v>
      </c>
      <c r="BJ54" s="59">
        <f t="shared" si="38"/>
        <v>367.92889258044698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0.95401846004824931</v>
      </c>
      <c r="BQ54" s="21">
        <f>EXP(-LN(2)/25)*BQ53+(1-EXP(-LN(2)/25))/(LN(2)/25)*Calculateur!BL54*Calculateur!BN54*VLOOKUP('Données projet'!$B$11,Paramètres!$A$1:$I$89,3,0)*0.475*44/12</f>
        <v>4.6762503099802135</v>
      </c>
      <c r="BR54" s="21">
        <f>EXP(-LN(2)/2)*BR53+(1-EXP(-LN(2)/2))/(LN(2)/2)*BL54*BO54*VLOOKUP('Données projet'!$B$11,Paramètres!$A$1:$I$89,3,0)*0.475*44/12</f>
        <v>9.0260934872413174E-3</v>
      </c>
      <c r="BS54" s="22">
        <f t="shared" si="9"/>
        <v>5.6392948635157047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149.11104000000006</v>
      </c>
      <c r="CA54" s="13">
        <f t="shared" si="39"/>
        <v>38.376496436982386</v>
      </c>
      <c r="CB54" s="20">
        <f t="shared" si="10"/>
        <v>326.54079262774445</v>
      </c>
      <c r="CC54" s="59">
        <f t="shared" si="11"/>
        <v>619.87412596107777</v>
      </c>
      <c r="CD54" s="59">
        <f ca="1">AVERAGE(OFFSET($CC$3,0,0,'Données projet'!$E$12+1,1))-AVERAGE(OFFSET($H$3,0,0,'Données projet'!$E$12+1,1))</f>
        <v>388.50131600273431</v>
      </c>
      <c r="CE54" s="59">
        <f t="shared" si="40"/>
        <v>247.01165577562955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1.735112385885256</v>
      </c>
      <c r="CM54" s="21">
        <f>EXP(-LN(2)/2)*CM53+(1-EXP(-LN(2)/2))/(LN(2)/2)*CG54*CJ54*VLOOKUP('Données projet'!$B$12,Paramètres!$A$1:$I$89,3,0)*0.475*44/12</f>
        <v>4.2739549208874504E-3</v>
      </c>
      <c r="CN54" s="22">
        <f t="shared" si="12"/>
        <v>1.7393863408061434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</v>
      </c>
      <c r="CT54" s="12">
        <f>IF('Données projet'!$A$140&gt;35,CT53+CS54-DB53,IF(A54&lt;'Données projet'!$A$140,$CQ$205^A54,IF(A54='Données projet'!$A$140,'Données projet'!$B$140,CT53+CS54-DB53)))</f>
        <v>164.80000000000007</v>
      </c>
      <c r="CU54" s="17">
        <f>CT54*VLOOKUP('Données projet'!$B$13,Paramètres!$A$1:$I$89,3,0)*VLOOKUP('Données projet'!$B$13,Paramètres!$A$1:$I$89,5,0)</f>
        <v>177.39072000000004</v>
      </c>
      <c r="CV54" s="13">
        <f t="shared" si="41"/>
        <v>44.741177014326411</v>
      </c>
      <c r="CW54" s="20">
        <f t="shared" si="13"/>
        <v>386.87972063328522</v>
      </c>
      <c r="CX54" s="59">
        <f t="shared" si="14"/>
        <v>680.21305396661853</v>
      </c>
      <c r="CY54" s="59">
        <f ca="1">AVERAGE(OFFSET($CX$3,0,0,'Données projet'!$E$13+1,1))-AVERAGE(OFFSET($H$3,0,0,'Données projet'!$E$13+1,1))</f>
        <v>454.43000549907373</v>
      </c>
      <c r="CZ54" s="59">
        <f t="shared" si="42"/>
        <v>285.83623046025156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2.0641854245876319</v>
      </c>
      <c r="DH54" s="21">
        <f>EXP(-LN(2)/2)*DH53+(1-EXP(-LN(2)/2))/(LN(2)/2)*DB54*DE54*VLOOKUP('Données projet'!$B$13,Paramètres!$A$1:$I$89,3,0)*0.475*44/12</f>
        <v>5.0845325782971473E-3</v>
      </c>
      <c r="DI54" s="22">
        <f t="shared" si="15"/>
        <v>2.069269957165929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9.6999999999999993</v>
      </c>
      <c r="DO54" s="12">
        <f>IF('Données projet'!$A$166&gt;35,DO53+DN54-DW53,IF(A54&lt;'Données projet'!$A$166,$DL$205^A54,IF(A54='Données projet'!$A$166,'Données projet'!$B$166,DO53+DN54-DW53)))</f>
        <v>257.70000000000005</v>
      </c>
      <c r="DP54" s="17">
        <f>DO54*VLOOKUP('Données projet'!$B$14,Paramètres!$A$1:$I$89,3,0)*VLOOKUP('Données projet'!$B$14,Paramètres!$A$1:$I$89,5,0)</f>
        <v>201.00600000000003</v>
      </c>
      <c r="DQ54" s="13">
        <f t="shared" si="43"/>
        <v>49.965191474890041</v>
      </c>
      <c r="DR54" s="20">
        <f t="shared" si="16"/>
        <v>437.10815848543353</v>
      </c>
      <c r="DS54" s="59">
        <f t="shared" si="17"/>
        <v>730.44149181876685</v>
      </c>
      <c r="DT54" s="59">
        <f ca="1">AVERAGE(OFFSET($DS$3,0,0,'Données projet'!$E$14+1,1))-AVERAGE(OFFSET($H$3,0,0,'Données projet'!$E$14+1,1))</f>
        <v>376.33792692771908</v>
      </c>
      <c r="DU54" s="59">
        <f t="shared" si="44"/>
        <v>367.92889258044698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0.95401846004824931</v>
      </c>
      <c r="EB54" s="21">
        <f>EXP(-LN(2)/25)*EB53+(1-EXP(-LN(2)/25))/(LN(2)/25)*Calculateur!DW54*Calculateur!DY54*VLOOKUP('Données projet'!$B$14,Paramètres!$A$1:$I$89,3,0)*0.475*44/12</f>
        <v>4.6762503099802135</v>
      </c>
      <c r="EC54" s="21">
        <f>EXP(-LN(2)/2)*EC53+(1-EXP(-LN(2)/2))/(LN(2)/2)*DW54*DZ54*VLOOKUP('Données projet'!$B$14,Paramètres!$A$1:$I$89,3,0)*0.475*44/12</f>
        <v>9.0260934872413174E-3</v>
      </c>
      <c r="ED54" s="22">
        <f t="shared" si="18"/>
        <v>5.6392948635157047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201.40847999999991</v>
      </c>
      <c r="P55" s="13">
        <f t="shared" si="33"/>
        <v>50.053582459229212</v>
      </c>
      <c r="Q55" s="20">
        <f t="shared" si="53"/>
        <v>437.96309211649071</v>
      </c>
      <c r="R55" s="59">
        <f t="shared" si="0"/>
        <v>731.29642544982403</v>
      </c>
      <c r="S55" s="59">
        <f ca="1">AVERAGE(OFFSET($R$3,0,0,'Données projet'!$E$9+1,1))-AVERAGE(OFFSET($H$3,0,0,'Données projet'!$E$9+1,1))</f>
        <v>469.68830256438338</v>
      </c>
      <c r="T55" s="59">
        <f t="shared" si="34"/>
        <v>332.61387922152159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1.5578919401675717</v>
      </c>
      <c r="AA55" s="21">
        <f>EXP(-LN(2)/25)*AA54+(1-EXP(-LN(2)/25))/(LN(2)/25)*Calculateur!V55*Calculateur!X55*VLOOKUP('Données projet'!$B$9,Paramètres!$A$1:$I$89,3,0)*0.475*44/12</f>
        <v>6.1307160516922208</v>
      </c>
      <c r="AB55" s="21">
        <f>EXP(-LN(2)/2)*AB54+(1-EXP(-LN(2)/2))/(LN(2)/2)*V55*Y55*VLOOKUP('Données projet'!$B$9,Paramètres!$A$1:$I$89,3,0)*0.475*44/12</f>
        <v>1.0524090221731744E-2</v>
      </c>
      <c r="AC55" s="22">
        <f t="shared" si="3"/>
        <v>7.6991320820815243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239.60663999999991</v>
      </c>
      <c r="AK55" s="13">
        <f t="shared" si="35"/>
        <v>58.354889083919922</v>
      </c>
      <c r="AL55" s="20">
        <f t="shared" si="4"/>
        <v>518.94966315449369</v>
      </c>
      <c r="AM55" s="59">
        <f t="shared" si="5"/>
        <v>812.28299648782695</v>
      </c>
      <c r="AN55" s="59">
        <f ca="1">AVERAGE(OFFSET($AM$3,0,0,'Données projet'!$E$10+1,1))-AVERAGE(OFFSET($H$3,0,0,'Données projet'!$E$10+1,1))</f>
        <v>550.66682372933292</v>
      </c>
      <c r="AO55" s="59">
        <f t="shared" si="36"/>
        <v>387.28615589698444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1.8533542046821112</v>
      </c>
      <c r="AV55" s="21">
        <f>EXP(-LN(2)/25)*AV54+(1-EXP(-LN(2)/25))/(LN(2)/25)*Calculateur!AQ55*Calculateur!AS55*VLOOKUP('Données projet'!$B$10,Paramètres!$A$1:$I$89,3,0)*0.475*44/12</f>
        <v>7.2934380614959231</v>
      </c>
      <c r="AW55" s="21">
        <f>EXP(-LN(2)/2)*AW54+(1-EXP(-LN(2)/2))/(LN(2)/2)*AQ55*AT55*VLOOKUP('Données projet'!$B$10,Paramètres!$A$1:$I$89,3,0)*0.475*44/12</f>
        <v>1.2520038367232577E-2</v>
      </c>
      <c r="AX55" s="21">
        <f t="shared" si="6"/>
        <v>9.1593123045452671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9.6999999999999993</v>
      </c>
      <c r="BD55" s="12">
        <f>IF('Données projet'!$A$88&gt;35,BD54+BC55-BL54,IF(A55&lt;'Données projet'!$A$88,$BA$205^A55,IF(A55='Données projet'!$A$88,'Données projet'!$B$88,BD54+BC55-BL54)))</f>
        <v>267.40000000000003</v>
      </c>
      <c r="BE55" s="13">
        <f>BD55*VLOOKUP('Données projet'!$B$11,Paramètres!$A$1:$I$89,3,0)*VLOOKUP('Données projet'!$B$11,Paramètres!$A$1:$I$89,5,0)</f>
        <v>208.57200000000003</v>
      </c>
      <c r="BF55" s="13">
        <f t="shared" si="37"/>
        <v>51.623407958239042</v>
      </c>
      <c r="BG55" s="20">
        <f t="shared" si="7"/>
        <v>453.17366886059966</v>
      </c>
      <c r="BH55" s="59">
        <f t="shared" si="8"/>
        <v>746.50700219393298</v>
      </c>
      <c r="BI55" s="59">
        <f ca="1">AVERAGE(OFFSET($BH$3,0,0,'Données projet'!$E$11+1,1))-AVERAGE(OFFSET($H$3,0,0,'Données projet'!$E$11+1,1))</f>
        <v>376.33792692771908</v>
      </c>
      <c r="BJ55" s="59">
        <f t="shared" si="38"/>
        <v>367.92889258044698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0.93531073994050651</v>
      </c>
      <c r="BQ55" s="21">
        <f>EXP(-LN(2)/25)*BQ54+(1-EXP(-LN(2)/25))/(LN(2)/25)*Calculateur!BL55*Calculateur!BN55*VLOOKUP('Données projet'!$B$11,Paramètres!$A$1:$I$89,3,0)*0.475*44/12</f>
        <v>4.5483779993404889</v>
      </c>
      <c r="BR55" s="21">
        <f>EXP(-LN(2)/2)*BR54+(1-EXP(-LN(2)/2))/(LN(2)/2)*BL55*BO55*VLOOKUP('Données projet'!$B$11,Paramètres!$A$1:$I$89,3,0)*0.475*44/12</f>
        <v>6.3824119124520681E-3</v>
      </c>
      <c r="BS55" s="22">
        <f t="shared" si="9"/>
        <v>5.4900711511934475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156.16848000000005</v>
      </c>
      <c r="CA55" s="13">
        <f t="shared" si="39"/>
        <v>39.977090041212335</v>
      </c>
      <c r="CB55" s="20">
        <f t="shared" si="10"/>
        <v>341.62020115511154</v>
      </c>
      <c r="CC55" s="59">
        <f t="shared" si="11"/>
        <v>634.9535344884448</v>
      </c>
      <c r="CD55" s="59">
        <f ca="1">AVERAGE(OFFSET($CC$3,0,0,'Données projet'!$E$12+1,1))-AVERAGE(OFFSET($H$3,0,0,'Données projet'!$E$12+1,1))</f>
        <v>388.50131600273431</v>
      </c>
      <c r="CE55" s="59">
        <f t="shared" si="40"/>
        <v>247.01165577562955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1.687665646447629</v>
      </c>
      <c r="CM55" s="21">
        <f>EXP(-LN(2)/2)*CM54+(1-EXP(-LN(2)/2))/(LN(2)/2)*CG55*CJ55*VLOOKUP('Données projet'!$B$12,Paramètres!$A$1:$I$89,3,0)*0.475*44/12</f>
        <v>3.0221425070451305E-3</v>
      </c>
      <c r="CN55" s="22">
        <f t="shared" si="12"/>
        <v>1.6906877889546741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</v>
      </c>
      <c r="CT55" s="12">
        <f>IF('Données projet'!$A$140&gt;35,CT54+CS55-DB54,IF(A55&lt;'Données projet'!$A$140,$CQ$205^A55,IF(A55='Données projet'!$A$140,'Données projet'!$B$140,CT54+CS55-DB54)))</f>
        <v>172.60000000000008</v>
      </c>
      <c r="CU55" s="17">
        <f>CT55*VLOOKUP('Données projet'!$B$13,Paramètres!$A$1:$I$89,3,0)*VLOOKUP('Données projet'!$B$13,Paramètres!$A$1:$I$89,5,0)</f>
        <v>185.78664000000009</v>
      </c>
      <c r="CV55" s="13">
        <f t="shared" si="41"/>
        <v>46.607226508772698</v>
      </c>
      <c r="CW55" s="20">
        <f t="shared" si="13"/>
        <v>404.75265083611265</v>
      </c>
      <c r="CX55" s="59">
        <f t="shared" si="14"/>
        <v>698.08598416944596</v>
      </c>
      <c r="CY55" s="59">
        <f ca="1">AVERAGE(OFFSET($CX$3,0,0,'Données projet'!$E$13+1,1))-AVERAGE(OFFSET($H$3,0,0,'Données projet'!$E$13+1,1))</f>
        <v>454.43000549907373</v>
      </c>
      <c r="CZ55" s="59">
        <f t="shared" si="42"/>
        <v>285.83623046025156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2.0077401656014895</v>
      </c>
      <c r="DH55" s="21">
        <f>EXP(-LN(2)/2)*DH54+(1-EXP(-LN(2)/2))/(LN(2)/2)*DB55*DE55*VLOOKUP('Données projet'!$B$13,Paramètres!$A$1:$I$89,3,0)*0.475*44/12</f>
        <v>3.5953074652778335E-3</v>
      </c>
      <c r="DI55" s="22">
        <f t="shared" si="15"/>
        <v>2.0113354730667674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9.6999999999999993</v>
      </c>
      <c r="DO55" s="12">
        <f>IF('Données projet'!$A$166&gt;35,DO54+DN55-DW54,IF(A55&lt;'Données projet'!$A$166,$DL$205^A55,IF(A55='Données projet'!$A$166,'Données projet'!$B$166,DO54+DN55-DW54)))</f>
        <v>267.40000000000003</v>
      </c>
      <c r="DP55" s="17">
        <f>DO55*VLOOKUP('Données projet'!$B$14,Paramètres!$A$1:$I$89,3,0)*VLOOKUP('Données projet'!$B$14,Paramètres!$A$1:$I$89,5,0)</f>
        <v>208.57200000000003</v>
      </c>
      <c r="DQ55" s="13">
        <f t="shared" si="43"/>
        <v>51.623407958239042</v>
      </c>
      <c r="DR55" s="20">
        <f t="shared" si="16"/>
        <v>453.17366886059966</v>
      </c>
      <c r="DS55" s="59">
        <f t="shared" si="17"/>
        <v>746.50700219393298</v>
      </c>
      <c r="DT55" s="59">
        <f ca="1">AVERAGE(OFFSET($DS$3,0,0,'Données projet'!$E$14+1,1))-AVERAGE(OFFSET($H$3,0,0,'Données projet'!$E$14+1,1))</f>
        <v>376.33792692771908</v>
      </c>
      <c r="DU55" s="59">
        <f t="shared" si="44"/>
        <v>367.92889258044698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0.93531073994050651</v>
      </c>
      <c r="EB55" s="21">
        <f>EXP(-LN(2)/25)*EB54+(1-EXP(-LN(2)/25))/(LN(2)/25)*Calculateur!DW55*Calculateur!DY55*VLOOKUP('Données projet'!$B$14,Paramètres!$A$1:$I$89,3,0)*0.475*44/12</f>
        <v>4.5483779993404889</v>
      </c>
      <c r="EC55" s="21">
        <f>EXP(-LN(2)/2)*EC54+(1-EXP(-LN(2)/2))/(LN(2)/2)*DW55*DZ55*VLOOKUP('Données projet'!$B$14,Paramètres!$A$1:$I$89,3,0)*0.475*44/12</f>
        <v>6.3824119124520681E-3</v>
      </c>
      <c r="ED55" s="22">
        <f t="shared" si="18"/>
        <v>5.4900711511934475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210.27551999999991</v>
      </c>
      <c r="P56" s="13">
        <f t="shared" si="33"/>
        <v>51.995789155135654</v>
      </c>
      <c r="Q56" s="20">
        <f t="shared" si="53"/>
        <v>456.78919677852781</v>
      </c>
      <c r="R56" s="59">
        <f t="shared" si="0"/>
        <v>750.12253011186112</v>
      </c>
      <c r="S56" s="59">
        <f ca="1">AVERAGE(OFFSET($R$3,0,0,'Données projet'!$E$9+1,1))-AVERAGE(OFFSET($H$3,0,0,'Données projet'!$E$9+1,1))</f>
        <v>469.68830256438338</v>
      </c>
      <c r="T56" s="59">
        <f t="shared" si="34"/>
        <v>332.61387922152159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1.5273426294411427</v>
      </c>
      <c r="AA56" s="21">
        <f>EXP(-LN(2)/25)*AA55+(1-EXP(-LN(2)/25))/(LN(2)/25)*Calculateur!V56*Calculateur!X56*VLOOKUP('Données projet'!$B$9,Paramètres!$A$1:$I$89,3,0)*0.475*44/12</f>
        <v>5.9630712988583516</v>
      </c>
      <c r="AB56" s="21">
        <f>EXP(-LN(2)/2)*AB55+(1-EXP(-LN(2)/2))/(LN(2)/2)*V56*Y56*VLOOKUP('Données projet'!$B$9,Paramètres!$A$1:$I$89,3,0)*0.475*44/12</f>
        <v>7.441655561605553E-3</v>
      </c>
      <c r="AC56" s="22">
        <f t="shared" si="3"/>
        <v>7.4978555838611003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250.15535999999992</v>
      </c>
      <c r="AK56" s="13">
        <f t="shared" si="35"/>
        <v>60.619207655122857</v>
      </c>
      <c r="AL56" s="20">
        <f t="shared" si="4"/>
        <v>541.26570533267216</v>
      </c>
      <c r="AM56" s="59">
        <f t="shared" si="5"/>
        <v>834.59903866600553</v>
      </c>
      <c r="AN56" s="59">
        <f ca="1">AVERAGE(OFFSET($AM$3,0,0,'Données projet'!$E$10+1,1))-AVERAGE(OFFSET($H$3,0,0,'Données projet'!$E$10+1,1))</f>
        <v>550.66682372933292</v>
      </c>
      <c r="AO56" s="59">
        <f t="shared" si="36"/>
        <v>387.28615589698444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1.8170110591627386</v>
      </c>
      <c r="AV56" s="21">
        <f>EXP(-LN(2)/25)*AV55+(1-EXP(-LN(2)/25))/(LN(2)/25)*Calculateur!AQ56*Calculateur!AS56*VLOOKUP('Données projet'!$B$10,Paramètres!$A$1:$I$89,3,0)*0.475*44/12</f>
        <v>7.0939986141590792</v>
      </c>
      <c r="AW56" s="21">
        <f>EXP(-LN(2)/2)*AW55+(1-EXP(-LN(2)/2))/(LN(2)/2)*AQ56*AT56*VLOOKUP('Données projet'!$B$10,Paramètres!$A$1:$I$89,3,0)*0.475*44/12</f>
        <v>8.8530040301859052E-3</v>
      </c>
      <c r="AX56" s="21">
        <f t="shared" si="6"/>
        <v>8.919862677352004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9.6999999999999993</v>
      </c>
      <c r="BD56" s="12">
        <f>IF('Données projet'!$A$88&gt;35,BD55+BC56-BL55,IF(A56&lt;'Données projet'!$A$88,$BA$205^A56,IF(A56='Données projet'!$A$88,'Données projet'!$B$88,BD55+BC56-BL55)))</f>
        <v>277.10000000000002</v>
      </c>
      <c r="BE56" s="13">
        <f>BD56*VLOOKUP('Données projet'!$B$11,Paramètres!$A$1:$I$89,3,0)*VLOOKUP('Données projet'!$B$11,Paramètres!$A$1:$I$89,5,0)</f>
        <v>216.13800000000003</v>
      </c>
      <c r="BF56" s="13">
        <f t="shared" si="37"/>
        <v>53.274635867181686</v>
      </c>
      <c r="BG56" s="20">
        <f t="shared" si="7"/>
        <v>469.22700746867486</v>
      </c>
      <c r="BH56" s="59">
        <f t="shared" si="8"/>
        <v>762.56034080200811</v>
      </c>
      <c r="BI56" s="59">
        <f ca="1">AVERAGE(OFFSET($BH$3,0,0,'Données projet'!$E$11+1,1))-AVERAGE(OFFSET($H$3,0,0,'Données projet'!$E$11+1,1))</f>
        <v>376.33792692771908</v>
      </c>
      <c r="BJ56" s="59">
        <f t="shared" si="38"/>
        <v>367.92889258044698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0.91696986681349402</v>
      </c>
      <c r="BQ56" s="21">
        <f>EXP(-LN(2)/25)*BQ55+(1-EXP(-LN(2)/25))/(LN(2)/25)*Calculateur!BL56*Calculateur!BN56*VLOOKUP('Données projet'!$B$11,Paramètres!$A$1:$I$89,3,0)*0.475*44/12</f>
        <v>4.4240023637597199</v>
      </c>
      <c r="BR56" s="21">
        <f>EXP(-LN(2)/2)*BR55+(1-EXP(-LN(2)/2))/(LN(2)/2)*BL56*BO56*VLOOKUP('Données projet'!$B$11,Paramètres!$A$1:$I$89,3,0)*0.475*44/12</f>
        <v>4.5130467436206587E-3</v>
      </c>
      <c r="BS56" s="22">
        <f t="shared" si="9"/>
        <v>5.3454852773168344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163.22592000000009</v>
      </c>
      <c r="CA56" s="13">
        <f t="shared" si="39"/>
        <v>41.569283201466128</v>
      </c>
      <c r="CB56" s="20">
        <f t="shared" si="10"/>
        <v>356.68497890922026</v>
      </c>
      <c r="CC56" s="59">
        <f t="shared" si="11"/>
        <v>650.01831224255352</v>
      </c>
      <c r="CD56" s="59">
        <f ca="1">AVERAGE(OFFSET($CC$3,0,0,'Données projet'!$E$12+1,1))-AVERAGE(OFFSET($H$3,0,0,'Données projet'!$E$12+1,1))</f>
        <v>388.50131600273431</v>
      </c>
      <c r="CE56" s="59">
        <f t="shared" si="40"/>
        <v>247.01165577562955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1.6415163405950395</v>
      </c>
      <c r="CM56" s="21">
        <f>EXP(-LN(2)/2)*CM55+(1-EXP(-LN(2)/2))/(LN(2)/2)*CG56*CJ56*VLOOKUP('Données projet'!$B$12,Paramètres!$A$1:$I$89,3,0)*0.475*44/12</f>
        <v>2.1369774604437252E-3</v>
      </c>
      <c r="CN56" s="22">
        <f t="shared" si="12"/>
        <v>1.6436533180554833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</v>
      </c>
      <c r="CT56" s="12">
        <f>IF('Données projet'!$A$140&gt;35,CT55+CS56-DB55,IF(A56&lt;'Données projet'!$A$140,$CQ$205^A56,IF(A56='Données projet'!$A$140,'Données projet'!$B$140,CT55+CS56-DB55)))</f>
        <v>180.40000000000009</v>
      </c>
      <c r="CU56" s="17">
        <f>CT56*VLOOKUP('Données projet'!$B$13,Paramètres!$A$1:$I$89,3,0)*VLOOKUP('Données projet'!$B$13,Paramètres!$A$1:$I$89,5,0)</f>
        <v>194.18256000000008</v>
      </c>
      <c r="CV56" s="13">
        <f t="shared" si="41"/>
        <v>48.463482359040057</v>
      </c>
      <c r="CW56" s="20">
        <f t="shared" si="13"/>
        <v>422.60852377532825</v>
      </c>
      <c r="CX56" s="59">
        <f t="shared" si="14"/>
        <v>715.94185710866157</v>
      </c>
      <c r="CY56" s="59">
        <f ca="1">AVERAGE(OFFSET($CX$3,0,0,'Données projet'!$E$13+1,1))-AVERAGE(OFFSET($H$3,0,0,'Données projet'!$E$13+1,1))</f>
        <v>454.43000549907373</v>
      </c>
      <c r="CZ56" s="59">
        <f t="shared" si="42"/>
        <v>285.83623046025156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1.9528384051906502</v>
      </c>
      <c r="DH56" s="21">
        <f>EXP(-LN(2)/2)*DH55+(1-EXP(-LN(2)/2))/(LN(2)/2)*DB56*DE56*VLOOKUP('Données projet'!$B$13,Paramètres!$A$1:$I$89,3,0)*0.475*44/12</f>
        <v>2.5422662891485741E-3</v>
      </c>
      <c r="DI56" s="22">
        <f t="shared" si="15"/>
        <v>1.9553806714797988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9.6999999999999993</v>
      </c>
      <c r="DO56" s="12">
        <f>IF('Données projet'!$A$166&gt;35,DO55+DN56-DW55,IF(A56&lt;'Données projet'!$A$166,$DL$205^A56,IF(A56='Données projet'!$A$166,'Données projet'!$B$166,DO55+DN56-DW55)))</f>
        <v>277.10000000000002</v>
      </c>
      <c r="DP56" s="17">
        <f>DO56*VLOOKUP('Données projet'!$B$14,Paramètres!$A$1:$I$89,3,0)*VLOOKUP('Données projet'!$B$14,Paramètres!$A$1:$I$89,5,0)</f>
        <v>216.13800000000003</v>
      </c>
      <c r="DQ56" s="13">
        <f t="shared" si="43"/>
        <v>53.274635867181686</v>
      </c>
      <c r="DR56" s="20">
        <f t="shared" si="16"/>
        <v>469.22700746867486</v>
      </c>
      <c r="DS56" s="59">
        <f t="shared" si="17"/>
        <v>762.56034080200811</v>
      </c>
      <c r="DT56" s="59">
        <f ca="1">AVERAGE(OFFSET($DS$3,0,0,'Données projet'!$E$14+1,1))-AVERAGE(OFFSET($H$3,0,0,'Données projet'!$E$14+1,1))</f>
        <v>376.33792692771908</v>
      </c>
      <c r="DU56" s="59">
        <f t="shared" si="44"/>
        <v>367.92889258044698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0.91696986681349402</v>
      </c>
      <c r="EB56" s="21">
        <f>EXP(-LN(2)/25)*EB55+(1-EXP(-LN(2)/25))/(LN(2)/25)*Calculateur!DW56*Calculateur!DY56*VLOOKUP('Données projet'!$B$14,Paramètres!$A$1:$I$89,3,0)*0.475*44/12</f>
        <v>4.4240023637597199</v>
      </c>
      <c r="EC56" s="21">
        <f>EXP(-LN(2)/2)*EC55+(1-EXP(-LN(2)/2))/(LN(2)/2)*DW56*DZ56*VLOOKUP('Données projet'!$B$14,Paramètres!$A$1:$I$89,3,0)*0.475*44/12</f>
        <v>4.5130467436206587E-3</v>
      </c>
      <c r="ED56" s="22">
        <f t="shared" si="18"/>
        <v>5.3454852773168344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219.14255999999992</v>
      </c>
      <c r="P57" s="13">
        <f t="shared" si="33"/>
        <v>53.928483039139707</v>
      </c>
      <c r="Q57" s="20">
        <f t="shared" si="53"/>
        <v>475.59873329316815</v>
      </c>
      <c r="R57" s="59">
        <f t="shared" si="0"/>
        <v>768.93206662650141</v>
      </c>
      <c r="S57" s="59">
        <f ca="1">AVERAGE(OFFSET($R$3,0,0,'Données projet'!$E$9+1,1))-AVERAGE(OFFSET($H$3,0,0,'Données projet'!$E$9+1,1))</f>
        <v>469.68830256438338</v>
      </c>
      <c r="T57" s="59">
        <f t="shared" si="34"/>
        <v>332.61387922152159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1.4973923720648192</v>
      </c>
      <c r="AA57" s="21">
        <f>EXP(-LN(2)/25)*AA56+(1-EXP(-LN(2)/25))/(LN(2)/25)*Calculateur!V57*Calculateur!X57*VLOOKUP('Données projet'!$B$9,Paramètres!$A$1:$I$89,3,0)*0.475*44/12</f>
        <v>5.8000108006067794</v>
      </c>
      <c r="AB57" s="21">
        <f>EXP(-LN(2)/2)*AB56+(1-EXP(-LN(2)/2))/(LN(2)/2)*V57*Y57*VLOOKUP('Données projet'!$B$9,Paramètres!$A$1:$I$89,3,0)*0.475*44/12</f>
        <v>5.2620451108658728E-3</v>
      </c>
      <c r="AC57" s="22">
        <f t="shared" si="3"/>
        <v>7.3026652177824651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260.70407999999992</v>
      </c>
      <c r="AK57" s="13">
        <f t="shared" si="35"/>
        <v>62.872435729778509</v>
      </c>
      <c r="AL57" s="20">
        <f t="shared" si="4"/>
        <v>563.56243156269738</v>
      </c>
      <c r="AM57" s="59">
        <f t="shared" si="5"/>
        <v>856.89576489603064</v>
      </c>
      <c r="AN57" s="59">
        <f ca="1">AVERAGE(OFFSET($AM$3,0,0,'Données projet'!$E$10+1,1))-AVERAGE(OFFSET($H$3,0,0,'Données projet'!$E$10+1,1))</f>
        <v>550.66682372933292</v>
      </c>
      <c r="AO57" s="59">
        <f t="shared" si="36"/>
        <v>387.28615589698444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1.781380580559871</v>
      </c>
      <c r="AV57" s="21">
        <f>EXP(-LN(2)/25)*AV56+(1-EXP(-LN(2)/25))/(LN(2)/25)*Calculateur!AQ57*Calculateur!AS57*VLOOKUP('Données projet'!$B$10,Paramètres!$A$1:$I$89,3,0)*0.475*44/12</f>
        <v>6.9000128489977257</v>
      </c>
      <c r="AW57" s="21">
        <f>EXP(-LN(2)/2)*AW56+(1-EXP(-LN(2)/2))/(LN(2)/2)*AQ57*AT57*VLOOKUP('Données projet'!$B$10,Paramètres!$A$1:$I$89,3,0)*0.475*44/12</f>
        <v>6.2600191836162883E-3</v>
      </c>
      <c r="AX57" s="21">
        <f t="shared" si="6"/>
        <v>8.6876534487412123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9.6999999999999993</v>
      </c>
      <c r="BD57" s="12">
        <f>IF('Données projet'!$A$88&gt;35,BD56+BC57-BL56,IF(A57&lt;'Données projet'!$A$88,$BA$205^A57,IF(A57='Données projet'!$A$88,'Données projet'!$B$88,BD56+BC57-BL56)))</f>
        <v>286.8</v>
      </c>
      <c r="BE57" s="13">
        <f>BD57*VLOOKUP('Données projet'!$B$11,Paramètres!$A$1:$I$89,3,0)*VLOOKUP('Données projet'!$B$11,Paramètres!$A$1:$I$89,5,0)</f>
        <v>223.70400000000001</v>
      </c>
      <c r="BF57" s="13">
        <f t="shared" si="37"/>
        <v>54.919147873047578</v>
      </c>
      <c r="BG57" s="20">
        <f t="shared" si="7"/>
        <v>485.26864921222455</v>
      </c>
      <c r="BH57" s="59">
        <f t="shared" si="8"/>
        <v>778.6019825455578</v>
      </c>
      <c r="BI57" s="59">
        <f ca="1">AVERAGE(OFFSET($BH$3,0,0,'Données projet'!$E$11+1,1))-AVERAGE(OFFSET($H$3,0,0,'Données projet'!$E$11+1,1))</f>
        <v>376.33792692771908</v>
      </c>
      <c r="BJ57" s="59">
        <f t="shared" si="38"/>
        <v>367.92889258044698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0.89898864702167425</v>
      </c>
      <c r="BQ57" s="21">
        <f>EXP(-LN(2)/25)*BQ56+(1-EXP(-LN(2)/25))/(LN(2)/25)*Calculateur!BL57*Calculateur!BN57*VLOOKUP('Données projet'!$B$11,Paramètres!$A$1:$I$89,3,0)*0.475*44/12</f>
        <v>4.3030277864745372</v>
      </c>
      <c r="BR57" s="21">
        <f>EXP(-LN(2)/2)*BR56+(1-EXP(-LN(2)/2))/(LN(2)/2)*BL57*BO57*VLOOKUP('Données projet'!$B$11,Paramètres!$A$1:$I$89,3,0)*0.475*44/12</f>
        <v>3.191205956226034E-3</v>
      </c>
      <c r="BS57" s="22">
        <f t="shared" si="9"/>
        <v>5.2052076394524383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170.28336000000007</v>
      </c>
      <c r="CA57" s="13">
        <f t="shared" si="39"/>
        <v>43.153480646462619</v>
      </c>
      <c r="CB57" s="20">
        <f t="shared" si="10"/>
        <v>371.73583079258918</v>
      </c>
      <c r="CC57" s="59">
        <f t="shared" si="11"/>
        <v>665.0691641259225</v>
      </c>
      <c r="CD57" s="59">
        <f ca="1">AVERAGE(OFFSET($CC$3,0,0,'Données projet'!$E$12+1,1))-AVERAGE(OFFSET($H$3,0,0,'Données projet'!$E$12+1,1))</f>
        <v>388.50131600273431</v>
      </c>
      <c r="CE57" s="59">
        <f t="shared" si="40"/>
        <v>247.01165577562955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1.5966289899378756</v>
      </c>
      <c r="CM57" s="21">
        <f>EXP(-LN(2)/2)*CM56+(1-EXP(-LN(2)/2))/(LN(2)/2)*CG57*CJ57*VLOOKUP('Données projet'!$B$12,Paramètres!$A$1:$I$89,3,0)*0.475*44/12</f>
        <v>1.5110712535225653E-3</v>
      </c>
      <c r="CN57" s="22">
        <f t="shared" si="12"/>
        <v>1.5981400611913981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7.8</v>
      </c>
      <c r="CT57" s="12">
        <f>IF('Données projet'!$A$140&gt;35,CT56+CS57-DB56,IF(A57&lt;'Données projet'!$A$140,$CQ$205^A57,IF(A57='Données projet'!$A$140,'Données projet'!$B$140,CT56+CS57-DB56)))</f>
        <v>188.2000000000001</v>
      </c>
      <c r="CU57" s="17">
        <f>CT57*VLOOKUP('Données projet'!$B$13,Paramètres!$A$1:$I$89,3,0)*VLOOKUP('Données projet'!$B$13,Paramètres!$A$1:$I$89,5,0)</f>
        <v>202.5784800000001</v>
      </c>
      <c r="CV57" s="13">
        <f t="shared" si="41"/>
        <v>50.310416417458406</v>
      </c>
      <c r="CW57" s="20">
        <f t="shared" si="13"/>
        <v>440.44816126040695</v>
      </c>
      <c r="CX57" s="59">
        <f t="shared" si="14"/>
        <v>733.78149459374026</v>
      </c>
      <c r="CY57" s="59">
        <f ca="1">AVERAGE(OFFSET($CX$3,0,0,'Données projet'!$E$13+1,1))-AVERAGE(OFFSET($H$3,0,0,'Données projet'!$E$13+1,1))</f>
        <v>454.43000549907373</v>
      </c>
      <c r="CZ57" s="59">
        <f t="shared" si="42"/>
        <v>285.83623046025156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1.8994379363054035</v>
      </c>
      <c r="DH57" s="21">
        <f>EXP(-LN(2)/2)*DH56+(1-EXP(-LN(2)/2))/(LN(2)/2)*DB57*DE57*VLOOKUP('Données projet'!$B$13,Paramètres!$A$1:$I$89,3,0)*0.475*44/12</f>
        <v>1.7976537326389169E-3</v>
      </c>
      <c r="DI57" s="22">
        <f t="shared" si="15"/>
        <v>1.9012355900380424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9.6999999999999993</v>
      </c>
      <c r="DO57" s="12">
        <f>IF('Données projet'!$A$166&gt;35,DO56+DN57-DW56,IF(A57&lt;'Données projet'!$A$166,$DL$205^A57,IF(A57='Données projet'!$A$166,'Données projet'!$B$166,DO56+DN57-DW56)))</f>
        <v>286.8</v>
      </c>
      <c r="DP57" s="17">
        <f>DO57*VLOOKUP('Données projet'!$B$14,Paramètres!$A$1:$I$89,3,0)*VLOOKUP('Données projet'!$B$14,Paramètres!$A$1:$I$89,5,0)</f>
        <v>223.70400000000001</v>
      </c>
      <c r="DQ57" s="13">
        <f t="shared" si="43"/>
        <v>54.919147873047578</v>
      </c>
      <c r="DR57" s="20">
        <f t="shared" si="16"/>
        <v>485.26864921222455</v>
      </c>
      <c r="DS57" s="59">
        <f t="shared" si="17"/>
        <v>778.6019825455578</v>
      </c>
      <c r="DT57" s="59">
        <f ca="1">AVERAGE(OFFSET($DS$3,0,0,'Données projet'!$E$14+1,1))-AVERAGE(OFFSET($H$3,0,0,'Données projet'!$E$14+1,1))</f>
        <v>376.33792692771908</v>
      </c>
      <c r="DU57" s="59">
        <f t="shared" si="44"/>
        <v>367.92889258044698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0.89898864702167425</v>
      </c>
      <c r="EB57" s="21">
        <f>EXP(-LN(2)/25)*EB56+(1-EXP(-LN(2)/25))/(LN(2)/25)*Calculateur!DW57*Calculateur!DY57*VLOOKUP('Données projet'!$B$14,Paramètres!$A$1:$I$89,3,0)*0.475*44/12</f>
        <v>4.3030277864745372</v>
      </c>
      <c r="EC57" s="21">
        <f>EXP(-LN(2)/2)*EC56+(1-EXP(-LN(2)/2))/(LN(2)/2)*DW57*DZ57*VLOOKUP('Données projet'!$B$14,Paramètres!$A$1:$I$89,3,0)*0.475*44/12</f>
        <v>3.191205956226034E-3</v>
      </c>
      <c r="ED57" s="22">
        <f t="shared" si="18"/>
        <v>5.2052076394524383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228.00959999999995</v>
      </c>
      <c r="P58" s="13">
        <f t="shared" si="33"/>
        <v>55.852093054619829</v>
      </c>
      <c r="Q58" s="20">
        <f t="shared" si="53"/>
        <v>494.3924487367961</v>
      </c>
      <c r="R58" s="59">
        <f t="shared" si="0"/>
        <v>787.72578207012941</v>
      </c>
      <c r="S58" s="59">
        <f ca="1">AVERAGE(OFFSET($R$3,0,0,'Données projet'!$E$9+1,1))-AVERAGE(OFFSET($H$3,0,0,'Données projet'!$E$9+1,1))</f>
        <v>469.68830256438338</v>
      </c>
      <c r="T58" s="59">
        <f t="shared" si="34"/>
        <v>332.61387922152159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1.4680294209677922</v>
      </c>
      <c r="AA58" s="21">
        <f>EXP(-LN(2)/25)*AA57+(1-EXP(-LN(2)/25))/(LN(2)/25)*Calculateur!V58*Calculateur!X58*VLOOKUP('Données projet'!$B$9,Paramètres!$A$1:$I$89,3,0)*0.475*44/12</f>
        <v>5.6414092002548752</v>
      </c>
      <c r="AB58" s="21">
        <f>EXP(-LN(2)/2)*AB57+(1-EXP(-LN(2)/2))/(LN(2)/2)*V58*Y58*VLOOKUP('Données projet'!$B$9,Paramètres!$A$1:$I$89,3,0)*0.475*44/12</f>
        <v>3.7208277808027774E-3</v>
      </c>
      <c r="AC58" s="22">
        <f t="shared" si="3"/>
        <v>7.1131594490034695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271.25279999999992</v>
      </c>
      <c r="AK58" s="13">
        <f t="shared" si="35"/>
        <v>65.115073390838859</v>
      </c>
      <c r="AL58" s="20">
        <f t="shared" si="4"/>
        <v>585.84071282237755</v>
      </c>
      <c r="AM58" s="59">
        <f t="shared" si="5"/>
        <v>879.17404615571081</v>
      </c>
      <c r="AN58" s="59">
        <f ca="1">AVERAGE(OFFSET($AM$3,0,0,'Données projet'!$E$10+1,1))-AVERAGE(OFFSET($H$3,0,0,'Données projet'!$E$10+1,1))</f>
        <v>550.66682372933292</v>
      </c>
      <c r="AO58" s="59">
        <f t="shared" si="36"/>
        <v>387.28615589698444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1.7464487939099598</v>
      </c>
      <c r="AV58" s="21">
        <f>EXP(-LN(2)/25)*AV57+(1-EXP(-LN(2)/25))/(LN(2)/25)*Calculateur!AQ58*Calculateur!AS58*VLOOKUP('Données projet'!$B$10,Paramètres!$A$1:$I$89,3,0)*0.475*44/12</f>
        <v>6.7113316347859771</v>
      </c>
      <c r="AW58" s="21">
        <f>EXP(-LN(2)/2)*AW57+(1-EXP(-LN(2)/2))/(LN(2)/2)*AQ58*AT58*VLOOKUP('Données projet'!$B$10,Paramètres!$A$1:$I$89,3,0)*0.475*44/12</f>
        <v>4.4265020150929526E-3</v>
      </c>
      <c r="AX58" s="21">
        <f t="shared" si="6"/>
        <v>8.4622069307110301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9.6999999999999993</v>
      </c>
      <c r="BD58" s="12">
        <f>IF('Données projet'!$A$88&gt;35,BD57+BC58-BL57,IF(A58&lt;'Données projet'!$A$88,$BA$205^A58,IF(A58='Données projet'!$A$88,'Données projet'!$B$88,BD57+BC58-BL57)))</f>
        <v>296.5</v>
      </c>
      <c r="BE58" s="13">
        <f>BD58*VLOOKUP('Données projet'!$B$11,Paramètres!$A$1:$I$89,3,0)*VLOOKUP('Données projet'!$B$11,Paramètres!$A$1:$I$89,5,0)</f>
        <v>231.27</v>
      </c>
      <c r="BF58" s="13">
        <f t="shared" si="37"/>
        <v>56.557197156476896</v>
      </c>
      <c r="BG58" s="20">
        <f t="shared" si="7"/>
        <v>501.29903504753059</v>
      </c>
      <c r="BH58" s="59">
        <f t="shared" si="8"/>
        <v>794.63236838086391</v>
      </c>
      <c r="BI58" s="59">
        <f ca="1">AVERAGE(OFFSET($BH$3,0,0,'Données projet'!$E$11+1,1))-AVERAGE(OFFSET($H$3,0,0,'Données projet'!$E$11+1,1))</f>
        <v>376.33792692771908</v>
      </c>
      <c r="BJ58" s="59">
        <f t="shared" si="38"/>
        <v>367.92889258044698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0.8813600279825109</v>
      </c>
      <c r="BQ58" s="21">
        <f>EXP(-LN(2)/25)*BQ57+(1-EXP(-LN(2)/25))/(LN(2)/25)*Calculateur!BL58*Calculateur!BN58*VLOOKUP('Données projet'!$B$11,Paramètres!$A$1:$I$89,3,0)*0.475*44/12</f>
        <v>4.1853612653669945</v>
      </c>
      <c r="BR58" s="21">
        <f>EXP(-LN(2)/2)*BR57+(1-EXP(-LN(2)/2))/(LN(2)/2)*BL58*BO58*VLOOKUP('Données projet'!$B$11,Paramètres!$A$1:$I$89,3,0)*0.475*44/12</f>
        <v>2.2565233718103293E-3</v>
      </c>
      <c r="BS58" s="22">
        <f t="shared" si="9"/>
        <v>5.0689778167213158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177.34080000000012</v>
      </c>
      <c r="CA58" s="13">
        <f t="shared" si="39"/>
        <v>44.730051658603102</v>
      </c>
      <c r="CB58" s="20">
        <f t="shared" si="10"/>
        <v>386.77339997206718</v>
      </c>
      <c r="CC58" s="59">
        <f t="shared" si="11"/>
        <v>680.10673330540044</v>
      </c>
      <c r="CD58" s="59">
        <f ca="1">AVERAGE(OFFSET($CC$3,0,0,'Données projet'!$E$12+1,1))-AVERAGE(OFFSET($H$3,0,0,'Données projet'!$E$12+1,1))</f>
        <v>388.50131600273431</v>
      </c>
      <c r="CE58" s="59">
        <f t="shared" si="40"/>
        <v>247.01165577562955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1.552969086244955</v>
      </c>
      <c r="CM58" s="21">
        <f>EXP(-LN(2)/2)*CM57+(1-EXP(-LN(2)/2))/(LN(2)/2)*CG58*CJ58*VLOOKUP('Données projet'!$B$12,Paramètres!$A$1:$I$89,3,0)*0.475*44/12</f>
        <v>1.0684887302218626E-3</v>
      </c>
      <c r="CN58" s="22">
        <f t="shared" si="12"/>
        <v>1.5540375749751769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7.8</v>
      </c>
      <c r="CT58" s="12">
        <f>IF('Données projet'!$A$140&gt;35,CT57+CS58-DB57,IF(A58&lt;'Données projet'!$A$140,$CQ$205^A58,IF(A58='Données projet'!$A$140,'Données projet'!$B$140,CT57+CS58-DB57)))</f>
        <v>196.00000000000011</v>
      </c>
      <c r="CU58" s="17">
        <f>CT58*VLOOKUP('Données projet'!$B$13,Paramètres!$A$1:$I$89,3,0)*VLOOKUP('Données projet'!$B$13,Paramètres!$A$1:$I$89,5,0)</f>
        <v>210.97440000000012</v>
      </c>
      <c r="CV58" s="13">
        <f t="shared" si="41"/>
        <v>52.148459211324756</v>
      </c>
      <c r="CW58" s="20">
        <f t="shared" si="13"/>
        <v>458.27231312639077</v>
      </c>
      <c r="CX58" s="59">
        <f t="shared" si="14"/>
        <v>751.60564645972408</v>
      </c>
      <c r="CY58" s="59">
        <f ca="1">AVERAGE(OFFSET($CX$3,0,0,'Données projet'!$E$13+1,1))-AVERAGE(OFFSET($H$3,0,0,'Données projet'!$E$13+1,1))</f>
        <v>454.43000549907373</v>
      </c>
      <c r="CZ58" s="59">
        <f t="shared" si="42"/>
        <v>285.83623046025156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1.8474977060500324</v>
      </c>
      <c r="DH58" s="21">
        <f>EXP(-LN(2)/2)*DH57+(1-EXP(-LN(2)/2))/(LN(2)/2)*DB58*DE58*VLOOKUP('Données projet'!$B$13,Paramètres!$A$1:$I$89,3,0)*0.475*44/12</f>
        <v>1.271133144574287E-3</v>
      </c>
      <c r="DI58" s="22">
        <f t="shared" si="15"/>
        <v>1.8487688391946067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9.6999999999999993</v>
      </c>
      <c r="DO58" s="12">
        <f>IF('Données projet'!$A$166&gt;35,DO57+DN58-DW57,IF(A58&lt;'Données projet'!$A$166,$DL$205^A58,IF(A58='Données projet'!$A$166,'Données projet'!$B$166,DO57+DN58-DW57)))</f>
        <v>296.5</v>
      </c>
      <c r="DP58" s="17">
        <f>DO58*VLOOKUP('Données projet'!$B$14,Paramètres!$A$1:$I$89,3,0)*VLOOKUP('Données projet'!$B$14,Paramètres!$A$1:$I$89,5,0)</f>
        <v>231.27</v>
      </c>
      <c r="DQ58" s="13">
        <f t="shared" si="43"/>
        <v>56.557197156476896</v>
      </c>
      <c r="DR58" s="20">
        <f t="shared" si="16"/>
        <v>501.29903504753059</v>
      </c>
      <c r="DS58" s="59">
        <f t="shared" si="17"/>
        <v>794.63236838086391</v>
      </c>
      <c r="DT58" s="59">
        <f ca="1">AVERAGE(OFFSET($DS$3,0,0,'Données projet'!$E$14+1,1))-AVERAGE(OFFSET($H$3,0,0,'Données projet'!$E$14+1,1))</f>
        <v>376.33792692771908</v>
      </c>
      <c r="DU58" s="59">
        <f t="shared" si="44"/>
        <v>367.92889258044698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0.8813600279825109</v>
      </c>
      <c r="EB58" s="21">
        <f>EXP(-LN(2)/25)*EB57+(1-EXP(-LN(2)/25))/(LN(2)/25)*Calculateur!DW58*Calculateur!DY58*VLOOKUP('Données projet'!$B$14,Paramètres!$A$1:$I$89,3,0)*0.475*44/12</f>
        <v>4.1853612653669945</v>
      </c>
      <c r="EC58" s="21">
        <f>EXP(-LN(2)/2)*EC57+(1-EXP(-LN(2)/2))/(LN(2)/2)*DW58*DZ58*VLOOKUP('Données projet'!$B$14,Paramètres!$A$1:$I$89,3,0)*0.475*44/12</f>
        <v>2.2565233718103293E-3</v>
      </c>
      <c r="ED58" s="22">
        <f t="shared" si="18"/>
        <v>5.0689778167213158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236.87663999999995</v>
      </c>
      <c r="P59" s="13">
        <f t="shared" si="33"/>
        <v>57.767012893614115</v>
      </c>
      <c r="Q59" s="20">
        <f t="shared" si="53"/>
        <v>513.17102878971104</v>
      </c>
      <c r="R59" s="59">
        <f t="shared" si="0"/>
        <v>806.5043621230443</v>
      </c>
      <c r="S59" s="59">
        <f ca="1">AVERAGE(OFFSET($R$3,0,0,'Données projet'!$E$9+1,1))-AVERAGE(OFFSET($H$3,0,0,'Données projet'!$E$9+1,1))</f>
        <v>469.68830256438338</v>
      </c>
      <c r="T59" s="59">
        <f t="shared" si="34"/>
        <v>332.61387922152159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1.4392422594321463</v>
      </c>
      <c r="AA59" s="21">
        <f>EXP(-LN(2)/25)*AA58+(1-EXP(-LN(2)/25))/(LN(2)/25)*Calculateur!V59*Calculateur!X59*VLOOKUP('Données projet'!$B$9,Paramètres!$A$1:$I$89,3,0)*0.475*44/12</f>
        <v>5.4871445690050891</v>
      </c>
      <c r="AB59" s="21">
        <f>EXP(-LN(2)/2)*AB58+(1-EXP(-LN(2)/2))/(LN(2)/2)*V59*Y59*VLOOKUP('Données projet'!$B$9,Paramètres!$A$1:$I$89,3,0)*0.475*44/12</f>
        <v>2.6310225554329368E-3</v>
      </c>
      <c r="AC59" s="22">
        <f t="shared" si="3"/>
        <v>6.9290178509926683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281.80151999999998</v>
      </c>
      <c r="AK59" s="13">
        <f t="shared" si="35"/>
        <v>67.347579623537186</v>
      </c>
      <c r="AL59" s="20">
        <f t="shared" si="4"/>
        <v>608.10134851099394</v>
      </c>
      <c r="AM59" s="59">
        <f t="shared" si="5"/>
        <v>901.43468184432732</v>
      </c>
      <c r="AN59" s="59">
        <f ca="1">AVERAGE(OFFSET($AM$3,0,0,'Données projet'!$E$10+1,1))-AVERAGE(OFFSET($H$3,0,0,'Données projet'!$E$10+1,1))</f>
        <v>550.66682372933292</v>
      </c>
      <c r="AO59" s="59">
        <f t="shared" si="36"/>
        <v>387.28615589698444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1.7122019982899672</v>
      </c>
      <c r="AV59" s="21">
        <f>EXP(-LN(2)/25)*AV58+(1-EXP(-LN(2)/25))/(LN(2)/25)*Calculateur!AQ59*Calculateur!AS59*VLOOKUP('Données projet'!$B$10,Paramètres!$A$1:$I$89,3,0)*0.475*44/12</f>
        <v>6.5278099182991625</v>
      </c>
      <c r="AW59" s="21">
        <f>EXP(-LN(2)/2)*AW58+(1-EXP(-LN(2)/2))/(LN(2)/2)*AQ59*AT59*VLOOKUP('Données projet'!$B$10,Paramètres!$A$1:$I$89,3,0)*0.475*44/12</f>
        <v>3.1300095918081442E-3</v>
      </c>
      <c r="AX59" s="21">
        <f t="shared" si="6"/>
        <v>8.2431419261809378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9.6999999999999993</v>
      </c>
      <c r="BD59" s="12">
        <f>IF('Données projet'!$A$88&gt;35,BD58+BC59-BL58,IF(A59&lt;'Données projet'!$A$88,$BA$205^A59,IF(A59='Données projet'!$A$88,'Données projet'!$B$88,BD58+BC59-BL58)))</f>
        <v>306.2</v>
      </c>
      <c r="BE59" s="13">
        <f>BD59*VLOOKUP('Données projet'!$B$11,Paramètres!$A$1:$I$89,3,0)*VLOOKUP('Données projet'!$B$11,Paramètres!$A$1:$I$89,5,0)</f>
        <v>238.83600000000001</v>
      </c>
      <c r="BF59" s="13">
        <f t="shared" si="37"/>
        <v>58.189019392222875</v>
      </c>
      <c r="BG59" s="20">
        <f t="shared" si="7"/>
        <v>517.31857544145475</v>
      </c>
      <c r="BH59" s="59">
        <f t="shared" si="8"/>
        <v>810.65190877478813</v>
      </c>
      <c r="BI59" s="59">
        <f ca="1">AVERAGE(OFFSET($BH$3,0,0,'Données projet'!$E$11+1,1))-AVERAGE(OFFSET($H$3,0,0,'Données projet'!$E$11+1,1))</f>
        <v>376.33792692771908</v>
      </c>
      <c r="BJ59" s="59">
        <f t="shared" si="38"/>
        <v>367.92889258044698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0.86407709541030964</v>
      </c>
      <c r="BQ59" s="21">
        <f>EXP(-LN(2)/25)*BQ58+(1-EXP(-LN(2)/25))/(LN(2)/25)*Calculateur!BL59*Calculateur!BN59*VLOOKUP('Données projet'!$B$11,Paramètres!$A$1:$I$89,3,0)*0.475*44/12</f>
        <v>4.0709123414669506</v>
      </c>
      <c r="BR59" s="21">
        <f>EXP(-LN(2)/2)*BR58+(1-EXP(-LN(2)/2))/(LN(2)/2)*BL59*BO59*VLOOKUP('Données projet'!$B$11,Paramètres!$A$1:$I$89,3,0)*0.475*44/12</f>
        <v>1.595602978113017E-3</v>
      </c>
      <c r="BS59" s="22">
        <f t="shared" si="9"/>
        <v>4.9365850398553732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184.3982400000001</v>
      </c>
      <c r="CA59" s="13">
        <f t="shared" si="39"/>
        <v>46.299334464645959</v>
      </c>
      <c r="CB59" s="20">
        <f t="shared" si="10"/>
        <v>401.79827552592519</v>
      </c>
      <c r="CC59" s="59">
        <f t="shared" si="11"/>
        <v>695.13160885925845</v>
      </c>
      <c r="CD59" s="59">
        <f ca="1">AVERAGE(OFFSET($CC$3,0,0,'Données projet'!$E$12+1,1))-AVERAGE(OFFSET($H$3,0,0,'Données projet'!$E$12+1,1))</f>
        <v>388.50131600273431</v>
      </c>
      <c r="CE59" s="59">
        <f t="shared" si="40"/>
        <v>247.01165577562955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1.5105030649144917</v>
      </c>
      <c r="CM59" s="21">
        <f>EXP(-LN(2)/2)*CM58+(1-EXP(-LN(2)/2))/(LN(2)/2)*CG59*CJ59*VLOOKUP('Données projet'!$B$12,Paramètres!$A$1:$I$89,3,0)*0.475*44/12</f>
        <v>7.5553562676128263E-4</v>
      </c>
      <c r="CN59" s="22">
        <f t="shared" si="12"/>
        <v>1.5112586005412529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7.8</v>
      </c>
      <c r="CT59" s="12">
        <f>IF('Données projet'!$A$140&gt;35,CT58+CS59-DB58,IF(A59&lt;'Données projet'!$A$140,$CQ$205^A59,IF(A59='Données projet'!$A$140,'Données projet'!$B$140,CT58+CS59-DB58)))</f>
        <v>203.80000000000013</v>
      </c>
      <c r="CU59" s="17">
        <f>CT59*VLOOKUP('Données projet'!$B$13,Paramètres!$A$1:$I$89,3,0)*VLOOKUP('Données projet'!$B$13,Paramètres!$A$1:$I$89,5,0)</f>
        <v>219.37032000000011</v>
      </c>
      <c r="CV59" s="13">
        <f t="shared" si="41"/>
        <v>53.978005061764598</v>
      </c>
      <c r="CW59" s="20">
        <f t="shared" si="13"/>
        <v>476.08166614924016</v>
      </c>
      <c r="CX59" s="59">
        <f t="shared" si="14"/>
        <v>769.41499948257342</v>
      </c>
      <c r="CY59" s="59">
        <f ca="1">AVERAGE(OFFSET($CX$3,0,0,'Données projet'!$E$13+1,1))-AVERAGE(OFFSET($H$3,0,0,'Données projet'!$E$13+1,1))</f>
        <v>454.43000549907373</v>
      </c>
      <c r="CZ59" s="59">
        <f t="shared" si="42"/>
        <v>285.83623046025156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1.7969777841224124</v>
      </c>
      <c r="DH59" s="21">
        <f>EXP(-LN(2)/2)*DH58+(1-EXP(-LN(2)/2))/(LN(2)/2)*DB59*DE59*VLOOKUP('Données projet'!$B$13,Paramètres!$A$1:$I$89,3,0)*0.475*44/12</f>
        <v>8.9882686631945847E-4</v>
      </c>
      <c r="DI59" s="22">
        <f t="shared" si="15"/>
        <v>1.7978766109887319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9.6999999999999993</v>
      </c>
      <c r="DO59" s="12">
        <f>IF('Données projet'!$A$166&gt;35,DO58+DN59-DW58,IF(A59&lt;'Données projet'!$A$166,$DL$205^A59,IF(A59='Données projet'!$A$166,'Données projet'!$B$166,DO58+DN59-DW58)))</f>
        <v>306.2</v>
      </c>
      <c r="DP59" s="17">
        <f>DO59*VLOOKUP('Données projet'!$B$14,Paramètres!$A$1:$I$89,3,0)*VLOOKUP('Données projet'!$B$14,Paramètres!$A$1:$I$89,5,0)</f>
        <v>238.83600000000001</v>
      </c>
      <c r="DQ59" s="13">
        <f t="shared" si="43"/>
        <v>58.189019392222875</v>
      </c>
      <c r="DR59" s="20">
        <f t="shared" si="16"/>
        <v>517.31857544145475</v>
      </c>
      <c r="DS59" s="59">
        <f t="shared" si="17"/>
        <v>810.65190877478813</v>
      </c>
      <c r="DT59" s="59">
        <f ca="1">AVERAGE(OFFSET($DS$3,0,0,'Données projet'!$E$14+1,1))-AVERAGE(OFFSET($H$3,0,0,'Données projet'!$E$14+1,1))</f>
        <v>376.33792692771908</v>
      </c>
      <c r="DU59" s="59">
        <f t="shared" si="44"/>
        <v>367.92889258044698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0.86407709541030964</v>
      </c>
      <c r="EB59" s="21">
        <f>EXP(-LN(2)/25)*EB58+(1-EXP(-LN(2)/25))/(LN(2)/25)*Calculateur!DW59*Calculateur!DY59*VLOOKUP('Données projet'!$B$14,Paramètres!$A$1:$I$89,3,0)*0.475*44/12</f>
        <v>4.0709123414669506</v>
      </c>
      <c r="EC59" s="21">
        <f>EXP(-LN(2)/2)*EC58+(1-EXP(-LN(2)/2))/(LN(2)/2)*DW59*DZ59*VLOOKUP('Données projet'!$B$14,Paramètres!$A$1:$I$89,3,0)*0.475*44/12</f>
        <v>1.595602978113017E-3</v>
      </c>
      <c r="ED59" s="22">
        <f t="shared" si="18"/>
        <v>4.9365850398553732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245.74367999999996</v>
      </c>
      <c r="P60" s="13">
        <f t="shared" si="33"/>
        <v>59.673605104126452</v>
      </c>
      <c r="Q60" s="20">
        <f t="shared" si="53"/>
        <v>531.93510488968684</v>
      </c>
      <c r="R60" s="59">
        <f t="shared" si="0"/>
        <v>825.26843822302021</v>
      </c>
      <c r="S60" s="59">
        <f ca="1">AVERAGE(OFFSET($R$3,0,0,'Données projet'!$E$9+1,1))-AVERAGE(OFFSET($H$3,0,0,'Données projet'!$E$9+1,1))</f>
        <v>469.68830256438338</v>
      </c>
      <c r="T60" s="59">
        <f t="shared" si="34"/>
        <v>332.61387922152159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1.4110195965757797</v>
      </c>
      <c r="AA60" s="21">
        <f>EXP(-LN(2)/25)*AA59+(1-EXP(-LN(2)/25))/(LN(2)/25)*Calculateur!V60*Calculateur!X60*VLOOKUP('Données projet'!$B$9,Paramètres!$A$1:$I$89,3,0)*0.475*44/12</f>
        <v>5.3370983122092532</v>
      </c>
      <c r="AB60" s="21">
        <f>EXP(-LN(2)/2)*AB59+(1-EXP(-LN(2)/2))/(LN(2)/2)*V60*Y60*VLOOKUP('Données projet'!$B$9,Paramètres!$A$1:$I$89,3,0)*0.475*44/12</f>
        <v>1.8604138904013889E-3</v>
      </c>
      <c r="AC60" s="22">
        <f t="shared" si="3"/>
        <v>6.7499783226754344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292.35023999999999</v>
      </c>
      <c r="AK60" s="13">
        <f t="shared" si="35"/>
        <v>69.570377103884141</v>
      </c>
      <c r="AL60" s="20">
        <f t="shared" si="4"/>
        <v>630.3450747892648</v>
      </c>
      <c r="AM60" s="59">
        <f t="shared" si="5"/>
        <v>923.67840812259806</v>
      </c>
      <c r="AN60" s="59">
        <f ca="1">AVERAGE(OFFSET($AM$3,0,0,'Données projet'!$E$10+1,1))-AVERAGE(OFFSET($H$3,0,0,'Données projet'!$E$10+1,1))</f>
        <v>550.66682372933292</v>
      </c>
      <c r="AO60" s="59">
        <f t="shared" si="36"/>
        <v>387.28615589698444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1.6786267614435999</v>
      </c>
      <c r="AV60" s="21">
        <f>EXP(-LN(2)/25)*AV59+(1-EXP(-LN(2)/25))/(LN(2)/25)*Calculateur!AQ60*Calculateur!AS60*VLOOKUP('Données projet'!$B$10,Paramètres!$A$1:$I$89,3,0)*0.475*44/12</f>
        <v>6.3493066128006674</v>
      </c>
      <c r="AW60" s="21">
        <f>EXP(-LN(2)/2)*AW59+(1-EXP(-LN(2)/2))/(LN(2)/2)*AQ60*AT60*VLOOKUP('Données projet'!$B$10,Paramètres!$A$1:$I$89,3,0)*0.475*44/12</f>
        <v>2.2132510075464763E-3</v>
      </c>
      <c r="AX60" s="21">
        <f t="shared" si="6"/>
        <v>8.0301466252518132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9.6999999999999993</v>
      </c>
      <c r="BD60" s="12">
        <f>IF('Données projet'!$A$88&gt;35,BD59+BC60-BL59,IF(A60&lt;'Données projet'!$A$88,$BA$205^A60,IF(A60='Données projet'!$A$88,'Données projet'!$B$88,BD59+BC60-BL59)))</f>
        <v>315.89999999999998</v>
      </c>
      <c r="BE60" s="13">
        <f>BD60*VLOOKUP('Données projet'!$B$11,Paramètres!$A$1:$I$89,3,0)*VLOOKUP('Données projet'!$B$11,Paramètres!$A$1:$I$89,5,0)</f>
        <v>246.40199999999999</v>
      </c>
      <c r="BF60" s="13">
        <f t="shared" si="37"/>
        <v>59.814834475385474</v>
      </c>
      <c r="BG60" s="20">
        <f t="shared" si="7"/>
        <v>533.32765337796297</v>
      </c>
      <c r="BH60" s="59">
        <f t="shared" si="8"/>
        <v>826.66098671129635</v>
      </c>
      <c r="BI60" s="59">
        <f ca="1">AVERAGE(OFFSET($BH$3,0,0,'Données projet'!$E$11+1,1))-AVERAGE(OFFSET($H$3,0,0,'Données projet'!$E$11+1,1))</f>
        <v>376.33792692771908</v>
      </c>
      <c r="BJ60" s="59">
        <f t="shared" si="38"/>
        <v>367.92889258044698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0.84713307060430132</v>
      </c>
      <c r="BQ60" s="21">
        <f>EXP(-LN(2)/25)*BQ59+(1-EXP(-LN(2)/25))/(LN(2)/25)*Calculateur!BL60*Calculateur!BN60*VLOOKUP('Données projet'!$B$11,Paramètres!$A$1:$I$89,3,0)*0.475*44/12</f>
        <v>3.9595930294095609</v>
      </c>
      <c r="BR60" s="21">
        <f>EXP(-LN(2)/2)*BR59+(1-EXP(-LN(2)/2))/(LN(2)/2)*BL60*BO60*VLOOKUP('Données projet'!$B$11,Paramètres!$A$1:$I$89,3,0)*0.475*44/12</f>
        <v>1.1282616859051647E-3</v>
      </c>
      <c r="BS60" s="22">
        <f t="shared" si="9"/>
        <v>4.8078543616997678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191.45568000000011</v>
      </c>
      <c r="CA60" s="13">
        <f t="shared" si="39"/>
        <v>47.861639935303188</v>
      </c>
      <c r="CB60" s="20">
        <f t="shared" si="10"/>
        <v>416.81099888731995</v>
      </c>
      <c r="CC60" s="59">
        <f t="shared" si="11"/>
        <v>710.14433222065327</v>
      </c>
      <c r="CD60" s="59">
        <f ca="1">AVERAGE(OFFSET($CC$3,0,0,'Données projet'!$E$12+1,1))-AVERAGE(OFFSET($H$3,0,0,'Données projet'!$E$12+1,1))</f>
        <v>388.50131600273431</v>
      </c>
      <c r="CE60" s="59">
        <f t="shared" si="40"/>
        <v>247.01165577562955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1.4691982791705009</v>
      </c>
      <c r="CM60" s="21">
        <f>EXP(-LN(2)/2)*CM59+(1-EXP(-LN(2)/2))/(LN(2)/2)*CG60*CJ60*VLOOKUP('Données projet'!$B$12,Paramètres!$A$1:$I$89,3,0)*0.475*44/12</f>
        <v>5.3424436511093131E-4</v>
      </c>
      <c r="CN60" s="22">
        <f t="shared" si="12"/>
        <v>1.4697325235356118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7.8</v>
      </c>
      <c r="CT60" s="12">
        <f>IF('Données projet'!$A$140&gt;35,CT59+CS60-DB59,IF(A60&lt;'Données projet'!$A$140,$CQ$205^A60,IF(A60='Données projet'!$A$140,'Données projet'!$B$140,CT59+CS60-DB59)))</f>
        <v>211.60000000000014</v>
      </c>
      <c r="CU60" s="17">
        <f>CT60*VLOOKUP('Données projet'!$B$13,Paramètres!$A$1:$I$89,3,0)*VLOOKUP('Données projet'!$B$13,Paramètres!$A$1:$I$89,5,0)</f>
        <v>227.76624000000012</v>
      </c>
      <c r="CV60" s="13">
        <f t="shared" si="41"/>
        <v>55.799416396900632</v>
      </c>
      <c r="CW60" s="20">
        <f t="shared" si="13"/>
        <v>493.87685155793548</v>
      </c>
      <c r="CX60" s="59">
        <f t="shared" si="14"/>
        <v>787.2101848912688</v>
      </c>
      <c r="CY60" s="59">
        <f ca="1">AVERAGE(OFFSET($CX$3,0,0,'Données projet'!$E$13+1,1))-AVERAGE(OFFSET($H$3,0,0,'Données projet'!$E$13+1,1))</f>
        <v>454.43000549907373</v>
      </c>
      <c r="CZ60" s="59">
        <f t="shared" si="42"/>
        <v>285.83623046025156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1.7478393321166303</v>
      </c>
      <c r="DH60" s="21">
        <f>EXP(-LN(2)/2)*DH59+(1-EXP(-LN(2)/2))/(LN(2)/2)*DB60*DE60*VLOOKUP('Données projet'!$B$13,Paramètres!$A$1:$I$89,3,0)*0.475*44/12</f>
        <v>6.3556657228714352E-4</v>
      </c>
      <c r="DI60" s="22">
        <f t="shared" si="15"/>
        <v>1.7484748986889176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9.6999999999999993</v>
      </c>
      <c r="DO60" s="12">
        <f>IF('Données projet'!$A$166&gt;35,DO59+DN60-DW59,IF(A60&lt;'Données projet'!$A$166,$DL$205^A60,IF(A60='Données projet'!$A$166,'Données projet'!$B$166,DO59+DN60-DW59)))</f>
        <v>315.89999999999998</v>
      </c>
      <c r="DP60" s="17">
        <f>DO60*VLOOKUP('Données projet'!$B$14,Paramètres!$A$1:$I$89,3,0)*VLOOKUP('Données projet'!$B$14,Paramètres!$A$1:$I$89,5,0)</f>
        <v>246.40199999999999</v>
      </c>
      <c r="DQ60" s="13">
        <f t="shared" si="43"/>
        <v>59.814834475385474</v>
      </c>
      <c r="DR60" s="20">
        <f t="shared" si="16"/>
        <v>533.32765337796297</v>
      </c>
      <c r="DS60" s="59">
        <f t="shared" si="17"/>
        <v>826.66098671129635</v>
      </c>
      <c r="DT60" s="59">
        <f ca="1">AVERAGE(OFFSET($DS$3,0,0,'Données projet'!$E$14+1,1))-AVERAGE(OFFSET($H$3,0,0,'Données projet'!$E$14+1,1))</f>
        <v>376.33792692771908</v>
      </c>
      <c r="DU60" s="59">
        <f t="shared" si="44"/>
        <v>367.92889258044698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0.84713307060430132</v>
      </c>
      <c r="EB60" s="21">
        <f>EXP(-LN(2)/25)*EB59+(1-EXP(-LN(2)/25))/(LN(2)/25)*Calculateur!DW60*Calculateur!DY60*VLOOKUP('Données projet'!$B$14,Paramètres!$A$1:$I$89,3,0)*0.475*44/12</f>
        <v>3.9595930294095609</v>
      </c>
      <c r="EC60" s="21">
        <f>EXP(-LN(2)/2)*EC59+(1-EXP(-LN(2)/2))/(LN(2)/2)*DW60*DZ60*VLOOKUP('Données projet'!$B$14,Paramètres!$A$1:$I$89,3,0)*0.475*44/12</f>
        <v>1.1282616859051647E-3</v>
      </c>
      <c r="ED60" s="22">
        <f t="shared" si="18"/>
        <v>4.8078543616997678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254.61071999999999</v>
      </c>
      <c r="P61" s="13">
        <f t="shared" si="33"/>
        <v>61.572204587965679</v>
      </c>
      <c r="Q61" s="20">
        <f t="shared" si="53"/>
        <v>550.68526032404009</v>
      </c>
      <c r="R61" s="59">
        <f t="shared" si="0"/>
        <v>844.01859365737346</v>
      </c>
      <c r="S61" s="59">
        <f ca="1">AVERAGE(OFFSET($R$3,0,0,'Données projet'!$E$9+1,1))-AVERAGE(OFFSET($H$3,0,0,'Données projet'!$E$9+1,1))</f>
        <v>469.68830256438338</v>
      </c>
      <c r="T61" s="59">
        <f t="shared" si="34"/>
        <v>332.61387922152159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1.3833503629239017</v>
      </c>
      <c r="AA61" s="21">
        <f>EXP(-LN(2)/25)*AA60+(1-EXP(-LN(2)/25))/(LN(2)/25)*Calculateur!V61*Calculateur!X61*VLOOKUP('Données projet'!$B$9,Paramètres!$A$1:$I$89,3,0)*0.475*44/12</f>
        <v>5.1911550781960889</v>
      </c>
      <c r="AB61" s="21">
        <f>EXP(-LN(2)/2)*AB60+(1-EXP(-LN(2)/2))/(LN(2)/2)*V61*Y61*VLOOKUP('Données projet'!$B$9,Paramètres!$A$1:$I$89,3,0)*0.475*44/12</f>
        <v>1.3155112777164686E-3</v>
      </c>
      <c r="AC61" s="22">
        <f t="shared" si="3"/>
        <v>6.5758209523977067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302.89895999999999</v>
      </c>
      <c r="AK61" s="13">
        <f t="shared" si="35"/>
        <v>71.783856276618167</v>
      </c>
      <c r="AL61" s="20">
        <f t="shared" si="4"/>
        <v>652.57257168177659</v>
      </c>
      <c r="AM61" s="59">
        <f t="shared" si="5"/>
        <v>945.90590501510997</v>
      </c>
      <c r="AN61" s="59">
        <f ca="1">AVERAGE(OFFSET($AM$3,0,0,'Données projet'!$E$10+1,1))-AVERAGE(OFFSET($H$3,0,0,'Données projet'!$E$10+1,1))</f>
        <v>550.66682372933292</v>
      </c>
      <c r="AO61" s="59">
        <f t="shared" si="36"/>
        <v>387.28615589698444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1.6457099145129175</v>
      </c>
      <c r="AV61" s="21">
        <f>EXP(-LN(2)/25)*AV60+(1-EXP(-LN(2)/25))/(LN(2)/25)*Calculateur!AQ61*Calculateur!AS61*VLOOKUP('Données projet'!$B$10,Paramètres!$A$1:$I$89,3,0)*0.475*44/12</f>
        <v>6.17568448957811</v>
      </c>
      <c r="AW61" s="21">
        <f>EXP(-LN(2)/2)*AW60+(1-EXP(-LN(2)/2))/(LN(2)/2)*AQ61*AT61*VLOOKUP('Données projet'!$B$10,Paramètres!$A$1:$I$89,3,0)*0.475*44/12</f>
        <v>1.5650047959040721E-3</v>
      </c>
      <c r="AX61" s="21">
        <f t="shared" si="6"/>
        <v>7.8229594088869314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9.6999999999999993</v>
      </c>
      <c r="BD61" s="12">
        <f>IF('Données projet'!$A$88&gt;35,BD60+BC61-BL60,IF(A61&lt;'Données projet'!$A$88,$BA$205^A61,IF(A61='Données projet'!$A$88,'Données projet'!$B$88,BD60+BC61-BL60)))</f>
        <v>325.59999999999997</v>
      </c>
      <c r="BE61" s="13">
        <f>BD61*VLOOKUP('Données projet'!$B$11,Paramètres!$A$1:$I$89,3,0)*VLOOKUP('Données projet'!$B$11,Paramètres!$A$1:$I$89,5,0)</f>
        <v>253.96799999999999</v>
      </c>
      <c r="BF61" s="13">
        <f t="shared" si="37"/>
        <v>61.434848029666512</v>
      </c>
      <c r="BG61" s="20">
        <f t="shared" si="7"/>
        <v>549.32662698500246</v>
      </c>
      <c r="BH61" s="59">
        <f t="shared" si="8"/>
        <v>842.65996031833583</v>
      </c>
      <c r="BI61" s="59">
        <f ca="1">AVERAGE(OFFSET($BH$3,0,0,'Données projet'!$E$11+1,1))-AVERAGE(OFFSET($H$3,0,0,'Données projet'!$E$11+1,1))</f>
        <v>376.33792692771908</v>
      </c>
      <c r="BJ61" s="59">
        <f t="shared" si="38"/>
        <v>367.92889258044698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0.83052130778990418</v>
      </c>
      <c r="BQ61" s="21">
        <f>EXP(-LN(2)/25)*BQ60+(1-EXP(-LN(2)/25))/(LN(2)/25)*Calculateur!BL61*Calculateur!BN61*VLOOKUP('Données projet'!$B$11,Paramètres!$A$1:$I$89,3,0)*0.475*44/12</f>
        <v>3.8513177497944087</v>
      </c>
      <c r="BR61" s="21">
        <f>EXP(-LN(2)/2)*BR60+(1-EXP(-LN(2)/2))/(LN(2)/2)*BL61*BO61*VLOOKUP('Données projet'!$B$11,Paramètres!$A$1:$I$89,3,0)*0.475*44/12</f>
        <v>7.9780148905650851E-4</v>
      </c>
      <c r="BS61" s="22">
        <f t="shared" si="9"/>
        <v>4.6826368590733694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198.51312000000013</v>
      </c>
      <c r="CA61" s="13">
        <f t="shared" si="39"/>
        <v>49.417254724004458</v>
      </c>
      <c r="CB61" s="20">
        <f t="shared" si="10"/>
        <v>431.81206931097466</v>
      </c>
      <c r="CC61" s="59">
        <f t="shared" si="11"/>
        <v>725.14540264430798</v>
      </c>
      <c r="CD61" s="59">
        <f ca="1">AVERAGE(OFFSET($CC$3,0,0,'Données projet'!$E$12+1,1))-AVERAGE(OFFSET($H$3,0,0,'Données projet'!$E$12+1,1))</f>
        <v>388.50131600273431</v>
      </c>
      <c r="CE61" s="59">
        <f t="shared" si="40"/>
        <v>247.01165577562955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1.429022974964804</v>
      </c>
      <c r="CM61" s="21">
        <f>EXP(-LN(2)/2)*CM60+(1-EXP(-LN(2)/2))/(LN(2)/2)*CG61*CJ61*VLOOKUP('Données projet'!$B$12,Paramètres!$A$1:$I$89,3,0)*0.475*44/12</f>
        <v>3.7776781338064131E-4</v>
      </c>
      <c r="CN61" s="22">
        <f t="shared" si="12"/>
        <v>1.4294007427781847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7.8</v>
      </c>
      <c r="CT61" s="12">
        <f>IF('Données projet'!$A$140&gt;35,CT60+CS61-DB60,IF(A61&lt;'Données projet'!$A$140,$CQ$205^A61,IF(A61='Données projet'!$A$140,'Données projet'!$B$140,CT60+CS61-DB60)))</f>
        <v>219.40000000000015</v>
      </c>
      <c r="CU61" s="17">
        <f>CT61*VLOOKUP('Données projet'!$B$13,Paramètres!$A$1:$I$89,3,0)*VLOOKUP('Données projet'!$B$13,Paramètres!$A$1:$I$89,5,0)</f>
        <v>236.16216000000014</v>
      </c>
      <c r="CV61" s="13">
        <f t="shared" si="41"/>
        <v>57.613027411175402</v>
      </c>
      <c r="CW61" s="20">
        <f t="shared" si="13"/>
        <v>511.65845140779737</v>
      </c>
      <c r="CX61" s="59">
        <f t="shared" si="14"/>
        <v>804.99178474113069</v>
      </c>
      <c r="CY61" s="59">
        <f ca="1">AVERAGE(OFFSET($CX$3,0,0,'Données projet'!$E$13+1,1))-AVERAGE(OFFSET($H$3,0,0,'Données projet'!$E$13+1,1))</f>
        <v>454.43000549907373</v>
      </c>
      <c r="CZ61" s="59">
        <f t="shared" si="42"/>
        <v>285.83623046025156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1.7000445736650254</v>
      </c>
      <c r="DH61" s="21">
        <f>EXP(-LN(2)/2)*DH60+(1-EXP(-LN(2)/2))/(LN(2)/2)*DB61*DE61*VLOOKUP('Données projet'!$B$13,Paramètres!$A$1:$I$89,3,0)*0.475*44/12</f>
        <v>4.4941343315972924E-4</v>
      </c>
      <c r="DI61" s="22">
        <f t="shared" si="15"/>
        <v>1.700493987098185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9.6999999999999993</v>
      </c>
      <c r="DO61" s="12">
        <f>IF('Données projet'!$A$166&gt;35,DO60+DN61-DW60,IF(A61&lt;'Données projet'!$A$166,$DL$205^A61,IF(A61='Données projet'!$A$166,'Données projet'!$B$166,DO60+DN61-DW60)))</f>
        <v>325.59999999999997</v>
      </c>
      <c r="DP61" s="17">
        <f>DO61*VLOOKUP('Données projet'!$B$14,Paramètres!$A$1:$I$89,3,0)*VLOOKUP('Données projet'!$B$14,Paramètres!$A$1:$I$89,5,0)</f>
        <v>253.96799999999999</v>
      </c>
      <c r="DQ61" s="13">
        <f t="shared" si="43"/>
        <v>61.434848029666512</v>
      </c>
      <c r="DR61" s="20">
        <f t="shared" si="16"/>
        <v>549.32662698500246</v>
      </c>
      <c r="DS61" s="59">
        <f t="shared" si="17"/>
        <v>842.65996031833583</v>
      </c>
      <c r="DT61" s="59">
        <f ca="1">AVERAGE(OFFSET($DS$3,0,0,'Données projet'!$E$14+1,1))-AVERAGE(OFFSET($H$3,0,0,'Données projet'!$E$14+1,1))</f>
        <v>376.33792692771908</v>
      </c>
      <c r="DU61" s="59">
        <f t="shared" si="44"/>
        <v>367.92889258044698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0.83052130778990418</v>
      </c>
      <c r="EB61" s="21">
        <f>EXP(-LN(2)/25)*EB60+(1-EXP(-LN(2)/25))/(LN(2)/25)*Calculateur!DW61*Calculateur!DY61*VLOOKUP('Données projet'!$B$14,Paramètres!$A$1:$I$89,3,0)*0.475*44/12</f>
        <v>3.8513177497944087</v>
      </c>
      <c r="EC61" s="21">
        <f>EXP(-LN(2)/2)*EC60+(1-EXP(-LN(2)/2))/(LN(2)/2)*DW61*DZ61*VLOOKUP('Données projet'!$B$14,Paramètres!$A$1:$I$89,3,0)*0.475*44/12</f>
        <v>7.9780148905650851E-4</v>
      </c>
      <c r="ED61" s="22">
        <f t="shared" si="18"/>
        <v>4.6826368590733694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263.47775999999999</v>
      </c>
      <c r="P62" s="13">
        <f t="shared" si="33"/>
        <v>63.46312159763346</v>
      </c>
      <c r="Q62" s="20">
        <f t="shared" si="53"/>
        <v>569.42203544921153</v>
      </c>
      <c r="R62" s="59">
        <f t="shared" si="0"/>
        <v>862.75536878254479</v>
      </c>
      <c r="S62" s="59">
        <f ca="1">AVERAGE(OFFSET($R$3,0,0,'Données projet'!$E$9+1,1))-AVERAGE(OFFSET($H$3,0,0,'Données projet'!$E$9+1,1))</f>
        <v>469.68830256438338</v>
      </c>
      <c r="T62" s="59">
        <f t="shared" si="34"/>
        <v>332.61387922152159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1.356223706067371</v>
      </c>
      <c r="AA62" s="21">
        <f>EXP(-LN(2)/25)*AA61+(1-EXP(-LN(2)/25))/(LN(2)/25)*Calculateur!V62*Calculateur!X62*VLOOKUP('Données projet'!$B$9,Paramètres!$A$1:$I$89,3,0)*0.475*44/12</f>
        <v>5.0492026695918355</v>
      </c>
      <c r="AB62" s="21">
        <f>EXP(-LN(2)/2)*AB61+(1-EXP(-LN(2)/2))/(LN(2)/2)*V62*Y62*VLOOKUP('Données projet'!$B$9,Paramètres!$A$1:$I$89,3,0)*0.475*44/12</f>
        <v>9.3020694520069456E-4</v>
      </c>
      <c r="AC62" s="22">
        <f t="shared" si="3"/>
        <v>6.4063565826044071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313.44767999999993</v>
      </c>
      <c r="AK62" s="13">
        <f t="shared" si="35"/>
        <v>73.988378849122171</v>
      </c>
      <c r="AL62" s="20">
        <f t="shared" si="4"/>
        <v>674.78446916222094</v>
      </c>
      <c r="AM62" s="59">
        <f t="shared" si="5"/>
        <v>968.11780249555432</v>
      </c>
      <c r="AN62" s="59">
        <f ca="1">AVERAGE(OFFSET($AM$3,0,0,'Données projet'!$E$10+1,1))-AVERAGE(OFFSET($H$3,0,0,'Données projet'!$E$10+1,1))</f>
        <v>550.66682372933292</v>
      </c>
      <c r="AO62" s="59">
        <f t="shared" si="36"/>
        <v>387.28615589698444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1.6134385468732515</v>
      </c>
      <c r="AV62" s="21">
        <f>EXP(-LN(2)/25)*AV61+(1-EXP(-LN(2)/25))/(LN(2)/25)*Calculateur!AQ62*Calculateur!AS62*VLOOKUP('Données projet'!$B$10,Paramètres!$A$1:$I$89,3,0)*0.475*44/12</f>
        <v>6.0068100724454636</v>
      </c>
      <c r="AW62" s="21">
        <f>EXP(-LN(2)/2)*AW61+(1-EXP(-LN(2)/2))/(LN(2)/2)*AQ62*AT62*VLOOKUP('Données projet'!$B$10,Paramètres!$A$1:$I$89,3,0)*0.475*44/12</f>
        <v>1.1066255037732382E-3</v>
      </c>
      <c r="AX62" s="21">
        <f t="shared" si="6"/>
        <v>7.6213552448224888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9.6999999999999993</v>
      </c>
      <c r="BD62" s="12">
        <f>IF('Données projet'!$A$88&gt;35,BD61+BC62-BL61,IF(A62&lt;'Données projet'!$A$88,$BA$205^A62,IF(A62='Données projet'!$A$88,'Données projet'!$B$88,BD61+BC62-BL61)))</f>
        <v>335.29999999999995</v>
      </c>
      <c r="BE62" s="13">
        <f>BD62*VLOOKUP('Données projet'!$B$11,Paramètres!$A$1:$I$89,3,0)*VLOOKUP('Données projet'!$B$11,Paramètres!$A$1:$I$89,5,0)</f>
        <v>261.53399999999999</v>
      </c>
      <c r="BF62" s="13">
        <f t="shared" si="37"/>
        <v>63.049252730843492</v>
      </c>
      <c r="BG62" s="20">
        <f t="shared" si="7"/>
        <v>565.31583183955229</v>
      </c>
      <c r="BH62" s="59">
        <f t="shared" si="8"/>
        <v>858.64916517288566</v>
      </c>
      <c r="BI62" s="59">
        <f ca="1">AVERAGE(OFFSET($BH$3,0,0,'Données projet'!$E$11+1,1))-AVERAGE(OFFSET($H$3,0,0,'Données projet'!$E$11+1,1))</f>
        <v>376.33792692771908</v>
      </c>
      <c r="BJ62" s="59">
        <f t="shared" si="38"/>
        <v>367.92889258044698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0.81423529151212248</v>
      </c>
      <c r="BQ62" s="21">
        <f>EXP(-LN(2)/25)*BQ61+(1-EXP(-LN(2)/25))/(LN(2)/25)*Calculateur!BL62*Calculateur!BN62*VLOOKUP('Données projet'!$B$11,Paramètres!$A$1:$I$89,3,0)*0.475*44/12</f>
        <v>3.7460032633942824</v>
      </c>
      <c r="BR62" s="21">
        <f>EXP(-LN(2)/2)*BR61+(1-EXP(-LN(2)/2))/(LN(2)/2)*BL62*BO62*VLOOKUP('Données projet'!$B$11,Paramètres!$A$1:$I$89,3,0)*0.475*44/12</f>
        <v>5.6413084295258234E-4</v>
      </c>
      <c r="BS62" s="22">
        <f t="shared" si="9"/>
        <v>4.5608026857493575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205.57056000000014</v>
      </c>
      <c r="CA62" s="13">
        <f t="shared" si="39"/>
        <v>50.966443946767434</v>
      </c>
      <c r="CB62" s="20">
        <f t="shared" si="10"/>
        <v>446.80194854062023</v>
      </c>
      <c r="CC62" s="59">
        <f t="shared" si="11"/>
        <v>740.13528187395355</v>
      </c>
      <c r="CD62" s="59">
        <f ca="1">AVERAGE(OFFSET($CC$3,0,0,'Données projet'!$E$12+1,1))-AVERAGE(OFFSET($H$3,0,0,'Données projet'!$E$12+1,1))</f>
        <v>388.50131600273431</v>
      </c>
      <c r="CE62" s="59">
        <f t="shared" si="40"/>
        <v>247.01165577562955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1.3899462665653393</v>
      </c>
      <c r="CM62" s="21">
        <f>EXP(-LN(2)/2)*CM61+(1-EXP(-LN(2)/2))/(LN(2)/2)*CG62*CJ62*VLOOKUP('Données projet'!$B$12,Paramètres!$A$1:$I$89,3,0)*0.475*44/12</f>
        <v>2.6712218255546565E-4</v>
      </c>
      <c r="CN62" s="22">
        <f t="shared" si="12"/>
        <v>1.3902133887478947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7.8</v>
      </c>
      <c r="CT62" s="12">
        <f>IF('Données projet'!$A$140&gt;35,CT61+CS62-DB61,IF(A62&lt;'Données projet'!$A$140,$CQ$205^A62,IF(A62='Données projet'!$A$140,'Données projet'!$B$140,CT61+CS62-DB61)))</f>
        <v>227.20000000000016</v>
      </c>
      <c r="CU62" s="17">
        <f>CT62*VLOOKUP('Données projet'!$B$13,Paramètres!$A$1:$I$89,3,0)*VLOOKUP('Données projet'!$B$13,Paramètres!$A$1:$I$89,5,0)</f>
        <v>244.55808000000013</v>
      </c>
      <c r="CV62" s="13">
        <f t="shared" si="41"/>
        <v>59.419147189674213</v>
      </c>
      <c r="CW62" s="20">
        <f t="shared" si="13"/>
        <v>529.42700402201615</v>
      </c>
      <c r="CX62" s="59">
        <f t="shared" si="14"/>
        <v>822.76033735534952</v>
      </c>
      <c r="CY62" s="59">
        <f ca="1">AVERAGE(OFFSET($CX$3,0,0,'Données projet'!$E$13+1,1))-AVERAGE(OFFSET($H$3,0,0,'Données projet'!$E$13+1,1))</f>
        <v>454.43000549907373</v>
      </c>
      <c r="CZ62" s="59">
        <f t="shared" si="42"/>
        <v>285.83623046025156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1.6535567653966967</v>
      </c>
      <c r="DH62" s="21">
        <f>EXP(-LN(2)/2)*DH61+(1-EXP(-LN(2)/2))/(LN(2)/2)*DB62*DE62*VLOOKUP('Données projet'!$B$13,Paramètres!$A$1:$I$89,3,0)*0.475*44/12</f>
        <v>3.1778328614357176E-4</v>
      </c>
      <c r="DI62" s="22">
        <f t="shared" si="15"/>
        <v>1.6538745486828403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9.6999999999999993</v>
      </c>
      <c r="DO62" s="12">
        <f>IF('Données projet'!$A$166&gt;35,DO61+DN62-DW61,IF(A62&lt;'Données projet'!$A$166,$DL$205^A62,IF(A62='Données projet'!$A$166,'Données projet'!$B$166,DO61+DN62-DW61)))</f>
        <v>335.29999999999995</v>
      </c>
      <c r="DP62" s="17">
        <f>DO62*VLOOKUP('Données projet'!$B$14,Paramètres!$A$1:$I$89,3,0)*VLOOKUP('Données projet'!$B$14,Paramètres!$A$1:$I$89,5,0)</f>
        <v>261.53399999999999</v>
      </c>
      <c r="DQ62" s="13">
        <f t="shared" si="43"/>
        <v>63.049252730843492</v>
      </c>
      <c r="DR62" s="20">
        <f t="shared" si="16"/>
        <v>565.31583183955229</v>
      </c>
      <c r="DS62" s="59">
        <f t="shared" si="17"/>
        <v>858.64916517288566</v>
      </c>
      <c r="DT62" s="59">
        <f ca="1">AVERAGE(OFFSET($DS$3,0,0,'Données projet'!$E$14+1,1))-AVERAGE(OFFSET($H$3,0,0,'Données projet'!$E$14+1,1))</f>
        <v>376.33792692771908</v>
      </c>
      <c r="DU62" s="59">
        <f t="shared" si="44"/>
        <v>367.92889258044698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0.81423529151212248</v>
      </c>
      <c r="EB62" s="21">
        <f>EXP(-LN(2)/25)*EB61+(1-EXP(-LN(2)/25))/(LN(2)/25)*Calculateur!DW62*Calculateur!DY62*VLOOKUP('Données projet'!$B$14,Paramètres!$A$1:$I$89,3,0)*0.475*44/12</f>
        <v>3.7460032633942824</v>
      </c>
      <c r="EC62" s="21">
        <f>EXP(-LN(2)/2)*EC61+(1-EXP(-LN(2)/2))/(LN(2)/2)*DW62*DZ62*VLOOKUP('Données projet'!$B$14,Paramètres!$A$1:$I$89,3,0)*0.475*44/12</f>
        <v>5.6413084295258234E-4</v>
      </c>
      <c r="ED62" s="22">
        <f t="shared" si="18"/>
        <v>4.5608026857493575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272.34479999999996</v>
      </c>
      <c r="P63" s="13">
        <f t="shared" si="33"/>
        <v>65.346644318451652</v>
      </c>
      <c r="Q63" s="20">
        <f t="shared" si="53"/>
        <v>588.14593218796983</v>
      </c>
      <c r="R63" s="59">
        <f t="shared" si="0"/>
        <v>881.4792655213032</v>
      </c>
      <c r="S63" s="59">
        <f ca="1">AVERAGE(OFFSET($R$3,0,0,'Données projet'!$E$9+1,1))-AVERAGE(OFFSET($H$3,0,0,'Données projet'!$E$9+1,1))</f>
        <v>469.68830256438338</v>
      </c>
      <c r="T63" s="59">
        <f t="shared" si="34"/>
        <v>332.61387922152159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1.3296289864061699</v>
      </c>
      <c r="AA63" s="21">
        <f>EXP(-LN(2)/25)*AA62+(1-EXP(-LN(2)/25))/(LN(2)/25)*Calculateur!V63*Calculateur!X63*VLOOKUP('Données projet'!$B$9,Paramètres!$A$1:$I$89,3,0)*0.475*44/12</f>
        <v>4.9111319570658187</v>
      </c>
      <c r="AB63" s="21">
        <f>EXP(-LN(2)/2)*AB62+(1-EXP(-LN(2)/2))/(LN(2)/2)*V63*Y63*VLOOKUP('Données projet'!$B$9,Paramètres!$A$1:$I$89,3,0)*0.475*44/12</f>
        <v>6.5775563885823443E-4</v>
      </c>
      <c r="AC63" s="22">
        <f t="shared" si="3"/>
        <v>6.2414186991108469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323.99639999999999</v>
      </c>
      <c r="AK63" s="13">
        <f t="shared" si="35"/>
        <v>76.184280801792937</v>
      </c>
      <c r="AL63" s="20">
        <f t="shared" si="4"/>
        <v>696.98135239645615</v>
      </c>
      <c r="AM63" s="59">
        <f t="shared" si="5"/>
        <v>990.31468572978952</v>
      </c>
      <c r="AN63" s="59">
        <f ca="1">AVERAGE(OFFSET($AM$3,0,0,'Données projet'!$E$10+1,1))-AVERAGE(OFFSET($H$3,0,0,'Données projet'!$E$10+1,1))</f>
        <v>550.66682372933292</v>
      </c>
      <c r="AO63" s="59">
        <f t="shared" si="36"/>
        <v>387.28615589698444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1.5818000010694089</v>
      </c>
      <c r="AV63" s="21">
        <f>EXP(-LN(2)/25)*AV62+(1-EXP(-LN(2)/25))/(LN(2)/25)*Calculateur!AQ63*Calculateur!AS63*VLOOKUP('Données projet'!$B$10,Paramètres!$A$1:$I$89,3,0)*0.475*44/12</f>
        <v>5.8425535351300297</v>
      </c>
      <c r="AW63" s="21">
        <f>EXP(-LN(2)/2)*AW62+(1-EXP(-LN(2)/2))/(LN(2)/2)*AQ63*AT63*VLOOKUP('Données projet'!$B$10,Paramètres!$A$1:$I$89,3,0)*0.475*44/12</f>
        <v>7.8250239795203604E-4</v>
      </c>
      <c r="AX63" s="21">
        <f t="shared" si="6"/>
        <v>7.4251360385973904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345</v>
      </c>
      <c r="BB63" s="12">
        <f>VLOOKUP(A63,'Données projet'!$A$87:$I$107,9,0)</f>
        <v>9.6999999999999993</v>
      </c>
      <c r="BC63" s="12">
        <f t="array" ref="BC63">INDEX(BB:BB,MIN(IF(ISNUMBER(BB63:BB259),ROW(BB63:BB259),"")))</f>
        <v>9.6999999999999993</v>
      </c>
      <c r="BD63" s="12">
        <f>IF('Données projet'!$A$88&gt;35,BD62+BC63-BL62,IF(A63&lt;'Données projet'!$A$88,$BA$205^A63,IF(A63='Données projet'!$A$88,'Données projet'!$B$88,BD62+BC63-BL62)))</f>
        <v>344.99999999999994</v>
      </c>
      <c r="BE63" s="13">
        <f>BD63*VLOOKUP('Données projet'!$B$11,Paramètres!$A$1:$I$89,3,0)*VLOOKUP('Données projet'!$B$11,Paramètres!$A$1:$I$89,5,0)</f>
        <v>269.09999999999997</v>
      </c>
      <c r="BF63" s="13">
        <f t="shared" si="37"/>
        <v>64.658229472790993</v>
      </c>
      <c r="BG63" s="20">
        <f t="shared" si="7"/>
        <v>581.29558299844416</v>
      </c>
      <c r="BH63" s="59">
        <f t="shared" si="8"/>
        <v>874.62891633177742</v>
      </c>
      <c r="BI63" s="59">
        <f ca="1">AVERAGE(OFFSET($BH$3,0,0,'Données projet'!$E$11+1,1))-AVERAGE(OFFSET($H$3,0,0,'Données projet'!$E$11+1,1))</f>
        <v>376.33792692771908</v>
      </c>
      <c r="BJ63" s="59">
        <f t="shared" si="38"/>
        <v>367.92889258044698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72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0.79826863408005899</v>
      </c>
      <c r="BQ63" s="21">
        <f>EXP(-LN(2)/25)*BQ62+(1-EXP(-LN(2)/25))/(LN(2)/25)*Calculateur!BL63*Calculateur!BN63*VLOOKUP('Données projet'!$B$11,Paramètres!$A$1:$I$89,3,0)*0.475*44/12</f>
        <v>3.6435686071630156</v>
      </c>
      <c r="BR63" s="21">
        <f>EXP(-LN(2)/2)*BR62+(1-EXP(-LN(2)/2))/(LN(2)/2)*BL63*BO63*VLOOKUP('Données projet'!$B$11,Paramètres!$A$1:$I$89,3,0)*0.475*44/12</f>
        <v>3.9890074452825425E-4</v>
      </c>
      <c r="BS63" s="22">
        <f t="shared" si="9"/>
        <v>4.4422361419876033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212.62800000000016</v>
      </c>
      <c r="CA63" s="13">
        <f t="shared" si="39"/>
        <v>52.509453483719085</v>
      </c>
      <c r="CB63" s="20">
        <f t="shared" si="10"/>
        <v>461.78106481747767</v>
      </c>
      <c r="CC63" s="59">
        <f t="shared" si="11"/>
        <v>755.11439815081098</v>
      </c>
      <c r="CD63" s="59">
        <f ca="1">AVERAGE(OFFSET($CC$3,0,0,'Données projet'!$E$12+1,1))-AVERAGE(OFFSET($H$3,0,0,'Données projet'!$E$12+1,1))</f>
        <v>388.50131600273431</v>
      </c>
      <c r="CE63" s="59">
        <f t="shared" si="40"/>
        <v>247.01165577562955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1.3519381128120127</v>
      </c>
      <c r="CM63" s="21">
        <f>EXP(-LN(2)/2)*CM62+(1-EXP(-LN(2)/2))/(LN(2)/2)*CG63*CJ63*VLOOKUP('Données projet'!$B$12,Paramètres!$A$1:$I$89,3,0)*0.475*44/12</f>
        <v>1.8888390669032066E-4</v>
      </c>
      <c r="CN63" s="22">
        <f t="shared" si="12"/>
        <v>1.3521269967187031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235</v>
      </c>
      <c r="CR63" s="12">
        <f>VLOOKUP(A63,'Données projet'!$A$139:$I$159,9,0)</f>
        <v>7.8</v>
      </c>
      <c r="CS63" s="12">
        <f t="array" ref="CS63">INDEX(CR:CR,MIN(IF(ISNUMBER(CR63:CR259),ROW(CR63:CR259),"")))</f>
        <v>7.8</v>
      </c>
      <c r="CT63" s="12">
        <f>IF('Données projet'!$A$140&gt;35,CT62+CS63-DB62,IF(A63&lt;'Données projet'!$A$140,$CQ$205^A63,IF(A63='Données projet'!$A$140,'Données projet'!$B$140,CT62+CS63-DB62)))</f>
        <v>235.00000000000017</v>
      </c>
      <c r="CU63" s="17">
        <f>CT63*VLOOKUP('Données projet'!$B$13,Paramètres!$A$1:$I$89,3,0)*VLOOKUP('Données projet'!$B$13,Paramètres!$A$1:$I$89,5,0)</f>
        <v>252.95400000000015</v>
      </c>
      <c r="CV63" s="13">
        <f t="shared" si="41"/>
        <v>61.218062391350081</v>
      </c>
      <c r="CW63" s="20">
        <f t="shared" si="13"/>
        <v>547.18300866493496</v>
      </c>
      <c r="CX63" s="59">
        <f t="shared" si="14"/>
        <v>840.51634199826822</v>
      </c>
      <c r="CY63" s="59">
        <f ca="1">AVERAGE(OFFSET($CX$3,0,0,'Données projet'!$E$13+1,1))-AVERAGE(OFFSET($H$3,0,0,'Données projet'!$E$13+1,1))</f>
        <v>454.43000549907373</v>
      </c>
      <c r="CZ63" s="59">
        <f t="shared" si="42"/>
        <v>285.83623046025156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42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1.6083401686901531</v>
      </c>
      <c r="DH63" s="21">
        <f>EXP(-LN(2)/2)*DH62+(1-EXP(-LN(2)/2))/(LN(2)/2)*DB63*DE63*VLOOKUP('Données projet'!$B$13,Paramètres!$A$1:$I$89,3,0)*0.475*44/12</f>
        <v>2.2470671657986462E-4</v>
      </c>
      <c r="DI63" s="22">
        <f t="shared" si="15"/>
        <v>1.608564875406733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345</v>
      </c>
      <c r="DM63" s="12">
        <f>VLOOKUP(A63,'Données projet'!$A$165:$I$185,9,0)</f>
        <v>9.6999999999999993</v>
      </c>
      <c r="DN63" s="12">
        <f t="array" ref="DN63">INDEX(DM:DM,MIN(IF(ISNUMBER(DM63:DM259),ROW(DM63:DM259),"")))</f>
        <v>9.6999999999999993</v>
      </c>
      <c r="DO63" s="12">
        <f>IF('Données projet'!$A$166&gt;35,DO62+DN63-DW62,IF(A63&lt;'Données projet'!$A$166,$DL$205^A63,IF(A63='Données projet'!$A$166,'Données projet'!$B$166,DO62+DN63-DW62)))</f>
        <v>344.99999999999994</v>
      </c>
      <c r="DP63" s="17">
        <f>DO63*VLOOKUP('Données projet'!$B$14,Paramètres!$A$1:$I$89,3,0)*VLOOKUP('Données projet'!$B$14,Paramètres!$A$1:$I$89,5,0)</f>
        <v>269.09999999999997</v>
      </c>
      <c r="DQ63" s="13">
        <f t="shared" si="43"/>
        <v>64.658229472790993</v>
      </c>
      <c r="DR63" s="20">
        <f t="shared" si="16"/>
        <v>581.29558299844416</v>
      </c>
      <c r="DS63" s="59">
        <f t="shared" si="17"/>
        <v>874.62891633177742</v>
      </c>
      <c r="DT63" s="59">
        <f ca="1">AVERAGE(OFFSET($DS$3,0,0,'Données projet'!$E$14+1,1))-AVERAGE(OFFSET($H$3,0,0,'Données projet'!$E$14+1,1))</f>
        <v>376.33792692771908</v>
      </c>
      <c r="DU63" s="59">
        <f t="shared" si="44"/>
        <v>367.92889258044698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72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0.79826863408005899</v>
      </c>
      <c r="EB63" s="21">
        <f>EXP(-LN(2)/25)*EB62+(1-EXP(-LN(2)/25))/(LN(2)/25)*Calculateur!DW63*Calculateur!DY63*VLOOKUP('Données projet'!$B$14,Paramètres!$A$1:$I$89,3,0)*0.475*44/12</f>
        <v>3.6435686071630156</v>
      </c>
      <c r="EC63" s="21">
        <f>EXP(-LN(2)/2)*EC62+(1-EXP(-LN(2)/2))/(LN(2)/2)*DW63*DZ63*VLOOKUP('Données projet'!$B$14,Paramètres!$A$1:$I$89,3,0)*0.475*44/12</f>
        <v>3.9890074452825425E-4</v>
      </c>
      <c r="ED63" s="22">
        <f t="shared" si="18"/>
        <v>4.4422361419876033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229.36680000000001</v>
      </c>
      <c r="P64" s="13">
        <f t="shared" si="33"/>
        <v>56.14574692729505</v>
      </c>
      <c r="Q64" s="20">
        <f t="shared" si="53"/>
        <v>497.26768589837212</v>
      </c>
      <c r="R64" s="59">
        <f t="shared" si="0"/>
        <v>790.60101923170544</v>
      </c>
      <c r="S64" s="59">
        <f ca="1">AVERAGE(OFFSET($R$3,0,0,'Données projet'!$E$9+1,1))-AVERAGE(OFFSET($H$3,0,0,'Données projet'!$E$9+1,1))</f>
        <v>469.68830256438338</v>
      </c>
      <c r="T64" s="59">
        <f t="shared" si="34"/>
        <v>332.61387922152159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1.3035557729763476</v>
      </c>
      <c r="AA64" s="21">
        <f>EXP(-LN(2)/25)*AA63+(1-EXP(-LN(2)/25))/(LN(2)/25)*Calculateur!V64*Calculateur!X64*VLOOKUP('Données projet'!$B$9,Paramètres!$A$1:$I$89,3,0)*0.475*44/12</f>
        <v>4.7768367954346491</v>
      </c>
      <c r="AB64" s="21">
        <f>EXP(-LN(2)/2)*AB63+(1-EXP(-LN(2)/2))/(LN(2)/2)*V64*Y64*VLOOKUP('Données projet'!$B$9,Paramètres!$A$1:$I$89,3,0)*0.475*44/12</f>
        <v>4.6510347260034739E-4</v>
      </c>
      <c r="AC64" s="22">
        <f t="shared" si="3"/>
        <v>6.0808576718835967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272.86739999999998</v>
      </c>
      <c r="AK64" s="13">
        <f t="shared" si="35"/>
        <v>65.457429288800483</v>
      </c>
      <c r="AL64" s="20">
        <f t="shared" si="4"/>
        <v>589.24907767799414</v>
      </c>
      <c r="AM64" s="59">
        <f t="shared" si="5"/>
        <v>882.58241101132739</v>
      </c>
      <c r="AN64" s="59">
        <f ca="1">AVERAGE(OFFSET($AM$3,0,0,'Données projet'!$E$10+1,1))-AVERAGE(OFFSET($H$3,0,0,'Données projet'!$E$10+1,1))</f>
        <v>550.66682372933292</v>
      </c>
      <c r="AO64" s="59">
        <f t="shared" si="36"/>
        <v>387.28615589698444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1.550781867851172</v>
      </c>
      <c r="AV64" s="21">
        <f>EXP(-LN(2)/25)*AV63+(1-EXP(-LN(2)/25))/(LN(2)/25)*Calculateur!AQ64*Calculateur!AS64*VLOOKUP('Données projet'!$B$10,Paramètres!$A$1:$I$89,3,0)*0.475*44/12</f>
        <v>5.6827886014653624</v>
      </c>
      <c r="AW64" s="21">
        <f>EXP(-LN(2)/2)*AW63+(1-EXP(-LN(2)/2))/(LN(2)/2)*AQ64*AT64*VLOOKUP('Données projet'!$B$10,Paramètres!$A$1:$I$89,3,0)*0.475*44/12</f>
        <v>5.5331275188661908E-4</v>
      </c>
      <c r="AX64" s="21">
        <f t="shared" si="6"/>
        <v>7.234123782068421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9.1</v>
      </c>
      <c r="BD64" s="12">
        <f>IF('Données projet'!$A$88&gt;35,BD63+BC64-BL63,IF(A64&lt;'Données projet'!$A$88,$BA$205^A64,IF(A64='Données projet'!$A$88,'Données projet'!$B$88,BD63+BC64-BL63)))</f>
        <v>282.09999999999997</v>
      </c>
      <c r="BE64" s="13">
        <f>BD64*VLOOKUP('Données projet'!$B$11,Paramètres!$A$1:$I$89,3,0)*VLOOKUP('Données projet'!$B$11,Paramètres!$A$1:$I$89,5,0)</f>
        <v>220.03799999999998</v>
      </c>
      <c r="BF64" s="13">
        <f t="shared" si="37"/>
        <v>54.123144749824128</v>
      </c>
      <c r="BG64" s="20">
        <f t="shared" si="7"/>
        <v>477.49732710594367</v>
      </c>
      <c r="BH64" s="59">
        <f t="shared" si="8"/>
        <v>770.83066043927693</v>
      </c>
      <c r="BI64" s="59">
        <f ca="1">AVERAGE(OFFSET($BH$3,0,0,'Données projet'!$E$11+1,1))-AVERAGE(OFFSET($H$3,0,0,'Données projet'!$E$11+1,1))</f>
        <v>376.33792692771908</v>
      </c>
      <c r="BJ64" s="59">
        <f t="shared" si="38"/>
        <v>367.92889258044698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0.78261507306153888</v>
      </c>
      <c r="BQ64" s="21">
        <f>EXP(-LN(2)/25)*BQ63+(1-EXP(-LN(2)/25))/(LN(2)/25)*Calculateur!BL64*Calculateur!BN64*VLOOKUP('Données projet'!$B$11,Paramètres!$A$1:$I$89,3,0)*0.475*44/12</f>
        <v>3.5439350319931973</v>
      </c>
      <c r="BR64" s="21">
        <f>EXP(-LN(2)/2)*BR63+(1-EXP(-LN(2)/2))/(LN(2)/2)*BL64*BO64*VLOOKUP('Données projet'!$B$11,Paramètres!$A$1:$I$89,3,0)*0.475*44/12</f>
        <v>2.8206542147629117E-4</v>
      </c>
      <c r="BS64" s="22">
        <f t="shared" si="9"/>
        <v>4.3268321704762123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180.96000000000015</v>
      </c>
      <c r="CA64" s="13">
        <f t="shared" si="39"/>
        <v>45.535702314871806</v>
      </c>
      <c r="CB64" s="20">
        <f t="shared" si="10"/>
        <v>394.48001486506865</v>
      </c>
      <c r="CC64" s="59">
        <f t="shared" si="11"/>
        <v>687.81334819840197</v>
      </c>
      <c r="CD64" s="59">
        <f ca="1">AVERAGE(OFFSET($CC$3,0,0,'Données projet'!$E$12+1,1))-AVERAGE(OFFSET($H$3,0,0,'Données projet'!$E$12+1,1))</f>
        <v>388.50131600273431</v>
      </c>
      <c r="CE64" s="59">
        <f t="shared" si="40"/>
        <v>247.01165577562955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1.3149692940218327</v>
      </c>
      <c r="CM64" s="21">
        <f>EXP(-LN(2)/2)*CM63+(1-EXP(-LN(2)/2))/(LN(2)/2)*CG64*CJ64*VLOOKUP('Données projet'!$B$12,Paramètres!$A$1:$I$89,3,0)*0.475*44/12</f>
        <v>1.3356109127773283E-4</v>
      </c>
      <c r="CN64" s="22">
        <f t="shared" si="12"/>
        <v>1.3151028551131105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</v>
      </c>
      <c r="CT64" s="12">
        <f>IF('Données projet'!$A$140&gt;35,CT63+CS64-DB63,IF(A64&lt;'Données projet'!$A$140,$CQ$205^A64,IF(A64='Données projet'!$A$140,'Données projet'!$B$140,CT63+CS64-DB63)))</f>
        <v>200.00000000000017</v>
      </c>
      <c r="CU64" s="17">
        <f>CT64*VLOOKUP('Données projet'!$B$13,Paramètres!$A$1:$I$89,3,0)*VLOOKUP('Données projet'!$B$13,Paramètres!$A$1:$I$89,5,0)</f>
        <v>215.28000000000017</v>
      </c>
      <c r="CV64" s="13">
        <f t="shared" si="41"/>
        <v>53.08772574085318</v>
      </c>
      <c r="CW64" s="20">
        <f t="shared" si="13"/>
        <v>467.40712233198627</v>
      </c>
      <c r="CX64" s="59">
        <f t="shared" si="14"/>
        <v>760.74045566531959</v>
      </c>
      <c r="CY64" s="59">
        <f ca="1">AVERAGE(OFFSET($CX$3,0,0,'Données projet'!$E$13+1,1))-AVERAGE(OFFSET($H$3,0,0,'Données projet'!$E$13+1,1))</f>
        <v>454.43000549907373</v>
      </c>
      <c r="CZ64" s="59">
        <f t="shared" si="42"/>
        <v>285.83623046025156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1.5643600221983873</v>
      </c>
      <c r="DH64" s="21">
        <f>EXP(-LN(2)/2)*DH63+(1-EXP(-LN(2)/2))/(LN(2)/2)*DB64*DE64*VLOOKUP('Données projet'!$B$13,Paramètres!$A$1:$I$89,3,0)*0.475*44/12</f>
        <v>1.5889164307178588E-4</v>
      </c>
      <c r="DI64" s="22">
        <f t="shared" si="15"/>
        <v>1.564518913841459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</v>
      </c>
      <c r="DO64" s="12">
        <f>IF('Données projet'!$A$166&gt;35,DO63+DN64-DW63,IF(A64&lt;'Données projet'!$A$166,$DL$205^A64,IF(A64='Données projet'!$A$166,'Données projet'!$B$166,DO63+DN64-DW63)))</f>
        <v>282.09999999999997</v>
      </c>
      <c r="DP64" s="17">
        <f>DO64*VLOOKUP('Données projet'!$B$14,Paramètres!$A$1:$I$89,3,0)*VLOOKUP('Données projet'!$B$14,Paramètres!$A$1:$I$89,5,0)</f>
        <v>220.03799999999998</v>
      </c>
      <c r="DQ64" s="13">
        <f t="shared" si="43"/>
        <v>54.123144749824128</v>
      </c>
      <c r="DR64" s="20">
        <f t="shared" si="16"/>
        <v>477.49732710594367</v>
      </c>
      <c r="DS64" s="59">
        <f t="shared" si="17"/>
        <v>770.83066043927693</v>
      </c>
      <c r="DT64" s="59">
        <f ca="1">AVERAGE(OFFSET($DS$3,0,0,'Données projet'!$E$14+1,1))-AVERAGE(OFFSET($H$3,0,0,'Données projet'!$E$14+1,1))</f>
        <v>376.33792692771908</v>
      </c>
      <c r="DU64" s="59">
        <f t="shared" si="44"/>
        <v>367.92889258044698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0.78261507306153888</v>
      </c>
      <c r="EB64" s="21">
        <f>EXP(-LN(2)/25)*EB63+(1-EXP(-LN(2)/25))/(LN(2)/25)*Calculateur!DW64*Calculateur!DY64*VLOOKUP('Données projet'!$B$14,Paramètres!$A$1:$I$89,3,0)*0.475*44/12</f>
        <v>3.5439350319931973</v>
      </c>
      <c r="EC64" s="21">
        <f>EXP(-LN(2)/2)*EC63+(1-EXP(-LN(2)/2))/(LN(2)/2)*DW64*DZ64*VLOOKUP('Données projet'!$B$14,Paramètres!$A$1:$I$89,3,0)*0.475*44/12</f>
        <v>2.8206542147629117E-4</v>
      </c>
      <c r="ED64" s="22">
        <f t="shared" si="18"/>
        <v>4.3268321704762123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237.05759999999998</v>
      </c>
      <c r="P65" s="13">
        <f t="shared" si="33"/>
        <v>57.806004997354641</v>
      </c>
      <c r="Q65" s="20">
        <f t="shared" si="53"/>
        <v>513.55411203705933</v>
      </c>
      <c r="R65" s="59">
        <f t="shared" si="0"/>
        <v>806.8874453703927</v>
      </c>
      <c r="S65" s="59">
        <f ca="1">AVERAGE(OFFSET($R$3,0,0,'Données projet'!$E$9+1,1))-AVERAGE(OFFSET($H$3,0,0,'Données projet'!$E$9+1,1))</f>
        <v>469.68830256438338</v>
      </c>
      <c r="T65" s="59">
        <f t="shared" si="34"/>
        <v>332.61387922152159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1.2779938393587942</v>
      </c>
      <c r="AA65" s="21">
        <f>EXP(-LN(2)/25)*AA64+(1-EXP(-LN(2)/25))/(LN(2)/25)*Calculateur!V65*Calculateur!X65*VLOOKUP('Données projet'!$B$9,Paramètres!$A$1:$I$89,3,0)*0.475*44/12</f>
        <v>4.6462139420605588</v>
      </c>
      <c r="AB65" s="21">
        <f>EXP(-LN(2)/2)*AB64+(1-EXP(-LN(2)/2))/(LN(2)/2)*V65*Y65*VLOOKUP('Données projet'!$B$9,Paramètres!$A$1:$I$89,3,0)*0.475*44/12</f>
        <v>3.2887781942911727E-4</v>
      </c>
      <c r="AC65" s="22">
        <f t="shared" si="3"/>
        <v>5.9245366592387825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282.01679999999999</v>
      </c>
      <c r="AK65" s="13">
        <f t="shared" si="35"/>
        <v>67.393038505342176</v>
      </c>
      <c r="AL65" s="20">
        <f t="shared" si="4"/>
        <v>608.55546873013759</v>
      </c>
      <c r="AM65" s="59">
        <f t="shared" si="5"/>
        <v>901.88880206347085</v>
      </c>
      <c r="AN65" s="59">
        <f ca="1">AVERAGE(OFFSET($AM$3,0,0,'Données projet'!$E$10+1,1))-AVERAGE(OFFSET($H$3,0,0,'Données projet'!$E$10+1,1))</f>
        <v>550.66682372933292</v>
      </c>
      <c r="AO65" s="59">
        <f t="shared" si="36"/>
        <v>387.28615589698444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1.5203719813061516</v>
      </c>
      <c r="AV65" s="21">
        <f>EXP(-LN(2)/25)*AV64+(1-EXP(-LN(2)/25))/(LN(2)/25)*Calculateur!AQ65*Calculateur!AS65*VLOOKUP('Données projet'!$B$10,Paramètres!$A$1:$I$89,3,0)*0.475*44/12</f>
        <v>5.527392448313428</v>
      </c>
      <c r="AW65" s="21">
        <f>EXP(-LN(2)/2)*AW64+(1-EXP(-LN(2)/2))/(LN(2)/2)*AQ65*AT65*VLOOKUP('Données projet'!$B$10,Paramètres!$A$1:$I$89,3,0)*0.475*44/12</f>
        <v>3.9125119897601802E-4</v>
      </c>
      <c r="AX65" s="21">
        <f t="shared" si="6"/>
        <v>7.0481556808185557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9.1</v>
      </c>
      <c r="BD65" s="12">
        <f>IF('Données projet'!$A$88&gt;35,BD64+BC65-BL64,IF(A65&lt;'Données projet'!$A$88,$BA$205^A65,IF(A65='Données projet'!$A$88,'Données projet'!$B$88,BD64+BC65-BL64)))</f>
        <v>291.2</v>
      </c>
      <c r="BE65" s="13">
        <f>BD65*VLOOKUP('Données projet'!$B$11,Paramètres!$A$1:$I$89,3,0)*VLOOKUP('Données projet'!$B$11,Paramètres!$A$1:$I$89,5,0)</f>
        <v>227.136</v>
      </c>
      <c r="BF65" s="13">
        <f t="shared" si="37"/>
        <v>55.662966886685133</v>
      </c>
      <c r="BG65" s="20">
        <f t="shared" si="7"/>
        <v>492.54153399430999</v>
      </c>
      <c r="BH65" s="59">
        <f t="shared" si="8"/>
        <v>785.8748673276433</v>
      </c>
      <c r="BI65" s="59">
        <f ca="1">AVERAGE(OFFSET($BH$3,0,0,'Données projet'!$E$11+1,1))-AVERAGE(OFFSET($H$3,0,0,'Données projet'!$E$11+1,1))</f>
        <v>376.33792692771908</v>
      </c>
      <c r="BJ65" s="59">
        <f t="shared" si="38"/>
        <v>367.92889258044698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0.7672684688268625</v>
      </c>
      <c r="BQ65" s="21">
        <f>EXP(-LN(2)/25)*BQ64+(1-EXP(-LN(2)/25))/(LN(2)/25)*Calculateur!BL65*Calculateur!BN65*VLOOKUP('Données projet'!$B$11,Paramètres!$A$1:$I$89,3,0)*0.475*44/12</f>
        <v>3.4470259421758995</v>
      </c>
      <c r="BR65" s="21">
        <f>EXP(-LN(2)/2)*BR64+(1-EXP(-LN(2)/2))/(LN(2)/2)*BL65*BO65*VLOOKUP('Données projet'!$B$11,Paramètres!$A$1:$I$89,3,0)*0.475*44/12</f>
        <v>1.9945037226412713E-4</v>
      </c>
      <c r="BS65" s="22">
        <f t="shared" si="9"/>
        <v>4.2144938613750265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187.29360000000014</v>
      </c>
      <c r="CA65" s="13">
        <f t="shared" si="39"/>
        <v>46.941107550760456</v>
      </c>
      <c r="CB65" s="20">
        <f t="shared" si="10"/>
        <v>407.95878231757462</v>
      </c>
      <c r="CC65" s="59">
        <f t="shared" si="11"/>
        <v>701.29211565090793</v>
      </c>
      <c r="CD65" s="59">
        <f ca="1">AVERAGE(OFFSET($CC$3,0,0,'Données projet'!$E$12+1,1))-AVERAGE(OFFSET($H$3,0,0,'Données projet'!$E$12+1,1))</f>
        <v>388.50131600273431</v>
      </c>
      <c r="CE65" s="59">
        <f t="shared" si="40"/>
        <v>247.01165577562955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1.2790113895255759</v>
      </c>
      <c r="CM65" s="21">
        <f>EXP(-LN(2)/2)*CM64+(1-EXP(-LN(2)/2))/(LN(2)/2)*CG65*CJ65*VLOOKUP('Données projet'!$B$12,Paramètres!$A$1:$I$89,3,0)*0.475*44/12</f>
        <v>9.4441953345160328E-5</v>
      </c>
      <c r="CN65" s="22">
        <f t="shared" si="12"/>
        <v>1.279105831478921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</v>
      </c>
      <c r="CT65" s="12">
        <f>IF('Données projet'!$A$140&gt;35,CT64+CS65-DB64,IF(A65&lt;'Données projet'!$A$140,$CQ$205^A65,IF(A65='Données projet'!$A$140,'Données projet'!$B$140,CT64+CS65-DB64)))</f>
        <v>207.00000000000017</v>
      </c>
      <c r="CU65" s="17">
        <f>CT65*VLOOKUP('Données projet'!$B$13,Paramètres!$A$1:$I$89,3,0)*VLOOKUP('Données projet'!$B$13,Paramètres!$A$1:$I$89,5,0)</f>
        <v>222.81480000000016</v>
      </c>
      <c r="CV65" s="13">
        <f t="shared" si="41"/>
        <v>54.726215188137957</v>
      </c>
      <c r="CW65" s="20">
        <f t="shared" si="13"/>
        <v>483.3839347860071</v>
      </c>
      <c r="CX65" s="59">
        <f t="shared" si="14"/>
        <v>776.71726811934036</v>
      </c>
      <c r="CY65" s="59">
        <f ca="1">AVERAGE(OFFSET($CX$3,0,0,'Données projet'!$E$13+1,1))-AVERAGE(OFFSET($H$3,0,0,'Données projet'!$E$13+1,1))</f>
        <v>454.43000549907373</v>
      </c>
      <c r="CZ65" s="59">
        <f t="shared" si="42"/>
        <v>285.83623046025156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1.5215825151252542</v>
      </c>
      <c r="DH65" s="21">
        <f>EXP(-LN(2)/2)*DH64+(1-EXP(-LN(2)/2))/(LN(2)/2)*DB65*DE65*VLOOKUP('Données projet'!$B$13,Paramètres!$A$1:$I$89,3,0)*0.475*44/12</f>
        <v>1.1235335828993231E-4</v>
      </c>
      <c r="DI65" s="22">
        <f t="shared" si="15"/>
        <v>1.5216948684835441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</v>
      </c>
      <c r="DO65" s="12">
        <f>IF('Données projet'!$A$166&gt;35,DO64+DN65-DW64,IF(A65&lt;'Données projet'!$A$166,$DL$205^A65,IF(A65='Données projet'!$A$166,'Données projet'!$B$166,DO64+DN65-DW64)))</f>
        <v>291.2</v>
      </c>
      <c r="DP65" s="17">
        <f>DO65*VLOOKUP('Données projet'!$B$14,Paramètres!$A$1:$I$89,3,0)*VLOOKUP('Données projet'!$B$14,Paramètres!$A$1:$I$89,5,0)</f>
        <v>227.136</v>
      </c>
      <c r="DQ65" s="13">
        <f t="shared" si="43"/>
        <v>55.662966886685133</v>
      </c>
      <c r="DR65" s="20">
        <f t="shared" si="16"/>
        <v>492.54153399430999</v>
      </c>
      <c r="DS65" s="59">
        <f t="shared" si="17"/>
        <v>785.8748673276433</v>
      </c>
      <c r="DT65" s="59">
        <f ca="1">AVERAGE(OFFSET($DS$3,0,0,'Données projet'!$E$14+1,1))-AVERAGE(OFFSET($H$3,0,0,'Données projet'!$E$14+1,1))</f>
        <v>376.33792692771908</v>
      </c>
      <c r="DU65" s="59">
        <f t="shared" si="44"/>
        <v>367.92889258044698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0.7672684688268625</v>
      </c>
      <c r="EB65" s="21">
        <f>EXP(-LN(2)/25)*EB64+(1-EXP(-LN(2)/25))/(LN(2)/25)*Calculateur!DW65*Calculateur!DY65*VLOOKUP('Données projet'!$B$14,Paramètres!$A$1:$I$89,3,0)*0.475*44/12</f>
        <v>3.4470259421758995</v>
      </c>
      <c r="EC65" s="21">
        <f>EXP(-LN(2)/2)*EC64+(1-EXP(-LN(2)/2))/(LN(2)/2)*DW65*DZ65*VLOOKUP('Données projet'!$B$14,Paramètres!$A$1:$I$89,3,0)*0.475*44/12</f>
        <v>1.9945037226412713E-4</v>
      </c>
      <c r="ED65" s="22">
        <f t="shared" si="18"/>
        <v>4.2144938613750265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244.74839999999998</v>
      </c>
      <c r="P66" s="13">
        <f t="shared" si="33"/>
        <v>59.460004038665112</v>
      </c>
      <c r="Q66" s="20">
        <f t="shared" si="53"/>
        <v>529.82963703400833</v>
      </c>
      <c r="R66" s="59">
        <f t="shared" si="0"/>
        <v>823.16297036734159</v>
      </c>
      <c r="S66" s="59">
        <f ca="1">AVERAGE(OFFSET($R$3,0,0,'Données projet'!$E$9+1,1))-AVERAGE(OFFSET($H$3,0,0,'Données projet'!$E$9+1,1))</f>
        <v>469.68830256438338</v>
      </c>
      <c r="T66" s="59">
        <f t="shared" si="34"/>
        <v>332.61387922152159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1.2529331596682411</v>
      </c>
      <c r="AA66" s="21">
        <f>EXP(-LN(2)/25)*AA65+(1-EXP(-LN(2)/25))/(LN(2)/25)*Calculateur!V66*Calculateur!X66*VLOOKUP('Données projet'!$B$9,Paramètres!$A$1:$I$89,3,0)*0.475*44/12</f>
        <v>4.519162977481141</v>
      </c>
      <c r="AB66" s="21">
        <f>EXP(-LN(2)/2)*AB65+(1-EXP(-LN(2)/2))/(LN(2)/2)*V66*Y66*VLOOKUP('Données projet'!$B$9,Paramètres!$A$1:$I$89,3,0)*0.475*44/12</f>
        <v>2.3255173630017372E-4</v>
      </c>
      <c r="AC66" s="22">
        <f t="shared" si="3"/>
        <v>5.7723286888856817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291.1662</v>
      </c>
      <c r="AK66" s="13">
        <f t="shared" si="35"/>
        <v>69.321350643223582</v>
      </c>
      <c r="AL66" s="20">
        <f t="shared" si="4"/>
        <v>627.84915070361444</v>
      </c>
      <c r="AM66" s="59">
        <f t="shared" si="5"/>
        <v>921.1824840369477</v>
      </c>
      <c r="AN66" s="59">
        <f ca="1">AVERAGE(OFFSET($AM$3,0,0,'Données projet'!$E$10+1,1))-AVERAGE(OFFSET($H$3,0,0,'Données projet'!$E$10+1,1))</f>
        <v>550.66682372933292</v>
      </c>
      <c r="AO66" s="59">
        <f t="shared" si="36"/>
        <v>387.28615589698444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1.4905584140880799</v>
      </c>
      <c r="AV66" s="21">
        <f>EXP(-LN(2)/25)*AV65+(1-EXP(-LN(2)/25))/(LN(2)/25)*Calculateur!AQ66*Calculateur!AS66*VLOOKUP('Données projet'!$B$10,Paramètres!$A$1:$I$89,3,0)*0.475*44/12</f>
        <v>5.3762456111413615</v>
      </c>
      <c r="AW66" s="21">
        <f>EXP(-LN(2)/2)*AW65+(1-EXP(-LN(2)/2))/(LN(2)/2)*AQ66*AT66*VLOOKUP('Données projet'!$B$10,Paramètres!$A$1:$I$89,3,0)*0.475*44/12</f>
        <v>2.7665637594330954E-4</v>
      </c>
      <c r="AX66" s="21">
        <f t="shared" si="6"/>
        <v>6.8670806816053851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9.1</v>
      </c>
      <c r="BD66" s="12">
        <f>IF('Données projet'!$A$88&gt;35,BD65+BC66-BL65,IF(A66&lt;'Données projet'!$A$88,$BA$205^A66,IF(A66='Données projet'!$A$88,'Données projet'!$B$88,BD65+BC66-BL65)))</f>
        <v>300.3</v>
      </c>
      <c r="BE66" s="13">
        <f>BD66*VLOOKUP('Données projet'!$B$11,Paramètres!$A$1:$I$89,3,0)*VLOOKUP('Données projet'!$B$11,Paramètres!$A$1:$I$89,5,0)</f>
        <v>234.23400000000001</v>
      </c>
      <c r="BF66" s="13">
        <f t="shared" si="37"/>
        <v>57.197197133603488</v>
      </c>
      <c r="BG66" s="20">
        <f t="shared" si="7"/>
        <v>507.57600167435936</v>
      </c>
      <c r="BH66" s="59">
        <f t="shared" si="8"/>
        <v>800.90933500769268</v>
      </c>
      <c r="BI66" s="59">
        <f ca="1">AVERAGE(OFFSET($BH$3,0,0,'Données projet'!$E$11+1,1))-AVERAGE(OFFSET($H$3,0,0,'Données projet'!$E$11+1,1))</f>
        <v>376.33792692771908</v>
      </c>
      <c r="BJ66" s="59">
        <f t="shared" si="38"/>
        <v>367.92889258044698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0.75222280214072379</v>
      </c>
      <c r="BQ66" s="21">
        <f>EXP(-LN(2)/25)*BQ65+(1-EXP(-LN(2)/25))/(LN(2)/25)*Calculateur!BL66*Calculateur!BN66*VLOOKUP('Données projet'!$B$11,Paramètres!$A$1:$I$89,3,0)*0.475*44/12</f>
        <v>3.3527668365158836</v>
      </c>
      <c r="BR66" s="21">
        <f>EXP(-LN(2)/2)*BR65+(1-EXP(-LN(2)/2))/(LN(2)/2)*BL66*BO66*VLOOKUP('Données projet'!$B$11,Paramètres!$A$1:$I$89,3,0)*0.475*44/12</f>
        <v>1.4103271073814558E-4</v>
      </c>
      <c r="BS66" s="22">
        <f t="shared" si="9"/>
        <v>4.1051306713673457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193.62720000000016</v>
      </c>
      <c r="CA66" s="13">
        <f t="shared" si="39"/>
        <v>48.340990547231236</v>
      </c>
      <c r="CB66" s="20">
        <f t="shared" si="10"/>
        <v>421.42793186976132</v>
      </c>
      <c r="CC66" s="59">
        <f t="shared" si="11"/>
        <v>714.76126520309458</v>
      </c>
      <c r="CD66" s="59">
        <f ca="1">AVERAGE(OFFSET($CC$3,0,0,'Données projet'!$E$12+1,1))-AVERAGE(OFFSET($H$3,0,0,'Données projet'!$E$12+1,1))</f>
        <v>388.50131600273431</v>
      </c>
      <c r="CE66" s="59">
        <f t="shared" si="40"/>
        <v>247.01165577562955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1.2440367558187133</v>
      </c>
      <c r="CM66" s="21">
        <f>EXP(-LN(2)/2)*CM65+(1-EXP(-LN(2)/2))/(LN(2)/2)*CG66*CJ66*VLOOKUP('Données projet'!$B$12,Paramètres!$A$1:$I$89,3,0)*0.475*44/12</f>
        <v>6.6780545638866413E-5</v>
      </c>
      <c r="CN66" s="22">
        <f t="shared" si="12"/>
        <v>1.2441035363643522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</v>
      </c>
      <c r="CT66" s="12">
        <f>IF('Données projet'!$A$140&gt;35,CT65+CS66-DB65,IF(A66&lt;'Données projet'!$A$140,$CQ$205^A66,IF(A66='Données projet'!$A$140,'Données projet'!$B$140,CT65+CS66-DB65)))</f>
        <v>214.00000000000017</v>
      </c>
      <c r="CU66" s="17">
        <f>CT66*VLOOKUP('Données projet'!$B$13,Paramètres!$A$1:$I$89,3,0)*VLOOKUP('Données projet'!$B$13,Paramètres!$A$1:$I$89,5,0)</f>
        <v>230.34960000000018</v>
      </c>
      <c r="CV66" s="13">
        <f t="shared" si="41"/>
        <v>56.35826654142636</v>
      </c>
      <c r="CW66" s="20">
        <f t="shared" si="13"/>
        <v>499.34953422631787</v>
      </c>
      <c r="CX66" s="59">
        <f t="shared" si="14"/>
        <v>792.68286755965119</v>
      </c>
      <c r="CY66" s="59">
        <f ca="1">AVERAGE(OFFSET($CX$3,0,0,'Données projet'!$E$13+1,1))-AVERAGE(OFFSET($H$3,0,0,'Données projet'!$E$13+1,1))</f>
        <v>454.43000549907373</v>
      </c>
      <c r="CZ66" s="59">
        <f t="shared" si="42"/>
        <v>285.83623046025156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1.4799747612326073</v>
      </c>
      <c r="DH66" s="21">
        <f>EXP(-LN(2)/2)*DH65+(1-EXP(-LN(2)/2))/(LN(2)/2)*DB66*DE66*VLOOKUP('Données projet'!$B$13,Paramètres!$A$1:$I$89,3,0)*0.475*44/12</f>
        <v>7.944582153589294E-5</v>
      </c>
      <c r="DI66" s="22">
        <f t="shared" si="15"/>
        <v>1.4800542070541431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</v>
      </c>
      <c r="DO66" s="12">
        <f>IF('Données projet'!$A$166&gt;35,DO65+DN66-DW65,IF(A66&lt;'Données projet'!$A$166,$DL$205^A66,IF(A66='Données projet'!$A$166,'Données projet'!$B$166,DO65+DN66-DW65)))</f>
        <v>300.3</v>
      </c>
      <c r="DP66" s="17">
        <f>DO66*VLOOKUP('Données projet'!$B$14,Paramètres!$A$1:$I$89,3,0)*VLOOKUP('Données projet'!$B$14,Paramètres!$A$1:$I$89,5,0)</f>
        <v>234.23400000000001</v>
      </c>
      <c r="DQ66" s="13">
        <f t="shared" si="43"/>
        <v>57.197197133603488</v>
      </c>
      <c r="DR66" s="20">
        <f t="shared" si="16"/>
        <v>507.57600167435936</v>
      </c>
      <c r="DS66" s="59">
        <f t="shared" si="17"/>
        <v>800.90933500769268</v>
      </c>
      <c r="DT66" s="59">
        <f ca="1">AVERAGE(OFFSET($DS$3,0,0,'Données projet'!$E$14+1,1))-AVERAGE(OFFSET($H$3,0,0,'Données projet'!$E$14+1,1))</f>
        <v>376.33792692771908</v>
      </c>
      <c r="DU66" s="59">
        <f t="shared" si="44"/>
        <v>367.92889258044698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0.75222280214072379</v>
      </c>
      <c r="EB66" s="21">
        <f>EXP(-LN(2)/25)*EB65+(1-EXP(-LN(2)/25))/(LN(2)/25)*Calculateur!DW66*Calculateur!DY66*VLOOKUP('Données projet'!$B$14,Paramètres!$A$1:$I$89,3,0)*0.475*44/12</f>
        <v>3.3527668365158836</v>
      </c>
      <c r="EC66" s="21">
        <f>EXP(-LN(2)/2)*EC65+(1-EXP(-LN(2)/2))/(LN(2)/2)*DW66*DZ66*VLOOKUP('Données projet'!$B$14,Paramètres!$A$1:$I$89,3,0)*0.475*44/12</f>
        <v>1.4103271073814558E-4</v>
      </c>
      <c r="ED66" s="22">
        <f t="shared" si="18"/>
        <v>4.1051306713673457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252.4392</v>
      </c>
      <c r="P67" s="13">
        <f t="shared" si="33"/>
        <v>61.107963296116218</v>
      </c>
      <c r="Q67" s="20">
        <f t="shared" ref="Q67:Q98" si="54">(O67+P67)*0.475*44/12</f>
        <v>546.09464274073571</v>
      </c>
      <c r="R67" s="59">
        <f t="shared" ref="R67:R130" si="55">Q67+(I67+J67)*44/12</f>
        <v>839.42797607406897</v>
      </c>
      <c r="S67" s="59">
        <f ca="1">AVERAGE(OFFSET($R$3,0,0,'Données projet'!$E$9+1,1))-AVERAGE(OFFSET($H$3,0,0,'Données projet'!$E$9+1,1))</f>
        <v>469.68830256438338</v>
      </c>
      <c r="T67" s="59">
        <f t="shared" si="34"/>
        <v>332.61387922152159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1.2283639046209145</v>
      </c>
      <c r="AA67" s="21">
        <f>EXP(-LN(2)/25)*AA66+(1-EXP(-LN(2)/25))/(LN(2)/25)*Calculateur!V67*Calculateur!X67*VLOOKUP('Données projet'!$B$9,Paramètres!$A$1:$I$89,3,0)*0.475*44/12</f>
        <v>4.3955862282094671</v>
      </c>
      <c r="AB67" s="21">
        <f>EXP(-LN(2)/2)*AB66+(1-EXP(-LN(2)/2))/(LN(2)/2)*V67*Y67*VLOOKUP('Données projet'!$B$9,Paramètres!$A$1:$I$89,3,0)*0.475*44/12</f>
        <v>1.6443890971455866E-4</v>
      </c>
      <c r="AC67" s="22">
        <f t="shared" si="3"/>
        <v>5.6241145717400967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300.31560000000002</v>
      </c>
      <c r="AK67" s="13">
        <f t="shared" si="35"/>
        <v>71.242621308749136</v>
      </c>
      <c r="AL67" s="20">
        <f t="shared" si="4"/>
        <v>647.1305687794046</v>
      </c>
      <c r="AM67" s="59">
        <f t="shared" si="5"/>
        <v>940.46390211273797</v>
      </c>
      <c r="AN67" s="59">
        <f ca="1">AVERAGE(OFFSET($AM$3,0,0,'Données projet'!$E$10+1,1))-AVERAGE(OFFSET($H$3,0,0,'Données projet'!$E$10+1,1))</f>
        <v>550.66682372933292</v>
      </c>
      <c r="AO67" s="59">
        <f t="shared" si="36"/>
        <v>387.28615589698444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1.4613294727386741</v>
      </c>
      <c r="AV67" s="21">
        <f>EXP(-LN(2)/25)*AV66+(1-EXP(-LN(2)/25))/(LN(2)/25)*Calculateur!AQ67*Calculateur!AS67*VLOOKUP('Données projet'!$B$10,Paramètres!$A$1:$I$89,3,0)*0.475*44/12</f>
        <v>5.2292318921802314</v>
      </c>
      <c r="AW67" s="21">
        <f>EXP(-LN(2)/2)*AW66+(1-EXP(-LN(2)/2))/(LN(2)/2)*AQ67*AT67*VLOOKUP('Données projet'!$B$10,Paramètres!$A$1:$I$89,3,0)*0.475*44/12</f>
        <v>1.9562559948800901E-4</v>
      </c>
      <c r="AX67" s="21">
        <f t="shared" si="6"/>
        <v>6.6907569905183939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9.1</v>
      </c>
      <c r="BD67" s="12">
        <f>IF('Données projet'!$A$88&gt;35,BD66+BC67-BL66,IF(A67&lt;'Données projet'!$A$88,$BA$205^A67,IF(A67='Données projet'!$A$88,'Données projet'!$B$88,BD66+BC67-BL66)))</f>
        <v>309.40000000000003</v>
      </c>
      <c r="BE67" s="13">
        <f>BD67*VLOOKUP('Données projet'!$B$11,Paramètres!$A$1:$I$89,3,0)*VLOOKUP('Données projet'!$B$11,Paramètres!$A$1:$I$89,5,0)</f>
        <v>241.33200000000002</v>
      </c>
      <c r="BF67" s="13">
        <f t="shared" si="37"/>
        <v>58.72602439130111</v>
      </c>
      <c r="BG67" s="20">
        <f t="shared" si="7"/>
        <v>522.6010591481828</v>
      </c>
      <c r="BH67" s="59">
        <f t="shared" si="8"/>
        <v>815.93439248151617</v>
      </c>
      <c r="BI67" s="59">
        <f ca="1">AVERAGE(OFFSET($BH$3,0,0,'Données projet'!$E$11+1,1))-AVERAGE(OFFSET($H$3,0,0,'Données projet'!$E$11+1,1))</f>
        <v>376.33792692771908</v>
      </c>
      <c r="BJ67" s="59">
        <f t="shared" si="38"/>
        <v>367.92889258044698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0.73747217180134972</v>
      </c>
      <c r="BQ67" s="21">
        <f>EXP(-LN(2)/25)*BQ66+(1-EXP(-LN(2)/25))/(LN(2)/25)*Calculateur!BL67*Calculateur!BN67*VLOOKUP('Données projet'!$B$11,Paramètres!$A$1:$I$89,3,0)*0.475*44/12</f>
        <v>3.2610852510570116</v>
      </c>
      <c r="BR67" s="21">
        <f>EXP(-LN(2)/2)*BR66+(1-EXP(-LN(2)/2))/(LN(2)/2)*BL67*BO67*VLOOKUP('Données projet'!$B$11,Paramètres!$A$1:$I$89,3,0)*0.475*44/12</f>
        <v>9.9725186132063563E-5</v>
      </c>
      <c r="BS67" s="22">
        <f t="shared" si="9"/>
        <v>3.9986571480444937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199.96080000000015</v>
      </c>
      <c r="CA67" s="13">
        <f t="shared" si="39"/>
        <v>49.735552653569265</v>
      </c>
      <c r="CB67" s="20">
        <f t="shared" si="10"/>
        <v>434.88781420496679</v>
      </c>
      <c r="CC67" s="59">
        <f t="shared" si="11"/>
        <v>728.2211475383001</v>
      </c>
      <c r="CD67" s="59">
        <f ca="1">AVERAGE(OFFSET($CC$3,0,0,'Données projet'!$E$12+1,1))-AVERAGE(OFFSET($H$3,0,0,'Données projet'!$E$12+1,1))</f>
        <v>388.50131600273431</v>
      </c>
      <c r="CE67" s="59">
        <f t="shared" si="40"/>
        <v>247.01165577562955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1.2100185053098009</v>
      </c>
      <c r="CM67" s="21">
        <f>EXP(-LN(2)/2)*CM66+(1-EXP(-LN(2)/2))/(LN(2)/2)*CG67*CJ67*VLOOKUP('Données projet'!$B$12,Paramètres!$A$1:$I$89,3,0)*0.475*44/12</f>
        <v>4.7220976672580164E-5</v>
      </c>
      <c r="CN67" s="22">
        <f t="shared" si="12"/>
        <v>1.2100657262864736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</v>
      </c>
      <c r="CT67" s="12">
        <f>IF('Données projet'!$A$140&gt;35,CT66+CS67-DB66,IF(A67&lt;'Données projet'!$A$140,$CQ$205^A67,IF(A67='Données projet'!$A$140,'Données projet'!$B$140,CT66+CS67-DB66)))</f>
        <v>221.00000000000017</v>
      </c>
      <c r="CU67" s="17">
        <f>CT67*VLOOKUP('Données projet'!$B$13,Paramètres!$A$1:$I$89,3,0)*VLOOKUP('Données projet'!$B$13,Paramètres!$A$1:$I$89,5,0)</f>
        <v>237.88440000000014</v>
      </c>
      <c r="CV67" s="13">
        <f t="shared" si="41"/>
        <v>57.984114543460585</v>
      </c>
      <c r="CW67" s="20">
        <f t="shared" si="13"/>
        <v>515.30432949652743</v>
      </c>
      <c r="CX67" s="59">
        <f t="shared" si="14"/>
        <v>808.6376628298608</v>
      </c>
      <c r="CY67" s="59">
        <f ca="1">AVERAGE(OFFSET($CX$3,0,0,'Données projet'!$E$13+1,1))-AVERAGE(OFFSET($H$3,0,0,'Données projet'!$E$13+1,1))</f>
        <v>454.43000549907373</v>
      </c>
      <c r="CZ67" s="59">
        <f t="shared" si="42"/>
        <v>285.83623046025156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1.4395047735582114</v>
      </c>
      <c r="DH67" s="21">
        <f>EXP(-LN(2)/2)*DH66+(1-EXP(-LN(2)/2))/(LN(2)/2)*DB67*DE67*VLOOKUP('Données projet'!$B$13,Paramètres!$A$1:$I$89,3,0)*0.475*44/12</f>
        <v>5.6176679144966155E-5</v>
      </c>
      <c r="DI67" s="22">
        <f t="shared" si="15"/>
        <v>1.4395609502373563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</v>
      </c>
      <c r="DO67" s="12">
        <f>IF('Données projet'!$A$166&gt;35,DO66+DN67-DW66,IF(A67&lt;'Données projet'!$A$166,$DL$205^A67,IF(A67='Données projet'!$A$166,'Données projet'!$B$166,DO66+DN67-DW66)))</f>
        <v>309.40000000000003</v>
      </c>
      <c r="DP67" s="17">
        <f>DO67*VLOOKUP('Données projet'!$B$14,Paramètres!$A$1:$I$89,3,0)*VLOOKUP('Données projet'!$B$14,Paramètres!$A$1:$I$89,5,0)</f>
        <v>241.33200000000002</v>
      </c>
      <c r="DQ67" s="13">
        <f t="shared" si="43"/>
        <v>58.72602439130111</v>
      </c>
      <c r="DR67" s="20">
        <f t="shared" si="16"/>
        <v>522.6010591481828</v>
      </c>
      <c r="DS67" s="59">
        <f t="shared" si="17"/>
        <v>815.93439248151617</v>
      </c>
      <c r="DT67" s="59">
        <f ca="1">AVERAGE(OFFSET($DS$3,0,0,'Données projet'!$E$14+1,1))-AVERAGE(OFFSET($H$3,0,0,'Données projet'!$E$14+1,1))</f>
        <v>376.33792692771908</v>
      </c>
      <c r="DU67" s="59">
        <f t="shared" si="44"/>
        <v>367.92889258044698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0.73747217180134972</v>
      </c>
      <c r="EB67" s="21">
        <f>EXP(-LN(2)/25)*EB66+(1-EXP(-LN(2)/25))/(LN(2)/25)*Calculateur!DW67*Calculateur!DY67*VLOOKUP('Données projet'!$B$14,Paramètres!$A$1:$I$89,3,0)*0.475*44/12</f>
        <v>3.2610852510570116</v>
      </c>
      <c r="EC67" s="21">
        <f>EXP(-LN(2)/2)*EC66+(1-EXP(-LN(2)/2))/(LN(2)/2)*DW67*DZ67*VLOOKUP('Données projet'!$B$14,Paramètres!$A$1:$I$89,3,0)*0.475*44/12</f>
        <v>9.9725186132063563E-5</v>
      </c>
      <c r="ED67" s="22">
        <f t="shared" si="18"/>
        <v>3.9986571480444937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260.13</v>
      </c>
      <c r="P68" s="13">
        <f t="shared" si="33"/>
        <v>62.750087896510983</v>
      </c>
      <c r="Q68" s="20">
        <f t="shared" si="54"/>
        <v>562.34948641975654</v>
      </c>
      <c r="R68" s="59">
        <f t="shared" si="55"/>
        <v>855.68281975308992</v>
      </c>
      <c r="S68" s="59">
        <f ca="1">AVERAGE(OFFSET($R$3,0,0,'Données projet'!$E$9+1,1))-AVERAGE(OFFSET($H$3,0,0,'Données projet'!$E$9+1,1))</f>
        <v>469.68830256438338</v>
      </c>
      <c r="T68" s="59">
        <f t="shared" si="34"/>
        <v>332.61387922152159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1.2042764376793</v>
      </c>
      <c r="AA68" s="21">
        <f>EXP(-LN(2)/25)*AA67+(1-EXP(-LN(2)/25))/(LN(2)/25)*Calculateur!V68*Calculateur!X68*VLOOKUP('Données projet'!$B$9,Paramètres!$A$1:$I$89,3,0)*0.475*44/12</f>
        <v>4.2753886916452455</v>
      </c>
      <c r="AB68" s="21">
        <f>EXP(-LN(2)/2)*AB67+(1-EXP(-LN(2)/2))/(LN(2)/2)*V68*Y68*VLOOKUP('Données projet'!$B$9,Paramètres!$A$1:$I$89,3,0)*0.475*44/12</f>
        <v>1.1627586815008689E-4</v>
      </c>
      <c r="AC68" s="22">
        <f t="shared" ref="AC68:AC131" si="57">SUM(Z68:AB68)</f>
        <v>5.4797814051926954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309.46499999999997</v>
      </c>
      <c r="AK68" s="13">
        <f t="shared" si="35"/>
        <v>73.157089648673946</v>
      </c>
      <c r="AL68" s="20">
        <f t="shared" ref="AL68:AL131" si="58">(AJ68+AK68)*0.475*44/12</f>
        <v>666.40013947144041</v>
      </c>
      <c r="AM68" s="59">
        <f t="shared" ref="AM68:AM131" si="59">AL68+(AD68+AE68)*44/12</f>
        <v>959.73347280477378</v>
      </c>
      <c r="AN68" s="59">
        <f ca="1">AVERAGE(OFFSET($AM$3,0,0,'Données projet'!$E$10+1,1))-AVERAGE(OFFSET($H$3,0,0,'Données projet'!$E$10+1,1))</f>
        <v>550.66682372933292</v>
      </c>
      <c r="AO68" s="59">
        <f t="shared" si="36"/>
        <v>387.28615589698444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1.4326736931012363</v>
      </c>
      <c r="AV68" s="21">
        <f>EXP(-LN(2)/25)*AV67+(1-EXP(-LN(2)/25))/(LN(2)/25)*Calculateur!AQ68*Calculateur!AS68*VLOOKUP('Données projet'!$B$10,Paramètres!$A$1:$I$89,3,0)*0.475*44/12</f>
        <v>5.0862382710952092</v>
      </c>
      <c r="AW68" s="21">
        <f>EXP(-LN(2)/2)*AW67+(1-EXP(-LN(2)/2))/(LN(2)/2)*AQ68*AT68*VLOOKUP('Données projet'!$B$10,Paramètres!$A$1:$I$89,3,0)*0.475*44/12</f>
        <v>1.3832818797165477E-4</v>
      </c>
      <c r="AX68" s="21">
        <f t="shared" ref="AX68:AX131" si="60">SUM(AU68:AW68)</f>
        <v>6.5190502923844171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9.1</v>
      </c>
      <c r="BD68" s="12">
        <f>IF('Données projet'!$A$88&gt;35,BD67+BC68-BL67,IF(A68&lt;'Données projet'!$A$88,$BA$205^A68,IF(A68='Données projet'!$A$88,'Données projet'!$B$88,BD67+BC68-BL67)))</f>
        <v>318.50000000000006</v>
      </c>
      <c r="BE68" s="13">
        <f>BD68*VLOOKUP('Données projet'!$B$11,Paramètres!$A$1:$I$89,3,0)*VLOOKUP('Données projet'!$B$11,Paramètres!$A$1:$I$89,5,0)</f>
        <v>248.43000000000006</v>
      </c>
      <c r="BF68" s="13">
        <f t="shared" si="37"/>
        <v>60.249625816963075</v>
      </c>
      <c r="BG68" s="20">
        <f t="shared" ref="BG68:BG131" si="61">(BE68+BF68)*0.475*44/12</f>
        <v>537.61701496454418</v>
      </c>
      <c r="BH68" s="59">
        <f t="shared" ref="BH68:BH131" si="62">BG68+(AY68+AZ68)*44/12</f>
        <v>830.95034829787755</v>
      </c>
      <c r="BI68" s="59">
        <f ca="1">AVERAGE(OFFSET($BH$3,0,0,'Données projet'!$E$11+1,1))-AVERAGE(OFFSET($H$3,0,0,'Données projet'!$E$11+1,1))</f>
        <v>376.33792692771908</v>
      </c>
      <c r="BJ68" s="59">
        <f t="shared" si="38"/>
        <v>367.92889258044698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0.72301079232593468</v>
      </c>
      <c r="BQ68" s="21">
        <f>EXP(-LN(2)/25)*BQ67+(1-EXP(-LN(2)/25))/(LN(2)/25)*Calculateur!BL68*Calculateur!BN68*VLOOKUP('Données projet'!$B$11,Paramètres!$A$1:$I$89,3,0)*0.475*44/12</f>
        <v>3.1719107033738374</v>
      </c>
      <c r="BR68" s="21">
        <f>EXP(-LN(2)/2)*BR67+(1-EXP(-LN(2)/2))/(LN(2)/2)*BL68*BO68*VLOOKUP('Données projet'!$B$11,Paramètres!$A$1:$I$89,3,0)*0.475*44/12</f>
        <v>7.0516355369072792E-5</v>
      </c>
      <c r="BS68" s="22">
        <f t="shared" ref="BS68:BS131" si="63">SUM(BP68:BR68)</f>
        <v>3.8949920120551411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206.29440000000017</v>
      </c>
      <c r="CA68" s="13">
        <f t="shared" si="39"/>
        <v>51.124981739560774</v>
      </c>
      <c r="CB68" s="20">
        <f t="shared" ref="CB68:CB131" si="64">(BZ68+CA68)*0.475*44/12</f>
        <v>448.33875652973529</v>
      </c>
      <c r="CC68" s="59">
        <f t="shared" ref="CC68:CC131" si="65">CB68+(BT68+BU68)*44/12</f>
        <v>741.67208986306855</v>
      </c>
      <c r="CD68" s="59">
        <f ca="1">AVERAGE(OFFSET($CC$3,0,0,'Données projet'!$E$12+1,1))-AVERAGE(OFFSET($H$3,0,0,'Données projet'!$E$12+1,1))</f>
        <v>388.50131600273431</v>
      </c>
      <c r="CE68" s="59">
        <f t="shared" si="40"/>
        <v>247.01165577562955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1.1769304856499967</v>
      </c>
      <c r="CM68" s="21">
        <f>EXP(-LN(2)/2)*CM67+(1-EXP(-LN(2)/2))/(LN(2)/2)*CG68*CJ68*VLOOKUP('Données projet'!$B$12,Paramètres!$A$1:$I$89,3,0)*0.475*44/12</f>
        <v>3.3390272819433207E-5</v>
      </c>
      <c r="CN68" s="22">
        <f t="shared" ref="CN68:CN131" si="66">SUM(CK68:CM68)</f>
        <v>1.176963875922816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</v>
      </c>
      <c r="CT68" s="12">
        <f>IF('Données projet'!$A$140&gt;35,CT67+CS68-DB67,IF(A68&lt;'Données projet'!$A$140,$CQ$205^A68,IF(A68='Données projet'!$A$140,'Données projet'!$B$140,CT67+CS68-DB67)))</f>
        <v>228.00000000000017</v>
      </c>
      <c r="CU68" s="17">
        <f>CT68*VLOOKUP('Données projet'!$B$13,Paramètres!$A$1:$I$89,3,0)*VLOOKUP('Données projet'!$B$13,Paramètres!$A$1:$I$89,5,0)</f>
        <v>245.41920000000019</v>
      </c>
      <c r="CV68" s="13">
        <f t="shared" si="41"/>
        <v>59.603978221930504</v>
      </c>
      <c r="CW68" s="20">
        <f t="shared" ref="CW68:CW131" si="67">(CU68+CV68)*0.475*44/12</f>
        <v>531.2487020698627</v>
      </c>
      <c r="CX68" s="59">
        <f t="shared" ref="CX68:CX131" si="68">CW68+(CO68+CP68)*44/12</f>
        <v>824.58203540319596</v>
      </c>
      <c r="CY68" s="59">
        <f ca="1">AVERAGE(OFFSET($CX$3,0,0,'Données projet'!$E$13+1,1))-AVERAGE(OFFSET($H$3,0,0,'Données projet'!$E$13+1,1))</f>
        <v>454.43000549907373</v>
      </c>
      <c r="CZ68" s="59">
        <f t="shared" si="42"/>
        <v>285.83623046025156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1.4001414398249961</v>
      </c>
      <c r="DH68" s="21">
        <f>EXP(-LN(2)/2)*DH67+(1-EXP(-LN(2)/2))/(LN(2)/2)*DB68*DE68*VLOOKUP('Données projet'!$B$13,Paramètres!$A$1:$I$89,3,0)*0.475*44/12</f>
        <v>3.972291076794647E-5</v>
      </c>
      <c r="DI68" s="22">
        <f t="shared" ref="DI68:DI131" si="69">SUM(DF68:DH68)</f>
        <v>1.4001811627357641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9.1</v>
      </c>
      <c r="DO68" s="12">
        <f>IF('Données projet'!$A$166&gt;35,DO67+DN68-DW67,IF(A68&lt;'Données projet'!$A$166,$DL$205^A68,IF(A68='Données projet'!$A$166,'Données projet'!$B$166,DO67+DN68-DW67)))</f>
        <v>318.50000000000006</v>
      </c>
      <c r="DP68" s="17">
        <f>DO68*VLOOKUP('Données projet'!$B$14,Paramètres!$A$1:$I$89,3,0)*VLOOKUP('Données projet'!$B$14,Paramètres!$A$1:$I$89,5,0)</f>
        <v>248.43000000000006</v>
      </c>
      <c r="DQ68" s="13">
        <f t="shared" si="43"/>
        <v>60.249625816963075</v>
      </c>
      <c r="DR68" s="20">
        <f t="shared" ref="DR68:DR131" si="70">(DP68+DQ68)*0.475*44/12</f>
        <v>537.61701496454418</v>
      </c>
      <c r="DS68" s="59">
        <f t="shared" ref="DS68:DS131" si="71">DR68+(DJ68+DK68)*44/12</f>
        <v>830.95034829787755</v>
      </c>
      <c r="DT68" s="59">
        <f ca="1">AVERAGE(OFFSET($DS$3,0,0,'Données projet'!$E$14+1,1))-AVERAGE(OFFSET($H$3,0,0,'Données projet'!$E$14+1,1))</f>
        <v>376.33792692771908</v>
      </c>
      <c r="DU68" s="59">
        <f t="shared" si="44"/>
        <v>367.92889258044698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0.72301079232593468</v>
      </c>
      <c r="EB68" s="21">
        <f>EXP(-LN(2)/25)*EB67+(1-EXP(-LN(2)/25))/(LN(2)/25)*Calculateur!DW68*Calculateur!DY68*VLOOKUP('Données projet'!$B$14,Paramètres!$A$1:$I$89,3,0)*0.475*44/12</f>
        <v>3.1719107033738374</v>
      </c>
      <c r="EC68" s="21">
        <f>EXP(-LN(2)/2)*EC67+(1-EXP(-LN(2)/2))/(LN(2)/2)*DW68*DZ68*VLOOKUP('Données projet'!$B$14,Paramètres!$A$1:$I$89,3,0)*0.475*44/12</f>
        <v>7.0516355369072792E-5</v>
      </c>
      <c r="ED68" s="22">
        <f t="shared" ref="ED68:ED131" si="72">SUM(EA68:EC68)</f>
        <v>3.8949920120551411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267.82079999999996</v>
      </c>
      <c r="P69" s="13">
        <f t="shared" ref="P69:P132" si="87">EXP(-1.0587+0.8836*LN(O69)+0.284)</f>
        <v>64.386570147897302</v>
      </c>
      <c r="Q69" s="20">
        <f t="shared" si="54"/>
        <v>578.59450300758772</v>
      </c>
      <c r="R69" s="59">
        <f t="shared" si="55"/>
        <v>871.92783634092098</v>
      </c>
      <c r="S69" s="59">
        <f ca="1">AVERAGE(OFFSET($R$3,0,0,'Données projet'!$E$9+1,1))-AVERAGE(OFFSET($H$3,0,0,'Données projet'!$E$9+1,1))</f>
        <v>469.68830256438338</v>
      </c>
      <c r="T69" s="59">
        <f t="shared" ref="T69:T132" si="88">$T$3</f>
        <v>332.61387922152159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1.1806613112725066</v>
      </c>
      <c r="AA69" s="21">
        <f>EXP(-LN(2)/25)*AA68+(1-EXP(-LN(2)/25))/(LN(2)/25)*Calculateur!V69*Calculateur!X69*VLOOKUP('Données projet'!$B$9,Paramètres!$A$1:$I$89,3,0)*0.475*44/12</f>
        <v>4.1584779630392861</v>
      </c>
      <c r="AB69" s="21">
        <f>EXP(-LN(2)/2)*AB68+(1-EXP(-LN(2)/2))/(LN(2)/2)*V69*Y69*VLOOKUP('Données projet'!$B$9,Paramètres!$A$1:$I$89,3,0)*0.475*44/12</f>
        <v>8.2219454857279344E-5</v>
      </c>
      <c r="AC69" s="22">
        <f t="shared" si="57"/>
        <v>5.3392214937666491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318.61439999999999</v>
      </c>
      <c r="AK69" s="13">
        <f t="shared" ref="AK69:AK132" si="89">EXP(-1.0587+0.8836*LN(AJ69)+0.284)</f>
        <v>75.06497986502842</v>
      </c>
      <c r="AL69" s="20">
        <f t="shared" si="58"/>
        <v>685.6582532649245</v>
      </c>
      <c r="AM69" s="59">
        <f t="shared" si="59"/>
        <v>978.99158659825775</v>
      </c>
      <c r="AN69" s="59">
        <f ca="1">AVERAGE(OFFSET($AM$3,0,0,'Données projet'!$E$10+1,1))-AVERAGE(OFFSET($H$3,0,0,'Données projet'!$E$10+1,1))</f>
        <v>550.66682372933292</v>
      </c>
      <c r="AO69" s="59">
        <f t="shared" ref="AO69:AO132" si="90">$AO$3</f>
        <v>387.28615589698444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1.4045798358241888</v>
      </c>
      <c r="AV69" s="21">
        <f>EXP(-LN(2)/25)*AV68+(1-EXP(-LN(2)/25))/(LN(2)/25)*Calculateur!AQ69*Calculateur!AS69*VLOOKUP('Données projet'!$B$10,Paramètres!$A$1:$I$89,3,0)*0.475*44/12</f>
        <v>4.9471548180984648</v>
      </c>
      <c r="AW69" s="21">
        <f>EXP(-LN(2)/2)*AW68+(1-EXP(-LN(2)/2))/(LN(2)/2)*AQ69*AT69*VLOOKUP('Données projet'!$B$10,Paramètres!$A$1:$I$89,3,0)*0.475*44/12</f>
        <v>9.7812799744004505E-5</v>
      </c>
      <c r="AX69" s="21">
        <f t="shared" si="60"/>
        <v>6.3518324667223975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9.1</v>
      </c>
      <c r="BD69" s="12">
        <f>IF('Données projet'!$A$88&gt;35,BD68+BC69-BL68,IF(A69&lt;'Données projet'!$A$88,$BA$205^A69,IF(A69='Données projet'!$A$88,'Données projet'!$B$88,BD68+BC69-BL68)))</f>
        <v>327.60000000000008</v>
      </c>
      <c r="BE69" s="13">
        <f>BD69*VLOOKUP('Données projet'!$B$11,Paramètres!$A$1:$I$89,3,0)*VLOOKUP('Données projet'!$B$11,Paramètres!$A$1:$I$89,5,0)</f>
        <v>255.52800000000008</v>
      </c>
      <c r="BF69" s="13">
        <f t="shared" ref="BF69:BF132" si="91">EXP(-1.0587+0.8836*LN(BE69)+0.284)</f>
        <v>61.768167868721527</v>
      </c>
      <c r="BG69" s="20">
        <f t="shared" si="61"/>
        <v>552.62415903802355</v>
      </c>
      <c r="BH69" s="59">
        <f t="shared" si="62"/>
        <v>845.95749237135692</v>
      </c>
      <c r="BI69" s="59">
        <f ca="1">AVERAGE(OFFSET($BH$3,0,0,'Données projet'!$E$11+1,1))-AVERAGE(OFFSET($H$3,0,0,'Données projet'!$E$11+1,1))</f>
        <v>376.33792692771908</v>
      </c>
      <c r="BJ69" s="59">
        <f t="shared" ref="BJ69:BJ132" si="92">$BJ$3</f>
        <v>367.92889258044698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0.70883299168146197</v>
      </c>
      <c r="BQ69" s="21">
        <f>EXP(-LN(2)/25)*BQ68+(1-EXP(-LN(2)/25))/(LN(2)/25)*Calculateur!BL69*Calculateur!BN69*VLOOKUP('Données projet'!$B$11,Paramètres!$A$1:$I$89,3,0)*0.475*44/12</f>
        <v>3.0851746383865453</v>
      </c>
      <c r="BR69" s="21">
        <f>EXP(-LN(2)/2)*BR68+(1-EXP(-LN(2)/2))/(LN(2)/2)*BL69*BO69*VLOOKUP('Données projet'!$B$11,Paramètres!$A$1:$I$89,3,0)*0.475*44/12</f>
        <v>4.9862593066031782E-5</v>
      </c>
      <c r="BS69" s="22">
        <f t="shared" si="63"/>
        <v>3.7940574926610733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212.62800000000016</v>
      </c>
      <c r="CA69" s="13">
        <f t="shared" ref="CA69:CA132" si="93">EXP(-1.0587+0.8836*LN(BZ69)+0.284)</f>
        <v>52.509453483719085</v>
      </c>
      <c r="CB69" s="20">
        <f t="shared" si="64"/>
        <v>461.78106481747767</v>
      </c>
      <c r="CC69" s="59">
        <f t="shared" si="65"/>
        <v>755.11439815081098</v>
      </c>
      <c r="CD69" s="59">
        <f ca="1">AVERAGE(OFFSET($CC$3,0,0,'Données projet'!$E$12+1,1))-AVERAGE(OFFSET($H$3,0,0,'Données projet'!$E$12+1,1))</f>
        <v>388.50131600273431</v>
      </c>
      <c r="CE69" s="59">
        <f t="shared" ref="CE69:CE132" si="94">$CE$3</f>
        <v>247.01165577562955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1.1447472596278132</v>
      </c>
      <c r="CM69" s="21">
        <f>EXP(-LN(2)/2)*CM68+(1-EXP(-LN(2)/2))/(LN(2)/2)*CG69*CJ69*VLOOKUP('Données projet'!$B$12,Paramètres!$A$1:$I$89,3,0)*0.475*44/12</f>
        <v>2.3610488336290082E-5</v>
      </c>
      <c r="CN69" s="22">
        <f t="shared" si="66"/>
        <v>1.1447708701161494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</v>
      </c>
      <c r="CT69" s="12">
        <f>IF('Données projet'!$A$140&gt;35,CT68+CS69-DB68,IF(A69&lt;'Données projet'!$A$140,$CQ$205^A69,IF(A69='Données projet'!$A$140,'Données projet'!$B$140,CT68+CS69-DB68)))</f>
        <v>235.00000000000017</v>
      </c>
      <c r="CU69" s="17">
        <f>CT69*VLOOKUP('Données projet'!$B$13,Paramètres!$A$1:$I$89,3,0)*VLOOKUP('Données projet'!$B$13,Paramètres!$A$1:$I$89,5,0)</f>
        <v>252.95400000000015</v>
      </c>
      <c r="CV69" s="13">
        <f t="shared" ref="CV69:CV132" si="95">EXP(-1.0587+0.8836*LN(CU69)+0.284)</f>
        <v>61.218062391350081</v>
      </c>
      <c r="CW69" s="20">
        <f t="shared" si="67"/>
        <v>547.18300866493496</v>
      </c>
      <c r="CX69" s="59">
        <f t="shared" si="68"/>
        <v>840.51634199826822</v>
      </c>
      <c r="CY69" s="59">
        <f ca="1">AVERAGE(OFFSET($CX$3,0,0,'Données projet'!$E$13+1,1))-AVERAGE(OFFSET($H$3,0,0,'Données projet'!$E$13+1,1))</f>
        <v>454.43000549907373</v>
      </c>
      <c r="CZ69" s="59">
        <f t="shared" ref="CZ69:CZ132" si="96">$CZ$3</f>
        <v>285.83623046025156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1.3618544985227432</v>
      </c>
      <c r="DH69" s="21">
        <f>EXP(-LN(2)/2)*DH68+(1-EXP(-LN(2)/2))/(LN(2)/2)*DB69*DE69*VLOOKUP('Données projet'!$B$13,Paramètres!$A$1:$I$89,3,0)*0.475*44/12</f>
        <v>2.8088339572483077E-5</v>
      </c>
      <c r="DI69" s="22">
        <f t="shared" si="69"/>
        <v>1.3618825868623157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9.1</v>
      </c>
      <c r="DO69" s="12">
        <f>IF('Données projet'!$A$166&gt;35,DO68+DN69-DW68,IF(A69&lt;'Données projet'!$A$166,$DL$205^A69,IF(A69='Données projet'!$A$166,'Données projet'!$B$166,DO68+DN69-DW68)))</f>
        <v>327.60000000000008</v>
      </c>
      <c r="DP69" s="17">
        <f>DO69*VLOOKUP('Données projet'!$B$14,Paramètres!$A$1:$I$89,3,0)*VLOOKUP('Données projet'!$B$14,Paramètres!$A$1:$I$89,5,0)</f>
        <v>255.52800000000008</v>
      </c>
      <c r="DQ69" s="13">
        <f t="shared" ref="DQ69:DQ132" si="97">EXP(-1.0587+0.8836*LN(DP69)+0.284)</f>
        <v>61.768167868721527</v>
      </c>
      <c r="DR69" s="20">
        <f t="shared" si="70"/>
        <v>552.62415903802355</v>
      </c>
      <c r="DS69" s="59">
        <f t="shared" si="71"/>
        <v>845.95749237135692</v>
      </c>
      <c r="DT69" s="59">
        <f ca="1">AVERAGE(OFFSET($DS$3,0,0,'Données projet'!$E$14+1,1))-AVERAGE(OFFSET($H$3,0,0,'Données projet'!$E$14+1,1))</f>
        <v>376.33792692771908</v>
      </c>
      <c r="DU69" s="59">
        <f t="shared" ref="DU69:DU132" si="98">$DU$3</f>
        <v>367.92889258044698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0.70883299168146197</v>
      </c>
      <c r="EB69" s="21">
        <f>EXP(-LN(2)/25)*EB68+(1-EXP(-LN(2)/25))/(LN(2)/25)*Calculateur!DW69*Calculateur!DY69*VLOOKUP('Données projet'!$B$14,Paramètres!$A$1:$I$89,3,0)*0.475*44/12</f>
        <v>3.0851746383865453</v>
      </c>
      <c r="EC69" s="21">
        <f>EXP(-LN(2)/2)*EC68+(1-EXP(-LN(2)/2))/(LN(2)/2)*DW69*DZ69*VLOOKUP('Données projet'!$B$14,Paramètres!$A$1:$I$89,3,0)*0.475*44/12</f>
        <v>4.9862593066031782E-5</v>
      </c>
      <c r="ED69" s="22">
        <f t="shared" si="72"/>
        <v>3.7940574926610733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275.51159999999999</v>
      </c>
      <c r="P70" s="13">
        <f t="shared" si="87"/>
        <v>66.017590685458188</v>
      </c>
      <c r="Q70" s="20">
        <f t="shared" si="54"/>
        <v>594.83000711050624</v>
      </c>
      <c r="R70" s="59">
        <f t="shared" si="55"/>
        <v>888.16334044383962</v>
      </c>
      <c r="S70" s="59">
        <f ca="1">AVERAGE(OFFSET($R$3,0,0,'Données projet'!$E$9+1,1))-AVERAGE(OFFSET($H$3,0,0,'Données projet'!$E$9+1,1))</f>
        <v>469.68830256438338</v>
      </c>
      <c r="T70" s="59">
        <f t="shared" si="88"/>
        <v>332.61387922152159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1.1575092630907455</v>
      </c>
      <c r="AA70" s="21">
        <f>EXP(-LN(2)/25)*AA69+(1-EXP(-LN(2)/25))/(LN(2)/25)*Calculateur!V70*Calculateur!X70*VLOOKUP('Données projet'!$B$9,Paramètres!$A$1:$I$89,3,0)*0.475*44/12</f>
        <v>4.0447641644551249</v>
      </c>
      <c r="AB70" s="21">
        <f>EXP(-LN(2)/2)*AB69+(1-EXP(-LN(2)/2))/(LN(2)/2)*V70*Y70*VLOOKUP('Données projet'!$B$9,Paramètres!$A$1:$I$89,3,0)*0.475*44/12</f>
        <v>5.8137934075043451E-5</v>
      </c>
      <c r="AC70" s="22">
        <f t="shared" si="57"/>
        <v>5.2023315654799456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327.7638</v>
      </c>
      <c r="AK70" s="13">
        <f t="shared" si="89"/>
        <v>76.96650255105169</v>
      </c>
      <c r="AL70" s="20">
        <f t="shared" si="58"/>
        <v>704.90527694308173</v>
      </c>
      <c r="AM70" s="59">
        <f t="shared" si="59"/>
        <v>998.2386102764151</v>
      </c>
      <c r="AN70" s="59">
        <f ca="1">AVERAGE(OFFSET($AM$3,0,0,'Données projet'!$E$10+1,1))-AVERAGE(OFFSET($H$3,0,0,'Données projet'!$E$10+1,1))</f>
        <v>550.66682372933292</v>
      </c>
      <c r="AO70" s="59">
        <f t="shared" si="90"/>
        <v>387.28615589698444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1.3770368819527832</v>
      </c>
      <c r="AV70" s="21">
        <f>EXP(-LN(2)/25)*AV69+(1-EXP(-LN(2)/25))/(LN(2)/25)*Calculateur!AQ70*Calculateur!AS70*VLOOKUP('Données projet'!$B$10,Paramètres!$A$1:$I$89,3,0)*0.475*44/12</f>
        <v>4.8118746094379974</v>
      </c>
      <c r="AW70" s="21">
        <f>EXP(-LN(2)/2)*AW69+(1-EXP(-LN(2)/2))/(LN(2)/2)*AQ70*AT70*VLOOKUP('Données projet'!$B$10,Paramètres!$A$1:$I$89,3,0)*0.475*44/12</f>
        <v>6.9164093985827385E-5</v>
      </c>
      <c r="AX70" s="21">
        <f t="shared" si="60"/>
        <v>6.1889806554847659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9.1</v>
      </c>
      <c r="BD70" s="12">
        <f>IF('Données projet'!$A$88&gt;35,BD69+BC70-BL69,IF(A70&lt;'Données projet'!$A$88,$BA$205^A70,IF(A70='Données projet'!$A$88,'Données projet'!$B$88,BD69+BC70-BL69)))</f>
        <v>336.7000000000001</v>
      </c>
      <c r="BE70" s="13">
        <f>BD70*VLOOKUP('Données projet'!$B$11,Paramètres!$A$1:$I$89,3,0)*VLOOKUP('Données projet'!$B$11,Paramètres!$A$1:$I$89,5,0)</f>
        <v>262.62600000000009</v>
      </c>
      <c r="BF70" s="13">
        <f t="shared" si="91"/>
        <v>63.281807230823453</v>
      </c>
      <c r="BG70" s="20">
        <f t="shared" si="61"/>
        <v>567.622764260351</v>
      </c>
      <c r="BH70" s="59">
        <f t="shared" si="62"/>
        <v>860.95609759368426</v>
      </c>
      <c r="BI70" s="59">
        <f ca="1">AVERAGE(OFFSET($BH$3,0,0,'Données projet'!$E$11+1,1))-AVERAGE(OFFSET($H$3,0,0,'Données projet'!$E$11+1,1))</f>
        <v>376.33792692771908</v>
      </c>
      <c r="BJ70" s="59">
        <f t="shared" si="92"/>
        <v>367.92889258044698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0.69493320906002287</v>
      </c>
      <c r="BQ70" s="21">
        <f>EXP(-LN(2)/25)*BQ69+(1-EXP(-LN(2)/25))/(LN(2)/25)*Calculateur!BL70*Calculateur!BN70*VLOOKUP('Données projet'!$B$11,Paramètres!$A$1:$I$89,3,0)*0.475*44/12</f>
        <v>3.0008103756575824</v>
      </c>
      <c r="BR70" s="21">
        <f>EXP(-LN(2)/2)*BR69+(1-EXP(-LN(2)/2))/(LN(2)/2)*BL70*BO70*VLOOKUP('Données projet'!$B$11,Paramètres!$A$1:$I$89,3,0)*0.475*44/12</f>
        <v>3.5258177684536396E-5</v>
      </c>
      <c r="BS70" s="22">
        <f t="shared" si="63"/>
        <v>3.6957788428952898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218.96160000000017</v>
      </c>
      <c r="CA70" s="13">
        <f t="shared" si="93"/>
        <v>53.889132503707479</v>
      </c>
      <c r="CB70" s="20">
        <f t="shared" si="64"/>
        <v>475.2150257772908</v>
      </c>
      <c r="CC70" s="59">
        <f t="shared" si="65"/>
        <v>768.54835911062412</v>
      </c>
      <c r="CD70" s="59">
        <f ca="1">AVERAGE(OFFSET($CC$3,0,0,'Données projet'!$E$12+1,1))-AVERAGE(OFFSET($H$3,0,0,'Données projet'!$E$12+1,1))</f>
        <v>388.50131600273431</v>
      </c>
      <c r="CE70" s="59">
        <f t="shared" si="94"/>
        <v>247.01165577562955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1.1134440856136487</v>
      </c>
      <c r="CM70" s="21">
        <f>EXP(-LN(2)/2)*CM69+(1-EXP(-LN(2)/2))/(LN(2)/2)*CG70*CJ70*VLOOKUP('Données projet'!$B$12,Paramètres!$A$1:$I$89,3,0)*0.475*44/12</f>
        <v>1.6695136409716603E-5</v>
      </c>
      <c r="CN70" s="22">
        <f t="shared" si="66"/>
        <v>1.1134607807500585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</v>
      </c>
      <c r="CT70" s="12">
        <f>IF('Données projet'!$A$140&gt;35,CT69+CS70-DB69,IF(A70&lt;'Données projet'!$A$140,$CQ$205^A70,IF(A70='Données projet'!$A$140,'Données projet'!$B$140,CT69+CS70-DB69)))</f>
        <v>242.00000000000017</v>
      </c>
      <c r="CU70" s="17">
        <f>CT70*VLOOKUP('Données projet'!$B$13,Paramètres!$A$1:$I$89,3,0)*VLOOKUP('Données projet'!$B$13,Paramètres!$A$1:$I$89,5,0)</f>
        <v>260.4888000000002</v>
      </c>
      <c r="CV70" s="13">
        <f t="shared" si="95"/>
        <v>62.826558970958821</v>
      </c>
      <c r="CW70" s="20">
        <f t="shared" si="67"/>
        <v>563.10758354108691</v>
      </c>
      <c r="CX70" s="59">
        <f t="shared" si="68"/>
        <v>856.44091687442028</v>
      </c>
      <c r="CY70" s="59">
        <f ca="1">AVERAGE(OFFSET($CX$3,0,0,'Données projet'!$E$13+1,1))-AVERAGE(OFFSET($H$3,0,0,'Données projet'!$E$13+1,1))</f>
        <v>454.43000549907373</v>
      </c>
      <c r="CZ70" s="59">
        <f t="shared" si="96"/>
        <v>285.83623046025156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1.3246145156438234</v>
      </c>
      <c r="DH70" s="21">
        <f>EXP(-LN(2)/2)*DH69+(1-EXP(-LN(2)/2))/(LN(2)/2)*DB70*DE70*VLOOKUP('Données projet'!$B$13,Paramètres!$A$1:$I$89,3,0)*0.475*44/12</f>
        <v>1.9861455383973235E-5</v>
      </c>
      <c r="DI70" s="22">
        <f t="shared" si="69"/>
        <v>1.3246343770992073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9.1</v>
      </c>
      <c r="DO70" s="12">
        <f>IF('Données projet'!$A$166&gt;35,DO69+DN70-DW69,IF(A70&lt;'Données projet'!$A$166,$DL$205^A70,IF(A70='Données projet'!$A$166,'Données projet'!$B$166,DO69+DN70-DW69)))</f>
        <v>336.7000000000001</v>
      </c>
      <c r="DP70" s="17">
        <f>DO70*VLOOKUP('Données projet'!$B$14,Paramètres!$A$1:$I$89,3,0)*VLOOKUP('Données projet'!$B$14,Paramètres!$A$1:$I$89,5,0)</f>
        <v>262.62600000000009</v>
      </c>
      <c r="DQ70" s="13">
        <f t="shared" si="97"/>
        <v>63.281807230823453</v>
      </c>
      <c r="DR70" s="20">
        <f t="shared" si="70"/>
        <v>567.622764260351</v>
      </c>
      <c r="DS70" s="59">
        <f t="shared" si="71"/>
        <v>860.95609759368426</v>
      </c>
      <c r="DT70" s="59">
        <f ca="1">AVERAGE(OFFSET($DS$3,0,0,'Données projet'!$E$14+1,1))-AVERAGE(OFFSET($H$3,0,0,'Données projet'!$E$14+1,1))</f>
        <v>376.33792692771908</v>
      </c>
      <c r="DU70" s="59">
        <f t="shared" si="98"/>
        <v>367.92889258044698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0.69493320906002287</v>
      </c>
      <c r="EB70" s="21">
        <f>EXP(-LN(2)/25)*EB69+(1-EXP(-LN(2)/25))/(LN(2)/25)*Calculateur!DW70*Calculateur!DY70*VLOOKUP('Données projet'!$B$14,Paramètres!$A$1:$I$89,3,0)*0.475*44/12</f>
        <v>3.0008103756575824</v>
      </c>
      <c r="EC70" s="21">
        <f>EXP(-LN(2)/2)*EC69+(1-EXP(-LN(2)/2))/(LN(2)/2)*DW70*DZ70*VLOOKUP('Données projet'!$B$14,Paramètres!$A$1:$I$89,3,0)*0.475*44/12</f>
        <v>3.5258177684536396E-5</v>
      </c>
      <c r="ED70" s="22">
        <f t="shared" si="72"/>
        <v>3.6957788428952898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283.20240000000001</v>
      </c>
      <c r="P71" s="13">
        <f t="shared" si="87"/>
        <v>67.643319485855841</v>
      </c>
      <c r="Q71" s="20">
        <f t="shared" si="54"/>
        <v>611.05629477119896</v>
      </c>
      <c r="R71" s="59">
        <f t="shared" si="55"/>
        <v>904.38962810453222</v>
      </c>
      <c r="S71" s="59">
        <f ca="1">AVERAGE(OFFSET($R$3,0,0,'Données projet'!$E$9+1,1))-AVERAGE(OFFSET($H$3,0,0,'Données projet'!$E$9+1,1))</f>
        <v>469.68830256438338</v>
      </c>
      <c r="T71" s="59">
        <f t="shared" si="88"/>
        <v>332.61387922152159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1.1348112124524736</v>
      </c>
      <c r="AA71" s="21">
        <f>EXP(-LN(2)/25)*AA70+(1-EXP(-LN(2)/25))/(LN(2)/25)*Calculateur!V71*Calculateur!X71*VLOOKUP('Données projet'!$B$9,Paramètres!$A$1:$I$89,3,0)*0.475*44/12</f>
        <v>3.9341598756731964</v>
      </c>
      <c r="AB71" s="21">
        <f>EXP(-LN(2)/2)*AB70+(1-EXP(-LN(2)/2))/(LN(2)/2)*V71*Y71*VLOOKUP('Données projet'!$B$9,Paramètres!$A$1:$I$89,3,0)*0.475*44/12</f>
        <v>4.1109727428639679E-5</v>
      </c>
      <c r="AC71" s="22">
        <f t="shared" si="57"/>
        <v>5.0690121978530982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336.91319999999996</v>
      </c>
      <c r="AK71" s="13">
        <f t="shared" si="89"/>
        <v>78.861855873763687</v>
      </c>
      <c r="AL71" s="20">
        <f t="shared" si="58"/>
        <v>724.14155564680505</v>
      </c>
      <c r="AM71" s="59">
        <f t="shared" si="59"/>
        <v>1017.4748889801383</v>
      </c>
      <c r="AN71" s="59">
        <f ca="1">AVERAGE(OFFSET($AM$3,0,0,'Données projet'!$E$10+1,1))-AVERAGE(OFFSET($H$3,0,0,'Données projet'!$E$10+1,1))</f>
        <v>550.66682372933292</v>
      </c>
      <c r="AO71" s="59">
        <f t="shared" si="90"/>
        <v>387.28615589698444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1.350034028607253</v>
      </c>
      <c r="AV71" s="21">
        <f>EXP(-LN(2)/25)*AV70+(1-EXP(-LN(2)/25))/(LN(2)/25)*Calculateur!AQ71*Calculateur!AS71*VLOOKUP('Données projet'!$B$10,Paramètres!$A$1:$I$89,3,0)*0.475*44/12</f>
        <v>4.6802936451974277</v>
      </c>
      <c r="AW71" s="21">
        <f>EXP(-LN(2)/2)*AW70+(1-EXP(-LN(2)/2))/(LN(2)/2)*AQ71*AT71*VLOOKUP('Données projet'!$B$10,Paramètres!$A$1:$I$89,3,0)*0.475*44/12</f>
        <v>4.8906399872002252E-5</v>
      </c>
      <c r="AX71" s="21">
        <f t="shared" si="60"/>
        <v>6.0303765802045532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9.1</v>
      </c>
      <c r="BD71" s="12">
        <f>IF('Données projet'!$A$88&gt;35,BD70+BC71-BL70,IF(A71&lt;'Données projet'!$A$88,$BA$205^A71,IF(A71='Données projet'!$A$88,'Données projet'!$B$88,BD70+BC71-BL70)))</f>
        <v>345.80000000000013</v>
      </c>
      <c r="BE71" s="13">
        <f>BD71*VLOOKUP('Données projet'!$B$11,Paramètres!$A$1:$I$89,3,0)*VLOOKUP('Données projet'!$B$11,Paramètres!$A$1:$I$89,5,0)</f>
        <v>269.7240000000001</v>
      </c>
      <c r="BF71" s="13">
        <f t="shared" si="91"/>
        <v>64.790691635967463</v>
      </c>
      <c r="BG71" s="20">
        <f t="shared" si="61"/>
        <v>582.61308793264345</v>
      </c>
      <c r="BH71" s="59">
        <f t="shared" si="62"/>
        <v>875.94642126597682</v>
      </c>
      <c r="BI71" s="59">
        <f ca="1">AVERAGE(OFFSET($BH$3,0,0,'Données projet'!$E$11+1,1))-AVERAGE(OFFSET($H$3,0,0,'Données projet'!$E$11+1,1))</f>
        <v>376.33792692771908</v>
      </c>
      <c r="BJ71" s="59">
        <f t="shared" si="92"/>
        <v>367.92889258044698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0.68130599269775993</v>
      </c>
      <c r="BQ71" s="21">
        <f>EXP(-LN(2)/25)*BQ70+(1-EXP(-LN(2)/25))/(LN(2)/25)*Calculateur!BL71*Calculateur!BN71*VLOOKUP('Données projet'!$B$11,Paramètres!$A$1:$I$89,3,0)*0.475*44/12</f>
        <v>2.9187530581294667</v>
      </c>
      <c r="BR71" s="21">
        <f>EXP(-LN(2)/2)*BR70+(1-EXP(-LN(2)/2))/(LN(2)/2)*BL71*BO71*VLOOKUP('Données projet'!$B$11,Paramètres!$A$1:$I$89,3,0)*0.475*44/12</f>
        <v>2.4931296533015891E-5</v>
      </c>
      <c r="BS71" s="22">
        <f t="shared" si="63"/>
        <v>3.6000839821237598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225.29520000000016</v>
      </c>
      <c r="CA71" s="13">
        <f t="shared" si="93"/>
        <v>55.264173352293128</v>
      </c>
      <c r="CB71" s="20">
        <f t="shared" si="64"/>
        <v>488.64090858857736</v>
      </c>
      <c r="CC71" s="59">
        <f t="shared" si="65"/>
        <v>781.97424192191068</v>
      </c>
      <c r="CD71" s="59">
        <f ca="1">AVERAGE(OFFSET($CC$3,0,0,'Données projet'!$E$12+1,1))-AVERAGE(OFFSET($H$3,0,0,'Données projet'!$E$12+1,1))</f>
        <v>388.50131600273431</v>
      </c>
      <c r="CE71" s="59">
        <f t="shared" si="94"/>
        <v>247.01165577562955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1.0829968985390639</v>
      </c>
      <c r="CM71" s="21">
        <f>EXP(-LN(2)/2)*CM70+(1-EXP(-LN(2)/2))/(LN(2)/2)*CG71*CJ71*VLOOKUP('Données projet'!$B$12,Paramètres!$A$1:$I$89,3,0)*0.475*44/12</f>
        <v>1.1805244168145041E-5</v>
      </c>
      <c r="CN71" s="22">
        <f t="shared" si="66"/>
        <v>1.0830087037832321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</v>
      </c>
      <c r="CT71" s="12">
        <f>IF('Données projet'!$A$140&gt;35,CT70+CS71-DB70,IF(A71&lt;'Données projet'!$A$140,$CQ$205^A71,IF(A71='Données projet'!$A$140,'Données projet'!$B$140,CT70+CS71-DB70)))</f>
        <v>249.00000000000017</v>
      </c>
      <c r="CU71" s="17">
        <f>CT71*VLOOKUP('Données projet'!$B$13,Paramètres!$A$1:$I$89,3,0)*VLOOKUP('Données projet'!$B$13,Paramètres!$A$1:$I$89,5,0)</f>
        <v>268.02360000000022</v>
      </c>
      <c r="CV71" s="13">
        <f t="shared" si="95"/>
        <v>64.429648145853278</v>
      </c>
      <c r="CW71" s="20">
        <f t="shared" si="67"/>
        <v>579.02274052069481</v>
      </c>
      <c r="CX71" s="59">
        <f t="shared" si="68"/>
        <v>872.35607385402818</v>
      </c>
      <c r="CY71" s="59">
        <f ca="1">AVERAGE(OFFSET($CX$3,0,0,'Données projet'!$E$13+1,1))-AVERAGE(OFFSET($H$3,0,0,'Données projet'!$E$13+1,1))</f>
        <v>454.43000549907373</v>
      </c>
      <c r="CZ71" s="59">
        <f t="shared" si="96"/>
        <v>285.83623046025156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1.2883928620550931</v>
      </c>
      <c r="DH71" s="21">
        <f>EXP(-LN(2)/2)*DH70+(1-EXP(-LN(2)/2))/(LN(2)/2)*DB71*DE71*VLOOKUP('Données projet'!$B$13,Paramètres!$A$1:$I$89,3,0)*0.475*44/12</f>
        <v>1.4044169786241539E-5</v>
      </c>
      <c r="DI71" s="22">
        <f t="shared" si="69"/>
        <v>1.2884069062248793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9.1</v>
      </c>
      <c r="DO71" s="12">
        <f>IF('Données projet'!$A$166&gt;35,DO70+DN71-DW70,IF(A71&lt;'Données projet'!$A$166,$DL$205^A71,IF(A71='Données projet'!$A$166,'Données projet'!$B$166,DO70+DN71-DW70)))</f>
        <v>345.80000000000013</v>
      </c>
      <c r="DP71" s="17">
        <f>DO71*VLOOKUP('Données projet'!$B$14,Paramètres!$A$1:$I$89,3,0)*VLOOKUP('Données projet'!$B$14,Paramètres!$A$1:$I$89,5,0)</f>
        <v>269.7240000000001</v>
      </c>
      <c r="DQ71" s="13">
        <f t="shared" si="97"/>
        <v>64.790691635967463</v>
      </c>
      <c r="DR71" s="20">
        <f t="shared" si="70"/>
        <v>582.61308793264345</v>
      </c>
      <c r="DS71" s="59">
        <f t="shared" si="71"/>
        <v>875.94642126597682</v>
      </c>
      <c r="DT71" s="59">
        <f ca="1">AVERAGE(OFFSET($DS$3,0,0,'Données projet'!$E$14+1,1))-AVERAGE(OFFSET($H$3,0,0,'Données projet'!$E$14+1,1))</f>
        <v>376.33792692771908</v>
      </c>
      <c r="DU71" s="59">
        <f t="shared" si="98"/>
        <v>367.92889258044698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0.68130599269775993</v>
      </c>
      <c r="EB71" s="21">
        <f>EXP(-LN(2)/25)*EB70+(1-EXP(-LN(2)/25))/(LN(2)/25)*Calculateur!DW71*Calculateur!DY71*VLOOKUP('Données projet'!$B$14,Paramètres!$A$1:$I$89,3,0)*0.475*44/12</f>
        <v>2.9187530581294667</v>
      </c>
      <c r="EC71" s="21">
        <f>EXP(-LN(2)/2)*EC70+(1-EXP(-LN(2)/2))/(LN(2)/2)*DW71*DZ71*VLOOKUP('Données projet'!$B$14,Paramètres!$A$1:$I$89,3,0)*0.475*44/12</f>
        <v>2.4931296533015891E-5</v>
      </c>
      <c r="ED71" s="22">
        <f t="shared" si="72"/>
        <v>3.6000839821237598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290.89320000000004</v>
      </c>
      <c r="P72" s="13">
        <f t="shared" si="87"/>
        <v>69.263916768293996</v>
      </c>
      <c r="Q72" s="20">
        <f t="shared" si="54"/>
        <v>627.27364503811202</v>
      </c>
      <c r="R72" s="59">
        <f t="shared" si="55"/>
        <v>920.60697837144539</v>
      </c>
      <c r="S72" s="59">
        <f ca="1">AVERAGE(OFFSET($R$3,0,0,'Données projet'!$E$9+1,1))-AVERAGE(OFFSET($H$3,0,0,'Données projet'!$E$9+1,1))</f>
        <v>469.68830256438338</v>
      </c>
      <c r="T72" s="59">
        <f t="shared" si="88"/>
        <v>332.61387922152159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1.1125582567427745</v>
      </c>
      <c r="AA72" s="21">
        <f>EXP(-LN(2)/25)*AA71+(1-EXP(-LN(2)/25))/(LN(2)/25)*Calculateur!V72*Calculateur!X72*VLOOKUP('Données projet'!$B$9,Paramètres!$A$1:$I$89,3,0)*0.475*44/12</f>
        <v>3.8265800669844365</v>
      </c>
      <c r="AB72" s="21">
        <f>EXP(-LN(2)/2)*AB71+(1-EXP(-LN(2)/2))/(LN(2)/2)*V72*Y72*VLOOKUP('Données projet'!$B$9,Paramètres!$A$1:$I$89,3,0)*0.475*44/12</f>
        <v>2.9068967037521732E-5</v>
      </c>
      <c r="AC72" s="22">
        <f t="shared" si="57"/>
        <v>4.939167392694249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346.06259999999997</v>
      </c>
      <c r="AK72" s="13">
        <f t="shared" si="89"/>
        <v>80.751226624466867</v>
      </c>
      <c r="AL72" s="20">
        <f t="shared" si="58"/>
        <v>743.36741470427978</v>
      </c>
      <c r="AM72" s="59">
        <f t="shared" si="59"/>
        <v>1036.700748037613</v>
      </c>
      <c r="AN72" s="59">
        <f ca="1">AVERAGE(OFFSET($AM$3,0,0,'Données projet'!$E$10+1,1))-AVERAGE(OFFSET($H$3,0,0,'Données projet'!$E$10+1,1))</f>
        <v>550.66682372933292</v>
      </c>
      <c r="AO72" s="59">
        <f t="shared" si="90"/>
        <v>387.28615589698444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1.3235606847457142</v>
      </c>
      <c r="AV72" s="21">
        <f>EXP(-LN(2)/25)*AV71+(1-EXP(-LN(2)/25))/(LN(2)/25)*Calculateur!AQ72*Calculateur!AS72*VLOOKUP('Données projet'!$B$10,Paramètres!$A$1:$I$89,3,0)*0.475*44/12</f>
        <v>4.5523107693435581</v>
      </c>
      <c r="AW72" s="21">
        <f>EXP(-LN(2)/2)*AW71+(1-EXP(-LN(2)/2))/(LN(2)/2)*AQ72*AT72*VLOOKUP('Données projet'!$B$10,Paramètres!$A$1:$I$89,3,0)*0.475*44/12</f>
        <v>3.4582046992913692E-5</v>
      </c>
      <c r="AX72" s="21">
        <f t="shared" si="60"/>
        <v>5.8759060361362652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9.1</v>
      </c>
      <c r="BD72" s="12">
        <f>IF('Données projet'!$A$88&gt;35,BD71+BC72-BL71,IF(A72&lt;'Données projet'!$A$88,$BA$205^A72,IF(A72='Données projet'!$A$88,'Données projet'!$B$88,BD71+BC72-BL71)))</f>
        <v>354.90000000000015</v>
      </c>
      <c r="BE72" s="13">
        <f>BD72*VLOOKUP('Données projet'!$B$11,Paramètres!$A$1:$I$89,3,0)*VLOOKUP('Données projet'!$B$11,Paramètres!$A$1:$I$89,5,0)</f>
        <v>276.82200000000012</v>
      </c>
      <c r="BF72" s="13">
        <f t="shared" si="91"/>
        <v>66.294960598643797</v>
      </c>
      <c r="BG72" s="20">
        <f t="shared" si="61"/>
        <v>597.59537304263813</v>
      </c>
      <c r="BH72" s="59">
        <f t="shared" si="62"/>
        <v>890.92870637597139</v>
      </c>
      <c r="BI72" s="59">
        <f ca="1">AVERAGE(OFFSET($BH$3,0,0,'Données projet'!$E$11+1,1))-AVERAGE(OFFSET($H$3,0,0,'Données projet'!$E$11+1,1))</f>
        <v>376.33792692771908</v>
      </c>
      <c r="BJ72" s="59">
        <f t="shared" si="92"/>
        <v>367.92889258044698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0.6679459977365797</v>
      </c>
      <c r="BQ72" s="21">
        <f>EXP(-LN(2)/25)*BQ71+(1-EXP(-LN(2)/25))/(LN(2)/25)*Calculateur!BL72*Calculateur!BN72*VLOOKUP('Données projet'!$B$11,Paramètres!$A$1:$I$89,3,0)*0.475*44/12</f>
        <v>2.838939602264364</v>
      </c>
      <c r="BR72" s="21">
        <f>EXP(-LN(2)/2)*BR71+(1-EXP(-LN(2)/2))/(LN(2)/2)*BL72*BO72*VLOOKUP('Données projet'!$B$11,Paramètres!$A$1:$I$89,3,0)*0.475*44/12</f>
        <v>1.7629088842268198E-5</v>
      </c>
      <c r="BS72" s="22">
        <f t="shared" si="63"/>
        <v>3.5069032290897857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231.62880000000013</v>
      </c>
      <c r="CA72" s="13">
        <f t="shared" si="93"/>
        <v>56.63472139815827</v>
      </c>
      <c r="CB72" s="20">
        <f t="shared" si="64"/>
        <v>502.0589664351258</v>
      </c>
      <c r="CC72" s="59">
        <f t="shared" si="65"/>
        <v>795.39229976845911</v>
      </c>
      <c r="CD72" s="59">
        <f ca="1">AVERAGE(OFFSET($CC$3,0,0,'Données projet'!$E$12+1,1))-AVERAGE(OFFSET($H$3,0,0,'Données projet'!$E$12+1,1))</f>
        <v>388.50131600273431</v>
      </c>
      <c r="CE72" s="59">
        <f t="shared" si="94"/>
        <v>247.01165577562955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1.0533822913961814</v>
      </c>
      <c r="CM72" s="21">
        <f>EXP(-LN(2)/2)*CM71+(1-EXP(-LN(2)/2))/(LN(2)/2)*CG72*CJ72*VLOOKUP('Données projet'!$B$12,Paramètres!$A$1:$I$89,3,0)*0.475*44/12</f>
        <v>8.3475682048583016E-6</v>
      </c>
      <c r="CN72" s="22">
        <f t="shared" si="66"/>
        <v>1.0533906389643863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</v>
      </c>
      <c r="CT72" s="12">
        <f>IF('Données projet'!$A$140&gt;35,CT71+CS72-DB71,IF(A72&lt;'Données projet'!$A$140,$CQ$205^A72,IF(A72='Données projet'!$A$140,'Données projet'!$B$140,CT71+CS72-DB71)))</f>
        <v>256.00000000000017</v>
      </c>
      <c r="CU72" s="17">
        <f>CT72*VLOOKUP('Données projet'!$B$13,Paramètres!$A$1:$I$89,3,0)*VLOOKUP('Données projet'!$B$13,Paramètres!$A$1:$I$89,5,0)</f>
        <v>275.55840000000018</v>
      </c>
      <c r="CV72" s="13">
        <f t="shared" si="95"/>
        <v>66.027499393879125</v>
      </c>
      <c r="CW72" s="20">
        <f t="shared" si="67"/>
        <v>594.92877477767308</v>
      </c>
      <c r="CX72" s="59">
        <f t="shared" si="68"/>
        <v>888.26210811100646</v>
      </c>
      <c r="CY72" s="59">
        <f ca="1">AVERAGE(OFFSET($CX$3,0,0,'Données projet'!$E$13+1,1))-AVERAGE(OFFSET($H$3,0,0,'Données projet'!$E$13+1,1))</f>
        <v>454.43000549907373</v>
      </c>
      <c r="CZ72" s="59">
        <f t="shared" si="96"/>
        <v>285.83623046025156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1.2531616914885606</v>
      </c>
      <c r="DH72" s="21">
        <f>EXP(-LN(2)/2)*DH71+(1-EXP(-LN(2)/2))/(LN(2)/2)*DB72*DE72*VLOOKUP('Données projet'!$B$13,Paramètres!$A$1:$I$89,3,0)*0.475*44/12</f>
        <v>9.9307276919866174E-6</v>
      </c>
      <c r="DI72" s="22">
        <f t="shared" si="69"/>
        <v>1.2531716222162526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9.1</v>
      </c>
      <c r="DO72" s="12">
        <f>IF('Données projet'!$A$166&gt;35,DO71+DN72-DW71,IF(A72&lt;'Données projet'!$A$166,$DL$205^A72,IF(A72='Données projet'!$A$166,'Données projet'!$B$166,DO71+DN72-DW71)))</f>
        <v>354.90000000000015</v>
      </c>
      <c r="DP72" s="17">
        <f>DO72*VLOOKUP('Données projet'!$B$14,Paramètres!$A$1:$I$89,3,0)*VLOOKUP('Données projet'!$B$14,Paramètres!$A$1:$I$89,5,0)</f>
        <v>276.82200000000012</v>
      </c>
      <c r="DQ72" s="13">
        <f t="shared" si="97"/>
        <v>66.294960598643797</v>
      </c>
      <c r="DR72" s="20">
        <f t="shared" si="70"/>
        <v>597.59537304263813</v>
      </c>
      <c r="DS72" s="59">
        <f t="shared" si="71"/>
        <v>890.92870637597139</v>
      </c>
      <c r="DT72" s="59">
        <f ca="1">AVERAGE(OFFSET($DS$3,0,0,'Données projet'!$E$14+1,1))-AVERAGE(OFFSET($H$3,0,0,'Données projet'!$E$14+1,1))</f>
        <v>376.33792692771908</v>
      </c>
      <c r="DU72" s="59">
        <f t="shared" si="98"/>
        <v>367.92889258044698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0.6679459977365797</v>
      </c>
      <c r="EB72" s="21">
        <f>EXP(-LN(2)/25)*EB71+(1-EXP(-LN(2)/25))/(LN(2)/25)*Calculateur!DW72*Calculateur!DY72*VLOOKUP('Données projet'!$B$14,Paramètres!$A$1:$I$89,3,0)*0.475*44/12</f>
        <v>2.838939602264364</v>
      </c>
      <c r="EC72" s="21">
        <f>EXP(-LN(2)/2)*EC71+(1-EXP(-LN(2)/2))/(LN(2)/2)*DW72*DZ72*VLOOKUP('Données projet'!$B$14,Paramètres!$A$1:$I$89,3,0)*0.475*44/12</f>
        <v>1.7629088842268198E-5</v>
      </c>
      <c r="ED72" s="22">
        <f t="shared" si="72"/>
        <v>3.5069032290897857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298.58399999999995</v>
      </c>
      <c r="P73" s="13">
        <f t="shared" si="87"/>
        <v>70.879533797607607</v>
      </c>
      <c r="Q73" s="20">
        <f t="shared" si="54"/>
        <v>643.48232136416652</v>
      </c>
      <c r="R73" s="59">
        <f t="shared" si="55"/>
        <v>936.81565469749989</v>
      </c>
      <c r="S73" s="59">
        <f ca="1">AVERAGE(OFFSET($R$3,0,0,'Données projet'!$E$9+1,1))-AVERAGE(OFFSET($H$3,0,0,'Données projet'!$E$9+1,1))</f>
        <v>469.68830256438338</v>
      </c>
      <c r="T73" s="59">
        <f t="shared" si="88"/>
        <v>332.61387922152159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1.0907416679215798</v>
      </c>
      <c r="AA73" s="21">
        <f>EXP(-LN(2)/25)*AA72+(1-EXP(-LN(2)/25))/(LN(2)/25)*Calculateur!V73*Calculateur!X73*VLOOKUP('Données projet'!$B$9,Paramètres!$A$1:$I$89,3,0)*0.475*44/12</f>
        <v>3.7219420338216471</v>
      </c>
      <c r="AB73" s="21">
        <f>EXP(-LN(2)/2)*AB72+(1-EXP(-LN(2)/2))/(LN(2)/2)*V73*Y73*VLOOKUP('Données projet'!$B$9,Paramètres!$A$1:$I$89,3,0)*0.475*44/12</f>
        <v>2.0554863714319843E-5</v>
      </c>
      <c r="AC73" s="22">
        <f t="shared" si="57"/>
        <v>4.8127042566069411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355.21199999999999</v>
      </c>
      <c r="AK73" s="13">
        <f t="shared" si="89"/>
        <v>82.634791155027401</v>
      </c>
      <c r="AL73" s="20">
        <f t="shared" si="58"/>
        <v>762.58316126167267</v>
      </c>
      <c r="AM73" s="59">
        <f t="shared" si="59"/>
        <v>1055.916494595006</v>
      </c>
      <c r="AN73" s="59">
        <f ca="1">AVERAGE(OFFSET($AM$3,0,0,'Données projet'!$E$10+1,1))-AVERAGE(OFFSET($H$3,0,0,'Données projet'!$E$10+1,1))</f>
        <v>550.66682372933292</v>
      </c>
      <c r="AO73" s="59">
        <f t="shared" si="90"/>
        <v>387.28615589698444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1.297606467010155</v>
      </c>
      <c r="AV73" s="21">
        <f>EXP(-LN(2)/25)*AV72+(1-EXP(-LN(2)/25))/(LN(2)/25)*Calculateur!AQ73*Calculateur!AS73*VLOOKUP('Données projet'!$B$10,Paramètres!$A$1:$I$89,3,0)*0.475*44/12</f>
        <v>4.4278275919602397</v>
      </c>
      <c r="AW73" s="21">
        <f>EXP(-LN(2)/2)*AW72+(1-EXP(-LN(2)/2))/(LN(2)/2)*AQ73*AT73*VLOOKUP('Données projet'!$B$10,Paramètres!$A$1:$I$89,3,0)*0.475*44/12</f>
        <v>2.4453199936001126E-5</v>
      </c>
      <c r="AX73" s="21">
        <f t="shared" si="60"/>
        <v>5.7254585121703307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364</v>
      </c>
      <c r="BB73" s="12">
        <f>VLOOKUP(A73,'Données projet'!$A$87:$I$107,9,0)</f>
        <v>9.1</v>
      </c>
      <c r="BC73" s="12">
        <f t="array" ref="BC73">INDEX(BB:BB,MIN(IF(ISNUMBER(BB73:BB269),ROW(BB73:BB269),"")))</f>
        <v>9.1</v>
      </c>
      <c r="BD73" s="12">
        <f>IF('Données projet'!$A$88&gt;35,BD72+BC73-BL72,IF(A73&lt;'Données projet'!$A$88,$BA$205^A73,IF(A73='Données projet'!$A$88,'Données projet'!$B$88,BD72+BC73-BL72)))</f>
        <v>364.00000000000017</v>
      </c>
      <c r="BE73" s="13">
        <f>BD73*VLOOKUP('Données projet'!$B$11,Paramètres!$A$1:$I$89,3,0)*VLOOKUP('Données projet'!$B$11,Paramètres!$A$1:$I$89,5,0)</f>
        <v>283.92000000000013</v>
      </c>
      <c r="BF73" s="13">
        <f t="shared" si="91"/>
        <v>67.794746071143635</v>
      </c>
      <c r="BG73" s="20">
        <f t="shared" si="61"/>
        <v>612.56984940724203</v>
      </c>
      <c r="BH73" s="59">
        <f t="shared" si="62"/>
        <v>905.9031827405754</v>
      </c>
      <c r="BI73" s="59">
        <f ca="1">AVERAGE(OFFSET($BH$3,0,0,'Données projet'!$E$11+1,1))-AVERAGE(OFFSET($H$3,0,0,'Données projet'!$E$11+1,1))</f>
        <v>376.33792692771908</v>
      </c>
      <c r="BJ73" s="59">
        <f t="shared" si="92"/>
        <v>367.92889258044698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69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0.65484798412779588</v>
      </c>
      <c r="BQ73" s="21">
        <f>EXP(-LN(2)/25)*BQ72+(1-EXP(-LN(2)/25))/(LN(2)/25)*Calculateur!BL73*Calculateur!BN73*VLOOKUP('Données projet'!$B$11,Paramètres!$A$1:$I$89,3,0)*0.475*44/12</f>
        <v>2.7613086495470998</v>
      </c>
      <c r="BR73" s="21">
        <f>EXP(-LN(2)/2)*BR72+(1-EXP(-LN(2)/2))/(LN(2)/2)*BL73*BO73*VLOOKUP('Données projet'!$B$11,Paramètres!$A$1:$I$89,3,0)*0.475*44/12</f>
        <v>1.2465648266507945E-5</v>
      </c>
      <c r="BS73" s="22">
        <f t="shared" si="63"/>
        <v>3.4161690993231622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237.96240000000012</v>
      </c>
      <c r="CA73" s="13">
        <f t="shared" si="93"/>
        <v>58.000913607663399</v>
      </c>
      <c r="CB73" s="20">
        <f t="shared" si="64"/>
        <v>515.46943786668055</v>
      </c>
      <c r="CC73" s="59">
        <f t="shared" si="65"/>
        <v>808.80277120001392</v>
      </c>
      <c r="CD73" s="59">
        <f ca="1">AVERAGE(OFFSET($CC$3,0,0,'Données projet'!$E$12+1,1))-AVERAGE(OFFSET($H$3,0,0,'Données projet'!$E$12+1,1))</f>
        <v>388.50131600273431</v>
      </c>
      <c r="CE73" s="59">
        <f t="shared" si="94"/>
        <v>247.01165577562955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1.0245774972429857</v>
      </c>
      <c r="CM73" s="21">
        <f>EXP(-LN(2)/2)*CM72+(1-EXP(-LN(2)/2))/(LN(2)/2)*CG73*CJ73*VLOOKUP('Données projet'!$B$12,Paramètres!$A$1:$I$89,3,0)*0.475*44/12</f>
        <v>5.9026220840725205E-6</v>
      </c>
      <c r="CN73" s="22">
        <f t="shared" si="66"/>
        <v>1.0245833998650697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7</v>
      </c>
      <c r="CS73" s="12">
        <f t="array" ref="CS73">INDEX(CR:CR,MIN(IF(ISNUMBER(CR73:CR269),ROW(CR73:CR269),"")))</f>
        <v>7</v>
      </c>
      <c r="CT73" s="12">
        <f>IF('Données projet'!$A$140&gt;35,CT72+CS73-DB72,IF(A73&lt;'Données projet'!$A$140,$CQ$205^A73,IF(A73='Données projet'!$A$140,'Données projet'!$B$140,CT72+CS73-DB72)))</f>
        <v>263.00000000000017</v>
      </c>
      <c r="CU73" s="17">
        <f>CT73*VLOOKUP('Données projet'!$B$13,Paramètres!$A$1:$I$89,3,0)*VLOOKUP('Données projet'!$B$13,Paramètres!$A$1:$I$89,5,0)</f>
        <v>283.09320000000019</v>
      </c>
      <c r="CV73" s="13">
        <f t="shared" si="95"/>
        <v>67.620272397048737</v>
      </c>
      <c r="CW73" s="20">
        <f t="shared" si="67"/>
        <v>610.82596442486022</v>
      </c>
      <c r="CX73" s="59">
        <f t="shared" si="68"/>
        <v>904.15929775819359</v>
      </c>
      <c r="CY73" s="59">
        <f ca="1">AVERAGE(OFFSET($CX$3,0,0,'Données projet'!$E$13+1,1))-AVERAGE(OFFSET($H$3,0,0,'Données projet'!$E$13+1,1))</f>
        <v>454.43000549907373</v>
      </c>
      <c r="CZ73" s="59">
        <f t="shared" si="96"/>
        <v>285.83623046025156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42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1.2188939191338968</v>
      </c>
      <c r="DH73" s="21">
        <f>EXP(-LN(2)/2)*DH72+(1-EXP(-LN(2)/2))/(LN(2)/2)*DB73*DE73*VLOOKUP('Données projet'!$B$13,Paramètres!$A$1:$I$89,3,0)*0.475*44/12</f>
        <v>7.0220848931207693E-6</v>
      </c>
      <c r="DI73" s="22">
        <f t="shared" si="69"/>
        <v>1.2189009412187899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364</v>
      </c>
      <c r="DM73" s="12">
        <f>VLOOKUP(A73,'Données projet'!$A$165:$I$185,9,0)</f>
        <v>9.1</v>
      </c>
      <c r="DN73" s="12">
        <f t="array" ref="DN73">INDEX(DM:DM,MIN(IF(ISNUMBER(DM73:DM269),ROW(DM73:DM269),"")))</f>
        <v>9.1</v>
      </c>
      <c r="DO73" s="12">
        <f>IF('Données projet'!$A$166&gt;35,DO72+DN73-DW72,IF(A73&lt;'Données projet'!$A$166,$DL$205^A73,IF(A73='Données projet'!$A$166,'Données projet'!$B$166,DO72+DN73-DW72)))</f>
        <v>364.00000000000017</v>
      </c>
      <c r="DP73" s="17">
        <f>DO73*VLOOKUP('Données projet'!$B$14,Paramètres!$A$1:$I$89,3,0)*VLOOKUP('Données projet'!$B$14,Paramètres!$A$1:$I$89,5,0)</f>
        <v>283.92000000000013</v>
      </c>
      <c r="DQ73" s="13">
        <f t="shared" si="97"/>
        <v>67.794746071143635</v>
      </c>
      <c r="DR73" s="20">
        <f t="shared" si="70"/>
        <v>612.56984940724203</v>
      </c>
      <c r="DS73" s="59">
        <f t="shared" si="71"/>
        <v>905.9031827405754</v>
      </c>
      <c r="DT73" s="59">
        <f ca="1">AVERAGE(OFFSET($DS$3,0,0,'Données projet'!$E$14+1,1))-AVERAGE(OFFSET($H$3,0,0,'Données projet'!$E$14+1,1))</f>
        <v>376.33792692771908</v>
      </c>
      <c r="DU73" s="59">
        <f t="shared" si="98"/>
        <v>367.92889258044698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69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0.65484798412779588</v>
      </c>
      <c r="EB73" s="21">
        <f>EXP(-LN(2)/25)*EB72+(1-EXP(-LN(2)/25))/(LN(2)/25)*Calculateur!DW73*Calculateur!DY73*VLOOKUP('Données projet'!$B$14,Paramètres!$A$1:$I$89,3,0)*0.475*44/12</f>
        <v>2.7613086495470998</v>
      </c>
      <c r="EC73" s="21">
        <f>EXP(-LN(2)/2)*EC72+(1-EXP(-LN(2)/2))/(LN(2)/2)*DW73*DZ73*VLOOKUP('Données projet'!$B$14,Paramètres!$A$1:$I$89,3,0)*0.475*44/12</f>
        <v>1.2465648266507945E-5</v>
      </c>
      <c r="ED73" s="22">
        <f t="shared" si="72"/>
        <v>3.4161690993231622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254.61071999999999</v>
      </c>
      <c r="P74" s="13">
        <f t="shared" si="87"/>
        <v>61.572204587965679</v>
      </c>
      <c r="Q74" s="20">
        <f t="shared" si="54"/>
        <v>550.68526032404009</v>
      </c>
      <c r="R74" s="59">
        <f t="shared" si="55"/>
        <v>844.01859365737346</v>
      </c>
      <c r="S74" s="59">
        <f ca="1">AVERAGE(OFFSET($R$3,0,0,'Données projet'!$E$9+1,1))-AVERAGE(OFFSET($H$3,0,0,'Données projet'!$E$9+1,1))</f>
        <v>469.68830256438338</v>
      </c>
      <c r="T74" s="59">
        <f t="shared" si="88"/>
        <v>332.61387922152159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1.0693528891003634</v>
      </c>
      <c r="AA74" s="21">
        <f>EXP(-LN(2)/25)*AA73+(1-EXP(-LN(2)/25))/(LN(2)/25)*Calculateur!V74*Calculateur!X74*VLOOKUP('Données projet'!$B$9,Paramètres!$A$1:$I$89,3,0)*0.475*44/12</f>
        <v>3.6201653331783694</v>
      </c>
      <c r="AB74" s="21">
        <f>EXP(-LN(2)/2)*AB73+(1-EXP(-LN(2)/2))/(LN(2)/2)*V74*Y74*VLOOKUP('Données projet'!$B$9,Paramètres!$A$1:$I$89,3,0)*0.475*44/12</f>
        <v>1.4534483518760868E-5</v>
      </c>
      <c r="AC74" s="22">
        <f t="shared" si="57"/>
        <v>4.6895327567622518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302.89895999999999</v>
      </c>
      <c r="AK74" s="13">
        <f t="shared" si="89"/>
        <v>71.783856276618167</v>
      </c>
      <c r="AL74" s="20">
        <f t="shared" si="58"/>
        <v>652.57257168177659</v>
      </c>
      <c r="AM74" s="59">
        <f t="shared" si="59"/>
        <v>945.90590501510997</v>
      </c>
      <c r="AN74" s="59">
        <f ca="1">AVERAGE(OFFSET($AM$3,0,0,'Données projet'!$E$10+1,1))-AVERAGE(OFFSET($H$3,0,0,'Données projet'!$E$10+1,1))</f>
        <v>550.66682372933292</v>
      </c>
      <c r="AO74" s="59">
        <f t="shared" si="90"/>
        <v>387.28615589698444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1.2721611956538803</v>
      </c>
      <c r="AV74" s="21">
        <f>EXP(-LN(2)/25)*AV73+(1-EXP(-LN(2)/25))/(LN(2)/25)*Calculateur!AQ74*Calculateur!AS74*VLOOKUP('Données projet'!$B$10,Paramètres!$A$1:$I$89,3,0)*0.475*44/12</f>
        <v>4.3067484136087542</v>
      </c>
      <c r="AW74" s="21">
        <f>EXP(-LN(2)/2)*AW73+(1-EXP(-LN(2)/2))/(LN(2)/2)*AQ74*AT74*VLOOKUP('Données projet'!$B$10,Paramètres!$A$1:$I$89,3,0)*0.475*44/12</f>
        <v>1.7291023496456846E-5</v>
      </c>
      <c r="AX74" s="21">
        <f t="shared" si="60"/>
        <v>5.578926900286131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8.5</v>
      </c>
      <c r="BD74" s="12">
        <f>IF('Données projet'!$A$88&gt;35,BD73+BC74-BL73,IF(A74&lt;'Données projet'!$A$88,$BA$205^A74,IF(A74='Données projet'!$A$88,'Données projet'!$B$88,BD73+BC74-BL73)))</f>
        <v>303.50000000000017</v>
      </c>
      <c r="BE74" s="13">
        <f>BD74*VLOOKUP('Données projet'!$B$11,Paramètres!$A$1:$I$89,3,0)*VLOOKUP('Données projet'!$B$11,Paramètres!$A$1:$I$89,5,0)</f>
        <v>236.73000000000013</v>
      </c>
      <c r="BF74" s="13">
        <f t="shared" si="91"/>
        <v>57.735413300792672</v>
      </c>
      <c r="BG74" s="20">
        <f t="shared" si="61"/>
        <v>512.86059483221413</v>
      </c>
      <c r="BH74" s="59">
        <f t="shared" si="62"/>
        <v>806.1939281655475</v>
      </c>
      <c r="BI74" s="59">
        <f ca="1">AVERAGE(OFFSET($BH$3,0,0,'Données projet'!$E$11+1,1))-AVERAGE(OFFSET($H$3,0,0,'Données projet'!$E$11+1,1))</f>
        <v>376.33792692771908</v>
      </c>
      <c r="BJ74" s="59">
        <f t="shared" si="92"/>
        <v>367.92889258044698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0.64200681457688091</v>
      </c>
      <c r="BQ74" s="21">
        <f>EXP(-LN(2)/25)*BQ73+(1-EXP(-LN(2)/25))/(LN(2)/25)*Calculateur!BL74*Calculateur!BN74*VLOOKUP('Données projet'!$B$11,Paramètres!$A$1:$I$89,3,0)*0.475*44/12</f>
        <v>2.6858005193143235</v>
      </c>
      <c r="BR74" s="21">
        <f>EXP(-LN(2)/2)*BR73+(1-EXP(-LN(2)/2))/(LN(2)/2)*BL74*BO74*VLOOKUP('Données projet'!$B$11,Paramètres!$A$1:$I$89,3,0)*0.475*44/12</f>
        <v>8.814544421134099E-6</v>
      </c>
      <c r="BS74" s="22">
        <f t="shared" si="63"/>
        <v>3.3278161484356255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205.48008000000016</v>
      </c>
      <c r="CA74" s="13">
        <f t="shared" si="93"/>
        <v>50.94662215818515</v>
      </c>
      <c r="CB74" s="20">
        <f t="shared" si="64"/>
        <v>446.6098395921727</v>
      </c>
      <c r="CC74" s="59">
        <f t="shared" si="65"/>
        <v>739.94317292550602</v>
      </c>
      <c r="CD74" s="59">
        <f ca="1">AVERAGE(OFFSET($CC$3,0,0,'Données projet'!$E$12+1,1))-AVERAGE(OFFSET($H$3,0,0,'Données projet'!$E$12+1,1))</f>
        <v>388.50131600273431</v>
      </c>
      <c r="CE74" s="59">
        <f t="shared" si="94"/>
        <v>247.01165577562955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0.99656037170068745</v>
      </c>
      <c r="CM74" s="21">
        <f>EXP(-LN(2)/2)*CM73+(1-EXP(-LN(2)/2))/(LN(2)/2)*CG74*CJ74*VLOOKUP('Données projet'!$B$12,Paramètres!$A$1:$I$89,3,0)*0.475*44/12</f>
        <v>4.1737841024291508E-6</v>
      </c>
      <c r="CN74" s="22">
        <f t="shared" si="66"/>
        <v>0.9965645454847899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6.1</v>
      </c>
      <c r="CT74" s="12">
        <f>IF('Données projet'!$A$140&gt;35,CT73+CS74-DB73,IF(A74&lt;'Données projet'!$A$140,$CQ$205^A74,IF(A74='Données projet'!$A$140,'Données projet'!$B$140,CT73+CS74-DB73)))</f>
        <v>227.10000000000019</v>
      </c>
      <c r="CU74" s="17">
        <f>CT74*VLOOKUP('Données projet'!$B$13,Paramètres!$A$1:$I$89,3,0)*VLOOKUP('Données projet'!$B$13,Paramètres!$A$1:$I$89,5,0)</f>
        <v>244.45044000000021</v>
      </c>
      <c r="CV74" s="13">
        <f t="shared" si="95"/>
        <v>59.396037989146883</v>
      </c>
      <c r="CW74" s="20">
        <f t="shared" si="67"/>
        <v>529.19928249776444</v>
      </c>
      <c r="CX74" s="59">
        <f t="shared" si="68"/>
        <v>822.5326158310977</v>
      </c>
      <c r="CY74" s="59">
        <f ca="1">AVERAGE(OFFSET($CX$3,0,0,'Données projet'!$E$13+1,1))-AVERAGE(OFFSET($H$3,0,0,'Données projet'!$E$13+1,1))</f>
        <v>454.43000549907373</v>
      </c>
      <c r="CZ74" s="59">
        <f t="shared" si="96"/>
        <v>285.83623046025156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1.185563200816335</v>
      </c>
      <c r="DH74" s="21">
        <f>EXP(-LN(2)/2)*DH73+(1-EXP(-LN(2)/2))/(LN(2)/2)*DB74*DE74*VLOOKUP('Données projet'!$B$13,Paramètres!$A$1:$I$89,3,0)*0.475*44/12</f>
        <v>4.9653638459933087E-6</v>
      </c>
      <c r="DI74" s="22">
        <f t="shared" si="69"/>
        <v>1.1855681661801811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8.5</v>
      </c>
      <c r="DO74" s="12">
        <f>IF('Données projet'!$A$166&gt;35,DO73+DN74-DW73,IF(A74&lt;'Données projet'!$A$166,$DL$205^A74,IF(A74='Données projet'!$A$166,'Données projet'!$B$166,DO73+DN74-DW73)))</f>
        <v>303.50000000000017</v>
      </c>
      <c r="DP74" s="17">
        <f>DO74*VLOOKUP('Données projet'!$B$14,Paramètres!$A$1:$I$89,3,0)*VLOOKUP('Données projet'!$B$14,Paramètres!$A$1:$I$89,5,0)</f>
        <v>236.73000000000013</v>
      </c>
      <c r="DQ74" s="13">
        <f t="shared" si="97"/>
        <v>57.735413300792672</v>
      </c>
      <c r="DR74" s="20">
        <f t="shared" si="70"/>
        <v>512.86059483221413</v>
      </c>
      <c r="DS74" s="59">
        <f t="shared" si="71"/>
        <v>806.1939281655475</v>
      </c>
      <c r="DT74" s="59">
        <f ca="1">AVERAGE(OFFSET($DS$3,0,0,'Données projet'!$E$14+1,1))-AVERAGE(OFFSET($H$3,0,0,'Données projet'!$E$14+1,1))</f>
        <v>376.33792692771908</v>
      </c>
      <c r="DU74" s="59">
        <f t="shared" si="98"/>
        <v>367.92889258044698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0.64200681457688091</v>
      </c>
      <c r="EB74" s="21">
        <f>EXP(-LN(2)/25)*EB73+(1-EXP(-LN(2)/25))/(LN(2)/25)*Calculateur!DW74*Calculateur!DY74*VLOOKUP('Données projet'!$B$14,Paramètres!$A$1:$I$89,3,0)*0.475*44/12</f>
        <v>2.6858005193143235</v>
      </c>
      <c r="EC74" s="21">
        <f>EXP(-LN(2)/2)*EC73+(1-EXP(-LN(2)/2))/(LN(2)/2)*DW74*DZ74*VLOOKUP('Données projet'!$B$14,Paramètres!$A$1:$I$89,3,0)*0.475*44/12</f>
        <v>8.814544421134099E-6</v>
      </c>
      <c r="ED74" s="22">
        <f t="shared" si="72"/>
        <v>3.3278161484356255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261.30623999999995</v>
      </c>
      <c r="P75" s="13">
        <f t="shared" si="87"/>
        <v>63.000734275359598</v>
      </c>
      <c r="Q75" s="20">
        <f t="shared" si="54"/>
        <v>564.83464686291791</v>
      </c>
      <c r="R75" s="59">
        <f t="shared" si="55"/>
        <v>858.16798019625116</v>
      </c>
      <c r="S75" s="59">
        <f ca="1">AVERAGE(OFFSET($R$3,0,0,'Données projet'!$E$9+1,1))-AVERAGE(OFFSET($H$3,0,0,'Données projet'!$E$9+1,1))</f>
        <v>469.68830256438338</v>
      </c>
      <c r="T75" s="59">
        <f t="shared" si="88"/>
        <v>332.61387922152159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1.0483835311859642</v>
      </c>
      <c r="AA75" s="21">
        <f>EXP(-LN(2)/25)*AA74+(1-EXP(-LN(2)/25))/(LN(2)/25)*Calculateur!V75*Calculateur!X75*VLOOKUP('Données projet'!$B$9,Paramètres!$A$1:$I$89,3,0)*0.475*44/12</f>
        <v>3.521171721766386</v>
      </c>
      <c r="AB75" s="21">
        <f>EXP(-LN(2)/2)*AB74+(1-EXP(-LN(2)/2))/(LN(2)/2)*V75*Y75*VLOOKUP('Données projet'!$B$9,Paramètres!$A$1:$I$89,3,0)*0.475*44/12</f>
        <v>1.0277431857159923E-5</v>
      </c>
      <c r="AC75" s="22">
        <f t="shared" si="57"/>
        <v>4.5695655303842075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310.86431999999996</v>
      </c>
      <c r="AK75" s="13">
        <f t="shared" si="89"/>
        <v>73.449305328718694</v>
      </c>
      <c r="AL75" s="20">
        <f t="shared" si="58"/>
        <v>669.34623078085167</v>
      </c>
      <c r="AM75" s="59">
        <f t="shared" si="59"/>
        <v>962.67956411418504</v>
      </c>
      <c r="AN75" s="59">
        <f ca="1">AVERAGE(OFFSET($AM$3,0,0,'Données projet'!$E$10+1,1))-AVERAGE(OFFSET($H$3,0,0,'Données projet'!$E$10+1,1))</f>
        <v>550.66682372933292</v>
      </c>
      <c r="AO75" s="59">
        <f t="shared" si="90"/>
        <v>387.28615589698444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1.2472148905488192</v>
      </c>
      <c r="AV75" s="21">
        <f>EXP(-LN(2)/25)*AV74+(1-EXP(-LN(2)/25))/(LN(2)/25)*Calculateur!AQ75*Calculateur!AS75*VLOOKUP('Données projet'!$B$10,Paramètres!$A$1:$I$89,3,0)*0.475*44/12</f>
        <v>4.1889801517565672</v>
      </c>
      <c r="AW75" s="21">
        <f>EXP(-LN(2)/2)*AW74+(1-EXP(-LN(2)/2))/(LN(2)/2)*AQ75*AT75*VLOOKUP('Données projet'!$B$10,Paramètres!$A$1:$I$89,3,0)*0.475*44/12</f>
        <v>1.2226599968000563E-5</v>
      </c>
      <c r="AX75" s="21">
        <f t="shared" si="60"/>
        <v>5.4362072689053544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8.5</v>
      </c>
      <c r="BD75" s="12">
        <f>IF('Données projet'!$A$88&gt;35,BD74+BC75-BL74,IF(A75&lt;'Données projet'!$A$88,$BA$205^A75,IF(A75='Données projet'!$A$88,'Données projet'!$B$88,BD74+BC75-BL74)))</f>
        <v>312.00000000000017</v>
      </c>
      <c r="BE75" s="13">
        <f>BD75*VLOOKUP('Données projet'!$B$11,Paramètres!$A$1:$I$89,3,0)*VLOOKUP('Données projet'!$B$11,Paramètres!$A$1:$I$89,5,0)</f>
        <v>243.36000000000013</v>
      </c>
      <c r="BF75" s="13">
        <f t="shared" si="91"/>
        <v>59.161864860837184</v>
      </c>
      <c r="BG75" s="20">
        <f t="shared" si="61"/>
        <v>526.89224796595829</v>
      </c>
      <c r="BH75" s="59">
        <f t="shared" si="62"/>
        <v>820.22558129929166</v>
      </c>
      <c r="BI75" s="59">
        <f ca="1">AVERAGE(OFFSET($BH$3,0,0,'Données projet'!$E$11+1,1))-AVERAGE(OFFSET($H$3,0,0,'Données projet'!$E$11+1,1))</f>
        <v>376.33792692771908</v>
      </c>
      <c r="BJ75" s="59">
        <f t="shared" si="92"/>
        <v>367.92889258044698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0.62941745252851933</v>
      </c>
      <c r="BQ75" s="21">
        <f>EXP(-LN(2)/25)*BQ74+(1-EXP(-LN(2)/25))/(LN(2)/25)*Calculateur!BL75*Calculateur!BN75*VLOOKUP('Données projet'!$B$11,Paramètres!$A$1:$I$89,3,0)*0.475*44/12</f>
        <v>2.6123571628735625</v>
      </c>
      <c r="BR75" s="21">
        <f>EXP(-LN(2)/2)*BR74+(1-EXP(-LN(2)/2))/(LN(2)/2)*BL75*BO75*VLOOKUP('Données projet'!$B$11,Paramètres!$A$1:$I$89,3,0)*0.475*44/12</f>
        <v>6.2328241332539727E-6</v>
      </c>
      <c r="BS75" s="22">
        <f t="shared" si="63"/>
        <v>3.2417808482262149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210.99936000000014</v>
      </c>
      <c r="CA75" s="13">
        <f t="shared" si="93"/>
        <v>52.153910623486667</v>
      </c>
      <c r="CB75" s="20">
        <f t="shared" si="64"/>
        <v>458.32527966923953</v>
      </c>
      <c r="CC75" s="59">
        <f t="shared" si="65"/>
        <v>751.65861300257279</v>
      </c>
      <c r="CD75" s="59">
        <f ca="1">AVERAGE(OFFSET($CC$3,0,0,'Données projet'!$E$12+1,1))-AVERAGE(OFFSET($H$3,0,0,'Données projet'!$E$12+1,1))</f>
        <v>388.50131600273431</v>
      </c>
      <c r="CE75" s="59">
        <f t="shared" si="94"/>
        <v>247.01165577562955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0.9693093759296999</v>
      </c>
      <c r="CM75" s="21">
        <f>EXP(-LN(2)/2)*CM74+(1-EXP(-LN(2)/2))/(LN(2)/2)*CG75*CJ75*VLOOKUP('Données projet'!$B$12,Paramètres!$A$1:$I$89,3,0)*0.475*44/12</f>
        <v>2.9513110420362603E-6</v>
      </c>
      <c r="CN75" s="22">
        <f t="shared" si="66"/>
        <v>0.9693123272407419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6.1</v>
      </c>
      <c r="CT75" s="12">
        <f>IF('Données projet'!$A$140&gt;35,CT74+CS75-DB74,IF(A75&lt;'Données projet'!$A$140,$CQ$205^A75,IF(A75='Données projet'!$A$140,'Données projet'!$B$140,CT74+CS75-DB74)))</f>
        <v>233.20000000000019</v>
      </c>
      <c r="CU75" s="17">
        <f>CT75*VLOOKUP('Données projet'!$B$13,Paramètres!$A$1:$I$89,3,0)*VLOOKUP('Données projet'!$B$13,Paramètres!$A$1:$I$89,5,0)</f>
        <v>251.0164800000002</v>
      </c>
      <c r="CV75" s="13">
        <f t="shared" si="95"/>
        <v>60.803553316193685</v>
      </c>
      <c r="CW75" s="20">
        <f t="shared" si="67"/>
        <v>543.08655802570433</v>
      </c>
      <c r="CX75" s="59">
        <f t="shared" si="68"/>
        <v>836.41989135903759</v>
      </c>
      <c r="CY75" s="59">
        <f ca="1">AVERAGE(OFFSET($CX$3,0,0,'Données projet'!$E$13+1,1))-AVERAGE(OFFSET($H$3,0,0,'Données projet'!$E$13+1,1))</f>
        <v>454.43000549907373</v>
      </c>
      <c r="CZ75" s="59">
        <f t="shared" si="96"/>
        <v>285.83623046025156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1.1531439127439533</v>
      </c>
      <c r="DH75" s="21">
        <f>EXP(-LN(2)/2)*DH74+(1-EXP(-LN(2)/2))/(LN(2)/2)*DB75*DE75*VLOOKUP('Données projet'!$B$13,Paramètres!$A$1:$I$89,3,0)*0.475*44/12</f>
        <v>3.5110424465603847E-6</v>
      </c>
      <c r="DI75" s="22">
        <f t="shared" si="69"/>
        <v>1.1531474237863999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8.5</v>
      </c>
      <c r="DO75" s="12">
        <f>IF('Données projet'!$A$166&gt;35,DO74+DN75-DW74,IF(A75&lt;'Données projet'!$A$166,$DL$205^A75,IF(A75='Données projet'!$A$166,'Données projet'!$B$166,DO74+DN75-DW74)))</f>
        <v>312.00000000000017</v>
      </c>
      <c r="DP75" s="17">
        <f>DO75*VLOOKUP('Données projet'!$B$14,Paramètres!$A$1:$I$89,3,0)*VLOOKUP('Données projet'!$B$14,Paramètres!$A$1:$I$89,5,0)</f>
        <v>243.36000000000013</v>
      </c>
      <c r="DQ75" s="13">
        <f t="shared" si="97"/>
        <v>59.161864860837184</v>
      </c>
      <c r="DR75" s="20">
        <f t="shared" si="70"/>
        <v>526.89224796595829</v>
      </c>
      <c r="DS75" s="59">
        <f t="shared" si="71"/>
        <v>820.22558129929166</v>
      </c>
      <c r="DT75" s="59">
        <f ca="1">AVERAGE(OFFSET($DS$3,0,0,'Données projet'!$E$14+1,1))-AVERAGE(OFFSET($H$3,0,0,'Données projet'!$E$14+1,1))</f>
        <v>376.33792692771908</v>
      </c>
      <c r="DU75" s="59">
        <f t="shared" si="98"/>
        <v>367.92889258044698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0.62941745252851933</v>
      </c>
      <c r="EB75" s="21">
        <f>EXP(-LN(2)/25)*EB74+(1-EXP(-LN(2)/25))/(LN(2)/25)*Calculateur!DW75*Calculateur!DY75*VLOOKUP('Données projet'!$B$14,Paramètres!$A$1:$I$89,3,0)*0.475*44/12</f>
        <v>2.6123571628735625</v>
      </c>
      <c r="EC75" s="21">
        <f>EXP(-LN(2)/2)*EC74+(1-EXP(-LN(2)/2))/(LN(2)/2)*DW75*DZ75*VLOOKUP('Données projet'!$B$14,Paramètres!$A$1:$I$89,3,0)*0.475*44/12</f>
        <v>6.2328241332539727E-6</v>
      </c>
      <c r="ED75" s="22">
        <f t="shared" si="72"/>
        <v>3.2417808482262149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268.00175999999993</v>
      </c>
      <c r="P76" s="13">
        <f t="shared" si="87"/>
        <v>64.425009159185578</v>
      </c>
      <c r="Q76" s="20">
        <f t="shared" si="54"/>
        <v>578.97662295224802</v>
      </c>
      <c r="R76" s="59">
        <f t="shared" si="55"/>
        <v>872.30995628558139</v>
      </c>
      <c r="S76" s="59">
        <f ca="1">AVERAGE(OFFSET($R$3,0,0,'Données projet'!$E$9+1,1))-AVERAGE(OFFSET($H$3,0,0,'Données projet'!$E$9+1,1))</f>
        <v>469.68830256438338</v>
      </c>
      <c r="T76" s="59">
        <f t="shared" si="88"/>
        <v>332.61387922152159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1.0278253695902209</v>
      </c>
      <c r="AA76" s="21">
        <f>EXP(-LN(2)/25)*AA75+(1-EXP(-LN(2)/25))/(LN(2)/25)*Calculateur!V76*Calculateur!X76*VLOOKUP('Données projet'!$B$9,Paramètres!$A$1:$I$89,3,0)*0.475*44/12</f>
        <v>3.4248850958643113</v>
      </c>
      <c r="AB76" s="21">
        <f>EXP(-LN(2)/2)*AB75+(1-EXP(-LN(2)/2))/(LN(2)/2)*V76*Y76*VLOOKUP('Données projet'!$B$9,Paramètres!$A$1:$I$89,3,0)*0.475*44/12</f>
        <v>7.2672417593804347E-6</v>
      </c>
      <c r="AC76" s="22">
        <f t="shared" si="57"/>
        <v>4.4527177326962919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318.82967999999988</v>
      </c>
      <c r="AK76" s="13">
        <f t="shared" si="89"/>
        <v>75.109793924882112</v>
      </c>
      <c r="AL76" s="20">
        <f t="shared" si="58"/>
        <v>686.11125041916955</v>
      </c>
      <c r="AM76" s="59">
        <f t="shared" si="59"/>
        <v>979.44458375250292</v>
      </c>
      <c r="AN76" s="59">
        <f ca="1">AVERAGE(OFFSET($AM$3,0,0,'Données projet'!$E$10+1,1))-AVERAGE(OFFSET($H$3,0,0,'Données projet'!$E$10+1,1))</f>
        <v>550.66682372933292</v>
      </c>
      <c r="AO76" s="59">
        <f t="shared" si="90"/>
        <v>387.28615589698444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1.2227577672711245</v>
      </c>
      <c r="AV76" s="21">
        <f>EXP(-LN(2)/25)*AV75+(1-EXP(-LN(2)/25))/(LN(2)/25)*Calculateur!AQ76*Calculateur!AS76*VLOOKUP('Données projet'!$B$10,Paramètres!$A$1:$I$89,3,0)*0.475*44/12</f>
        <v>4.0744322692178914</v>
      </c>
      <c r="AW76" s="21">
        <f>EXP(-LN(2)/2)*AW75+(1-EXP(-LN(2)/2))/(LN(2)/2)*AQ76*AT76*VLOOKUP('Données projet'!$B$10,Paramètres!$A$1:$I$89,3,0)*0.475*44/12</f>
        <v>8.6455117482284231E-6</v>
      </c>
      <c r="AX76" s="21">
        <f t="shared" si="60"/>
        <v>5.2971986820007642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8.5</v>
      </c>
      <c r="BD76" s="12">
        <f>IF('Données projet'!$A$88&gt;35,BD75+BC76-BL75,IF(A76&lt;'Données projet'!$A$88,$BA$205^A76,IF(A76='Données projet'!$A$88,'Données projet'!$B$88,BD75+BC76-BL75)))</f>
        <v>320.50000000000017</v>
      </c>
      <c r="BE76" s="13">
        <f>BD76*VLOOKUP('Données projet'!$B$11,Paramètres!$A$1:$I$89,3,0)*VLOOKUP('Données projet'!$B$11,Paramètres!$A$1:$I$89,5,0)</f>
        <v>249.99000000000015</v>
      </c>
      <c r="BF76" s="13">
        <f t="shared" si="91"/>
        <v>60.583799497866167</v>
      </c>
      <c r="BG76" s="20">
        <f t="shared" si="61"/>
        <v>540.91603412545055</v>
      </c>
      <c r="BH76" s="59">
        <f t="shared" si="62"/>
        <v>834.24936745878381</v>
      </c>
      <c r="BI76" s="59">
        <f ca="1">AVERAGE(OFFSET($BH$3,0,0,'Données projet'!$E$11+1,1))-AVERAGE(OFFSET($H$3,0,0,'Données projet'!$E$11+1,1))</f>
        <v>376.33792692771908</v>
      </c>
      <c r="BJ76" s="59">
        <f t="shared" si="92"/>
        <v>367.92889258044698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0.61707496019117347</v>
      </c>
      <c r="BQ76" s="21">
        <f>EXP(-LN(2)/25)*BQ75+(1-EXP(-LN(2)/25))/(LN(2)/25)*Calculateur!BL76*Calculateur!BN76*VLOOKUP('Données projet'!$B$11,Paramètres!$A$1:$I$89,3,0)*0.475*44/12</f>
        <v>2.5409221188768925</v>
      </c>
      <c r="BR76" s="21">
        <f>EXP(-LN(2)/2)*BR75+(1-EXP(-LN(2)/2))/(LN(2)/2)*BL76*BO76*VLOOKUP('Données projet'!$B$11,Paramètres!$A$1:$I$89,3,0)*0.475*44/12</f>
        <v>4.4072722105670495E-6</v>
      </c>
      <c r="BS76" s="22">
        <f t="shared" si="63"/>
        <v>3.1580014863402766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216.51864000000015</v>
      </c>
      <c r="CA76" s="13">
        <f t="shared" si="93"/>
        <v>53.357528323079173</v>
      </c>
      <c r="CB76" s="20">
        <f t="shared" si="64"/>
        <v>470.03432649602973</v>
      </c>
      <c r="CC76" s="59">
        <f t="shared" si="65"/>
        <v>763.36765982936299</v>
      </c>
      <c r="CD76" s="59">
        <f ca="1">AVERAGE(OFFSET($CC$3,0,0,'Données projet'!$E$12+1,1))-AVERAGE(OFFSET($H$3,0,0,'Données projet'!$E$12+1,1))</f>
        <v>388.50131600273431</v>
      </c>
      <c r="CE76" s="59">
        <f t="shared" si="94"/>
        <v>247.01165577562955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0.94280356007113753</v>
      </c>
      <c r="CM76" s="21">
        <f>EXP(-LN(2)/2)*CM75+(1-EXP(-LN(2)/2))/(LN(2)/2)*CG76*CJ76*VLOOKUP('Données projet'!$B$12,Paramètres!$A$1:$I$89,3,0)*0.475*44/12</f>
        <v>2.0868920512145754E-6</v>
      </c>
      <c r="CN76" s="22">
        <f t="shared" si="66"/>
        <v>0.94280564696318869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6.1</v>
      </c>
      <c r="CT76" s="12">
        <f>IF('Données projet'!$A$140&gt;35,CT75+CS76-DB75,IF(A76&lt;'Données projet'!$A$140,$CQ$205^A76,IF(A76='Données projet'!$A$140,'Données projet'!$B$140,CT75+CS76-DB75)))</f>
        <v>239.30000000000018</v>
      </c>
      <c r="CU76" s="17">
        <f>CT76*VLOOKUP('Données projet'!$B$13,Paramètres!$A$1:$I$89,3,0)*VLOOKUP('Données projet'!$B$13,Paramètres!$A$1:$I$89,5,0)</f>
        <v>257.58252000000016</v>
      </c>
      <c r="CV76" s="13">
        <f t="shared" si="95"/>
        <v>62.206789086907435</v>
      </c>
      <c r="CW76" s="20">
        <f t="shared" si="67"/>
        <v>556.96637999303061</v>
      </c>
      <c r="CX76" s="59">
        <f t="shared" si="68"/>
        <v>850.29971332636387</v>
      </c>
      <c r="CY76" s="59">
        <f ca="1">AVERAGE(OFFSET($CX$3,0,0,'Données projet'!$E$13+1,1))-AVERAGE(OFFSET($H$3,0,0,'Données projet'!$E$13+1,1))</f>
        <v>454.43000549907373</v>
      </c>
      <c r="CZ76" s="59">
        <f t="shared" si="96"/>
        <v>285.83623046025156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1.1216111318087671</v>
      </c>
      <c r="DH76" s="21">
        <f>EXP(-LN(2)/2)*DH75+(1-EXP(-LN(2)/2))/(LN(2)/2)*DB76*DE76*VLOOKUP('Données projet'!$B$13,Paramètres!$A$1:$I$89,3,0)*0.475*44/12</f>
        <v>2.4826819229966544E-6</v>
      </c>
      <c r="DI76" s="22">
        <f t="shared" si="69"/>
        <v>1.1216136144906901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8.5</v>
      </c>
      <c r="DO76" s="12">
        <f>IF('Données projet'!$A$166&gt;35,DO75+DN76-DW75,IF(A76&lt;'Données projet'!$A$166,$DL$205^A76,IF(A76='Données projet'!$A$166,'Données projet'!$B$166,DO75+DN76-DW75)))</f>
        <v>320.50000000000017</v>
      </c>
      <c r="DP76" s="17">
        <f>DO76*VLOOKUP('Données projet'!$B$14,Paramètres!$A$1:$I$89,3,0)*VLOOKUP('Données projet'!$B$14,Paramètres!$A$1:$I$89,5,0)</f>
        <v>249.99000000000015</v>
      </c>
      <c r="DQ76" s="13">
        <f t="shared" si="97"/>
        <v>60.583799497866167</v>
      </c>
      <c r="DR76" s="20">
        <f t="shared" si="70"/>
        <v>540.91603412545055</v>
      </c>
      <c r="DS76" s="59">
        <f t="shared" si="71"/>
        <v>834.24936745878381</v>
      </c>
      <c r="DT76" s="59">
        <f ca="1">AVERAGE(OFFSET($DS$3,0,0,'Données projet'!$E$14+1,1))-AVERAGE(OFFSET($H$3,0,0,'Données projet'!$E$14+1,1))</f>
        <v>376.33792692771908</v>
      </c>
      <c r="DU76" s="59">
        <f t="shared" si="98"/>
        <v>367.92889258044698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0.61707496019117347</v>
      </c>
      <c r="EB76" s="21">
        <f>EXP(-LN(2)/25)*EB75+(1-EXP(-LN(2)/25))/(LN(2)/25)*Calculateur!DW76*Calculateur!DY76*VLOOKUP('Données projet'!$B$14,Paramètres!$A$1:$I$89,3,0)*0.475*44/12</f>
        <v>2.5409221188768925</v>
      </c>
      <c r="EC76" s="21">
        <f>EXP(-LN(2)/2)*EC75+(1-EXP(-LN(2)/2))/(LN(2)/2)*DW76*DZ76*VLOOKUP('Données projet'!$B$14,Paramètres!$A$1:$I$89,3,0)*0.475*44/12</f>
        <v>4.4072722105670495E-6</v>
      </c>
      <c r="ED76" s="22">
        <f t="shared" si="72"/>
        <v>3.1580014863402766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274.69727999999992</v>
      </c>
      <c r="P77" s="13">
        <f t="shared" si="87"/>
        <v>65.845147763387502</v>
      </c>
      <c r="Q77" s="20">
        <f t="shared" si="54"/>
        <v>593.11139502123308</v>
      </c>
      <c r="R77" s="59">
        <f t="shared" si="55"/>
        <v>886.44472835456645</v>
      </c>
      <c r="S77" s="59">
        <f ca="1">AVERAGE(OFFSET($R$3,0,0,'Données projet'!$E$9+1,1))-AVERAGE(OFFSET($H$3,0,0,'Données projet'!$E$9+1,1))</f>
        <v>469.68830256438338</v>
      </c>
      <c r="T77" s="59">
        <f t="shared" si="88"/>
        <v>332.61387922152159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1.0076703410041297</v>
      </c>
      <c r="AA77" s="21">
        <f>EXP(-LN(2)/25)*AA76+(1-EXP(-LN(2)/25))/(LN(2)/25)*Calculateur!V77*Calculateur!X77*VLOOKUP('Données projet'!$B$9,Paramètres!$A$1:$I$89,3,0)*0.475*44/12</f>
        <v>3.3312314328110224</v>
      </c>
      <c r="AB77" s="21">
        <f>EXP(-LN(2)/2)*AB76+(1-EXP(-LN(2)/2))/(LN(2)/2)*V77*Y77*VLOOKUP('Données projet'!$B$9,Paramètres!$A$1:$I$89,3,0)*0.475*44/12</f>
        <v>5.1387159285799624E-6</v>
      </c>
      <c r="AC77" s="22">
        <f t="shared" si="57"/>
        <v>4.3389069125310806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326.79503999999991</v>
      </c>
      <c r="AK77" s="13">
        <f t="shared" si="89"/>
        <v>76.765460246059064</v>
      </c>
      <c r="AL77" s="20">
        <f t="shared" si="58"/>
        <v>702.86787126188608</v>
      </c>
      <c r="AM77" s="59">
        <f t="shared" si="59"/>
        <v>996.20120459521945</v>
      </c>
      <c r="AN77" s="59">
        <f ca="1">AVERAGE(OFFSET($AM$3,0,0,'Données projet'!$E$10+1,1))-AVERAGE(OFFSET($H$3,0,0,'Données projet'!$E$10+1,1))</f>
        <v>550.66682372933292</v>
      </c>
      <c r="AO77" s="59">
        <f t="shared" si="90"/>
        <v>387.28615589698444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1.1987802332635333</v>
      </c>
      <c r="AV77" s="21">
        <f>EXP(-LN(2)/25)*AV76+(1-EXP(-LN(2)/25))/(LN(2)/25)*Calculateur!AQ77*Calculateur!AS77*VLOOKUP('Données projet'!$B$10,Paramètres!$A$1:$I$89,3,0)*0.475*44/12</f>
        <v>3.9630167045510474</v>
      </c>
      <c r="AW77" s="21">
        <f>EXP(-LN(2)/2)*AW76+(1-EXP(-LN(2)/2))/(LN(2)/2)*AQ77*AT77*VLOOKUP('Données projet'!$B$10,Paramètres!$A$1:$I$89,3,0)*0.475*44/12</f>
        <v>6.1132999840002816E-6</v>
      </c>
      <c r="AX77" s="21">
        <f t="shared" si="60"/>
        <v>5.1618030511145641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8.5</v>
      </c>
      <c r="BD77" s="12">
        <f>IF('Données projet'!$A$88&gt;35,BD76+BC77-BL76,IF(A77&lt;'Données projet'!$A$88,$BA$205^A77,IF(A77='Données projet'!$A$88,'Données projet'!$B$88,BD76+BC77-BL76)))</f>
        <v>329.00000000000017</v>
      </c>
      <c r="BE77" s="13">
        <f>BD77*VLOOKUP('Données projet'!$B$11,Paramètres!$A$1:$I$89,3,0)*VLOOKUP('Données projet'!$B$11,Paramètres!$A$1:$I$89,5,0)</f>
        <v>256.62000000000012</v>
      </c>
      <c r="BF77" s="13">
        <f t="shared" si="91"/>
        <v>62.001350774926571</v>
      </c>
      <c r="BG77" s="20">
        <f t="shared" si="61"/>
        <v>554.9321859329973</v>
      </c>
      <c r="BH77" s="59">
        <f t="shared" si="62"/>
        <v>848.26551926633056</v>
      </c>
      <c r="BI77" s="59">
        <f ca="1">AVERAGE(OFFSET($BH$3,0,0,'Données projet'!$E$11+1,1))-AVERAGE(OFFSET($H$3,0,0,'Données projet'!$E$11+1,1))</f>
        <v>376.33792692771908</v>
      </c>
      <c r="BJ77" s="59">
        <f t="shared" si="92"/>
        <v>367.92889258044698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0.60497449660038594</v>
      </c>
      <c r="BQ77" s="21">
        <f>EXP(-LN(2)/25)*BQ76+(1-EXP(-LN(2)/25))/(LN(2)/25)*Calculateur!BL77*Calculateur!BN77*VLOOKUP('Données projet'!$B$11,Paramètres!$A$1:$I$89,3,0)*0.475*44/12</f>
        <v>2.4714404699149171</v>
      </c>
      <c r="BR77" s="21">
        <f>EXP(-LN(2)/2)*BR76+(1-EXP(-LN(2)/2))/(LN(2)/2)*BL77*BO77*VLOOKUP('Données projet'!$B$11,Paramètres!$A$1:$I$89,3,0)*0.475*44/12</f>
        <v>3.1164120666269864E-6</v>
      </c>
      <c r="BS77" s="22">
        <f t="shared" si="63"/>
        <v>3.0764180829273697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222.03792000000013</v>
      </c>
      <c r="CA77" s="13">
        <f t="shared" si="93"/>
        <v>54.5575795882731</v>
      </c>
      <c r="CB77" s="20">
        <f t="shared" si="64"/>
        <v>481.7371617829092</v>
      </c>
      <c r="CC77" s="59">
        <f t="shared" si="65"/>
        <v>775.07049511624245</v>
      </c>
      <c r="CD77" s="59">
        <f ca="1">AVERAGE(OFFSET($CC$3,0,0,'Données projet'!$E$12+1,1))-AVERAGE(OFFSET($H$3,0,0,'Données projet'!$E$12+1,1))</f>
        <v>388.50131600273431</v>
      </c>
      <c r="CE77" s="59">
        <f t="shared" si="94"/>
        <v>247.01165577562955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0.91702254714110787</v>
      </c>
      <c r="CM77" s="21">
        <f>EXP(-LN(2)/2)*CM76+(1-EXP(-LN(2)/2))/(LN(2)/2)*CG77*CJ77*VLOOKUP('Données projet'!$B$12,Paramètres!$A$1:$I$89,3,0)*0.475*44/12</f>
        <v>1.4756555210181301E-6</v>
      </c>
      <c r="CN77" s="22">
        <f t="shared" si="66"/>
        <v>0.91702402279662887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6.1</v>
      </c>
      <c r="CT77" s="12">
        <f>IF('Données projet'!$A$140&gt;35,CT76+CS77-DB76,IF(A77&lt;'Données projet'!$A$140,$CQ$205^A77,IF(A77='Données projet'!$A$140,'Données projet'!$B$140,CT76+CS77-DB76)))</f>
        <v>245.40000000000018</v>
      </c>
      <c r="CU77" s="17">
        <f>CT77*VLOOKUP('Données projet'!$B$13,Paramètres!$A$1:$I$89,3,0)*VLOOKUP('Données projet'!$B$13,Paramètres!$A$1:$I$89,5,0)</f>
        <v>264.1485600000002</v>
      </c>
      <c r="CV77" s="13">
        <f t="shared" si="95"/>
        <v>63.605866935779758</v>
      </c>
      <c r="CW77" s="20">
        <f t="shared" si="67"/>
        <v>570.83896024648345</v>
      </c>
      <c r="CX77" s="59">
        <f t="shared" si="68"/>
        <v>864.17229357981682</v>
      </c>
      <c r="CY77" s="59">
        <f ca="1">AVERAGE(OFFSET($CX$3,0,0,'Données projet'!$E$13+1,1))-AVERAGE(OFFSET($H$3,0,0,'Données projet'!$E$13+1,1))</f>
        <v>454.43000549907373</v>
      </c>
      <c r="CZ77" s="59">
        <f t="shared" si="96"/>
        <v>285.83623046025156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1.0909406164264905</v>
      </c>
      <c r="DH77" s="21">
        <f>EXP(-LN(2)/2)*DH76+(1-EXP(-LN(2)/2))/(LN(2)/2)*DB77*DE77*VLOOKUP('Données projet'!$B$13,Paramètres!$A$1:$I$89,3,0)*0.475*44/12</f>
        <v>1.7555212232801923E-6</v>
      </c>
      <c r="DI77" s="22">
        <f t="shared" si="69"/>
        <v>1.0909423719477138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8.5</v>
      </c>
      <c r="DO77" s="12">
        <f>IF('Données projet'!$A$166&gt;35,DO76+DN77-DW76,IF(A77&lt;'Données projet'!$A$166,$DL$205^A77,IF(A77='Données projet'!$A$166,'Données projet'!$B$166,DO76+DN77-DW76)))</f>
        <v>329.00000000000017</v>
      </c>
      <c r="DP77" s="17">
        <f>DO77*VLOOKUP('Données projet'!$B$14,Paramètres!$A$1:$I$89,3,0)*VLOOKUP('Données projet'!$B$14,Paramètres!$A$1:$I$89,5,0)</f>
        <v>256.62000000000012</v>
      </c>
      <c r="DQ77" s="13">
        <f t="shared" si="97"/>
        <v>62.001350774926571</v>
      </c>
      <c r="DR77" s="20">
        <f t="shared" si="70"/>
        <v>554.9321859329973</v>
      </c>
      <c r="DS77" s="59">
        <f t="shared" si="71"/>
        <v>848.26551926633056</v>
      </c>
      <c r="DT77" s="59">
        <f ca="1">AVERAGE(OFFSET($DS$3,0,0,'Données projet'!$E$14+1,1))-AVERAGE(OFFSET($H$3,0,0,'Données projet'!$E$14+1,1))</f>
        <v>376.33792692771908</v>
      </c>
      <c r="DU77" s="59">
        <f t="shared" si="98"/>
        <v>367.92889258044698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0.60497449660038594</v>
      </c>
      <c r="EB77" s="21">
        <f>EXP(-LN(2)/25)*EB76+(1-EXP(-LN(2)/25))/(LN(2)/25)*Calculateur!DW77*Calculateur!DY77*VLOOKUP('Données projet'!$B$14,Paramètres!$A$1:$I$89,3,0)*0.475*44/12</f>
        <v>2.4714404699149171</v>
      </c>
      <c r="EC77" s="21">
        <f>EXP(-LN(2)/2)*EC76+(1-EXP(-LN(2)/2))/(LN(2)/2)*DW77*DZ77*VLOOKUP('Données projet'!$B$14,Paramètres!$A$1:$I$89,3,0)*0.475*44/12</f>
        <v>3.1164120666269864E-6</v>
      </c>
      <c r="ED77" s="22">
        <f t="shared" si="72"/>
        <v>3.0764180829273697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281.39279999999985</v>
      </c>
      <c r="P78" s="13">
        <f t="shared" si="87"/>
        <v>67.261262504634658</v>
      </c>
      <c r="Q78" s="20">
        <f t="shared" si="54"/>
        <v>607.23915886223847</v>
      </c>
      <c r="R78" s="59">
        <f t="shared" si="55"/>
        <v>900.57249219557184</v>
      </c>
      <c r="S78" s="59">
        <f ca="1">AVERAGE(OFFSET($R$3,0,0,'Données projet'!$E$9+1,1))-AVERAGE(OFFSET($H$3,0,0,'Données projet'!$E$9+1,1))</f>
        <v>469.68830256438338</v>
      </c>
      <c r="T78" s="59">
        <f t="shared" si="88"/>
        <v>332.61387922152159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0.98791054023525815</v>
      </c>
      <c r="AA78" s="21">
        <f>EXP(-LN(2)/25)*AA77+(1-EXP(-LN(2)/25))/(LN(2)/25)*Calculateur!V78*Calculateur!X78*VLOOKUP('Données projet'!$B$9,Paramètres!$A$1:$I$89,3,0)*0.475*44/12</f>
        <v>3.2401387340989576</v>
      </c>
      <c r="AB78" s="21">
        <f>EXP(-LN(2)/2)*AB77+(1-EXP(-LN(2)/2))/(LN(2)/2)*V78*Y78*VLOOKUP('Données projet'!$B$9,Paramètres!$A$1:$I$89,3,0)*0.475*44/12</f>
        <v>3.6336208796902182E-6</v>
      </c>
      <c r="AC78" s="22">
        <f t="shared" si="57"/>
        <v>4.2280529079550959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334.76039999999989</v>
      </c>
      <c r="AK78" s="13">
        <f t="shared" si="89"/>
        <v>78.416435353043454</v>
      </c>
      <c r="AL78" s="20">
        <f t="shared" si="58"/>
        <v>719.61632157321708</v>
      </c>
      <c r="AM78" s="59">
        <f t="shared" si="59"/>
        <v>1012.9496549065504</v>
      </c>
      <c r="AN78" s="59">
        <f ca="1">AVERAGE(OFFSET($AM$3,0,0,'Données projet'!$E$10+1,1))-AVERAGE(OFFSET($H$3,0,0,'Données projet'!$E$10+1,1))</f>
        <v>550.66682372933292</v>
      </c>
      <c r="AO78" s="59">
        <f t="shared" si="90"/>
        <v>387.28615589698444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1.1752728840729794</v>
      </c>
      <c r="AV78" s="21">
        <f>EXP(-LN(2)/25)*AV77+(1-EXP(-LN(2)/25))/(LN(2)/25)*Calculateur!AQ78*Calculateur!AS78*VLOOKUP('Données projet'!$B$10,Paramètres!$A$1:$I$89,3,0)*0.475*44/12</f>
        <v>3.8546478043591081</v>
      </c>
      <c r="AW78" s="21">
        <f>EXP(-LN(2)/2)*AW77+(1-EXP(-LN(2)/2))/(LN(2)/2)*AQ78*AT78*VLOOKUP('Données projet'!$B$10,Paramètres!$A$1:$I$89,3,0)*0.475*44/12</f>
        <v>4.3227558741142115E-6</v>
      </c>
      <c r="AX78" s="21">
        <f t="shared" si="60"/>
        <v>5.0299250111879612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8.5</v>
      </c>
      <c r="BD78" s="12">
        <f>IF('Données projet'!$A$88&gt;35,BD77+BC78-BL77,IF(A78&lt;'Données projet'!$A$88,$BA$205^A78,IF(A78='Données projet'!$A$88,'Données projet'!$B$88,BD77+BC78-BL77)))</f>
        <v>337.50000000000017</v>
      </c>
      <c r="BE78" s="13">
        <f>BD78*VLOOKUP('Données projet'!$B$11,Paramètres!$A$1:$I$89,3,0)*VLOOKUP('Données projet'!$B$11,Paramètres!$A$1:$I$89,5,0)</f>
        <v>263.25000000000011</v>
      </c>
      <c r="BF78" s="13">
        <f t="shared" si="91"/>
        <v>63.414644960489447</v>
      </c>
      <c r="BG78" s="20">
        <f t="shared" si="61"/>
        <v>568.94092330618594</v>
      </c>
      <c r="BH78" s="59">
        <f t="shared" si="62"/>
        <v>862.27425663951931</v>
      </c>
      <c r="BI78" s="59">
        <f ca="1">AVERAGE(OFFSET($BH$3,0,0,'Données projet'!$E$11+1,1))-AVERAGE(OFFSET($H$3,0,0,'Données projet'!$E$11+1,1))</f>
        <v>376.33792692771908</v>
      </c>
      <c r="BJ78" s="59">
        <f t="shared" si="92"/>
        <v>367.92889258044698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0.59311131572005982</v>
      </c>
      <c r="BQ78" s="21">
        <f>EXP(-LN(2)/25)*BQ77+(1-EXP(-LN(2)/25))/(LN(2)/25)*Calculateur!BL78*Calculateur!BN78*VLOOKUP('Données projet'!$B$11,Paramètres!$A$1:$I$89,3,0)*0.475*44/12</f>
        <v>2.4038588002976877</v>
      </c>
      <c r="BR78" s="21">
        <f>EXP(-LN(2)/2)*BR77+(1-EXP(-LN(2)/2))/(LN(2)/2)*BL78*BO78*VLOOKUP('Données projet'!$B$11,Paramètres!$A$1:$I$89,3,0)*0.475*44/12</f>
        <v>2.2036361052835248E-6</v>
      </c>
      <c r="BS78" s="22">
        <f t="shared" si="63"/>
        <v>2.9969723196538527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227.55720000000014</v>
      </c>
      <c r="CA78" s="13">
        <f t="shared" si="93"/>
        <v>55.754163267932753</v>
      </c>
      <c r="CB78" s="20">
        <f t="shared" si="64"/>
        <v>493.43395769164982</v>
      </c>
      <c r="CC78" s="59">
        <f t="shared" si="65"/>
        <v>786.76729102498314</v>
      </c>
      <c r="CD78" s="59">
        <f ca="1">AVERAGE(OFFSET($CC$3,0,0,'Données projet'!$E$12+1,1))-AVERAGE(OFFSET($H$3,0,0,'Données projet'!$E$12+1,1))</f>
        <v>388.50131600273431</v>
      </c>
      <c r="CE78" s="59">
        <f t="shared" si="94"/>
        <v>247.01165577562955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0.89194651736541442</v>
      </c>
      <c r="CM78" s="21">
        <f>EXP(-LN(2)/2)*CM77+(1-EXP(-LN(2)/2))/(LN(2)/2)*CG78*CJ78*VLOOKUP('Données projet'!$B$12,Paramètres!$A$1:$I$89,3,0)*0.475*44/12</f>
        <v>1.0434460256072877E-6</v>
      </c>
      <c r="CN78" s="22">
        <f t="shared" si="66"/>
        <v>0.89194756081144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6.1</v>
      </c>
      <c r="CT78" s="12">
        <f>IF('Données projet'!$A$140&gt;35,CT77+CS78-DB77,IF(A78&lt;'Données projet'!$A$140,$CQ$205^A78,IF(A78='Données projet'!$A$140,'Données projet'!$B$140,CT77+CS78-DB77)))</f>
        <v>251.50000000000017</v>
      </c>
      <c r="CU78" s="17">
        <f>CT78*VLOOKUP('Données projet'!$B$13,Paramètres!$A$1:$I$89,3,0)*VLOOKUP('Données projet'!$B$13,Paramètres!$A$1:$I$89,5,0)</f>
        <v>270.71460000000019</v>
      </c>
      <c r="CV78" s="13">
        <f t="shared" si="95"/>
        <v>65.000902105600858</v>
      </c>
      <c r="CW78" s="20">
        <f t="shared" si="67"/>
        <v>584.70449950058844</v>
      </c>
      <c r="CX78" s="59">
        <f t="shared" si="68"/>
        <v>878.03783283392181</v>
      </c>
      <c r="CY78" s="59">
        <f ca="1">AVERAGE(OFFSET($CX$3,0,0,'Données projet'!$E$13+1,1))-AVERAGE(OFFSET($H$3,0,0,'Données projet'!$E$13+1,1))</f>
        <v>454.43000549907373</v>
      </c>
      <c r="CZ78" s="59">
        <f t="shared" si="96"/>
        <v>285.83623046025156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1.0611087879002346</v>
      </c>
      <c r="DH78" s="21">
        <f>EXP(-LN(2)/2)*DH77+(1-EXP(-LN(2)/2))/(LN(2)/2)*DB78*DE78*VLOOKUP('Données projet'!$B$13,Paramètres!$A$1:$I$89,3,0)*0.475*44/12</f>
        <v>1.2413409614983272E-6</v>
      </c>
      <c r="DI78" s="22">
        <f t="shared" si="69"/>
        <v>1.0611100292411961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8.5</v>
      </c>
      <c r="DO78" s="12">
        <f>IF('Données projet'!$A$166&gt;35,DO77+DN78-DW77,IF(A78&lt;'Données projet'!$A$166,$DL$205^A78,IF(A78='Données projet'!$A$166,'Données projet'!$B$166,DO77+DN78-DW77)))</f>
        <v>337.50000000000017</v>
      </c>
      <c r="DP78" s="17">
        <f>DO78*VLOOKUP('Données projet'!$B$14,Paramètres!$A$1:$I$89,3,0)*VLOOKUP('Données projet'!$B$14,Paramètres!$A$1:$I$89,5,0)</f>
        <v>263.25000000000011</v>
      </c>
      <c r="DQ78" s="13">
        <f t="shared" si="97"/>
        <v>63.414644960489447</v>
      </c>
      <c r="DR78" s="20">
        <f t="shared" si="70"/>
        <v>568.94092330618594</v>
      </c>
      <c r="DS78" s="59">
        <f t="shared" si="71"/>
        <v>862.27425663951931</v>
      </c>
      <c r="DT78" s="59">
        <f ca="1">AVERAGE(OFFSET($DS$3,0,0,'Données projet'!$E$14+1,1))-AVERAGE(OFFSET($H$3,0,0,'Données projet'!$E$14+1,1))</f>
        <v>376.33792692771908</v>
      </c>
      <c r="DU78" s="59">
        <f t="shared" si="98"/>
        <v>367.92889258044698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0.59311131572005982</v>
      </c>
      <c r="EB78" s="21">
        <f>EXP(-LN(2)/25)*EB77+(1-EXP(-LN(2)/25))/(LN(2)/25)*Calculateur!DW78*Calculateur!DY78*VLOOKUP('Données projet'!$B$14,Paramètres!$A$1:$I$89,3,0)*0.475*44/12</f>
        <v>2.4038588002976877</v>
      </c>
      <c r="EC78" s="21">
        <f>EXP(-LN(2)/2)*EC77+(1-EXP(-LN(2)/2))/(LN(2)/2)*DW78*DZ78*VLOOKUP('Données projet'!$B$14,Paramètres!$A$1:$I$89,3,0)*0.475*44/12</f>
        <v>2.2036361052835248E-6</v>
      </c>
      <c r="ED78" s="22">
        <f t="shared" si="72"/>
        <v>2.9969723196538527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288.0883199999999</v>
      </c>
      <c r="P79" s="13">
        <f t="shared" si="87"/>
        <v>68.673460144735557</v>
      </c>
      <c r="Q79" s="20">
        <f t="shared" si="54"/>
        <v>621.36010041874761</v>
      </c>
      <c r="R79" s="59">
        <f t="shared" si="55"/>
        <v>914.69343375208086</v>
      </c>
      <c r="S79" s="59">
        <f ca="1">AVERAGE(OFFSET($R$3,0,0,'Données projet'!$E$9+1,1))-AVERAGE(OFFSET($H$3,0,0,'Données projet'!$E$9+1,1))</f>
        <v>469.68830256438338</v>
      </c>
      <c r="T79" s="59">
        <f t="shared" si="88"/>
        <v>332.61387922152159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0.9685382171071758</v>
      </c>
      <c r="AA79" s="21">
        <f>EXP(-LN(2)/25)*AA78+(1-EXP(-LN(2)/25))/(LN(2)/25)*Calculateur!V79*Calculateur!X79*VLOOKUP('Données projet'!$B$9,Paramètres!$A$1:$I$89,3,0)*0.475*44/12</f>
        <v>3.1515369700235309</v>
      </c>
      <c r="AB79" s="21">
        <f>EXP(-LN(2)/2)*AB78+(1-EXP(-LN(2)/2))/(LN(2)/2)*V79*Y79*VLOOKUP('Données projet'!$B$9,Paramètres!$A$1:$I$89,3,0)*0.475*44/12</f>
        <v>2.5693579642899816E-6</v>
      </c>
      <c r="AC79" s="22">
        <f t="shared" si="57"/>
        <v>4.120077756488671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342.72575999999981</v>
      </c>
      <c r="AK79" s="13">
        <f t="shared" si="89"/>
        <v>80.062843713919264</v>
      </c>
      <c r="AL79" s="20">
        <f t="shared" si="58"/>
        <v>736.35681813507574</v>
      </c>
      <c r="AM79" s="59">
        <f t="shared" si="59"/>
        <v>1029.6901514684091</v>
      </c>
      <c r="AN79" s="59">
        <f ca="1">AVERAGE(OFFSET($AM$3,0,0,'Données projet'!$E$10+1,1))-AVERAGE(OFFSET($H$3,0,0,'Données projet'!$E$10+1,1))</f>
        <v>550.66682372933292</v>
      </c>
      <c r="AO79" s="59">
        <f t="shared" si="90"/>
        <v>387.28615589698444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1.1522264996619849</v>
      </c>
      <c r="AV79" s="21">
        <f>EXP(-LN(2)/25)*AV78+(1-EXP(-LN(2)/25))/(LN(2)/25)*Calculateur!AQ79*Calculateur!AS79*VLOOKUP('Données projet'!$B$10,Paramètres!$A$1:$I$89,3,0)*0.475*44/12</f>
        <v>3.7492422574417903</v>
      </c>
      <c r="AW79" s="21">
        <f>EXP(-LN(2)/2)*AW78+(1-EXP(-LN(2)/2))/(LN(2)/2)*AQ79*AT79*VLOOKUP('Données projet'!$B$10,Paramètres!$A$1:$I$89,3,0)*0.475*44/12</f>
        <v>3.0566499920001408E-6</v>
      </c>
      <c r="AX79" s="21">
        <f t="shared" si="60"/>
        <v>4.9014718137537665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8.5</v>
      </c>
      <c r="BD79" s="12">
        <f>IF('Données projet'!$A$88&gt;35,BD78+BC79-BL78,IF(A79&lt;'Données projet'!$A$88,$BA$205^A79,IF(A79='Données projet'!$A$88,'Données projet'!$B$88,BD78+BC79-BL78)))</f>
        <v>346.00000000000017</v>
      </c>
      <c r="BE79" s="13">
        <f>BD79*VLOOKUP('Données projet'!$B$11,Paramètres!$A$1:$I$89,3,0)*VLOOKUP('Données projet'!$B$11,Paramètres!$A$1:$I$89,5,0)</f>
        <v>269.88000000000017</v>
      </c>
      <c r="BF79" s="13">
        <f t="shared" si="91"/>
        <v>64.823801600385877</v>
      </c>
      <c r="BG79" s="20">
        <f t="shared" si="61"/>
        <v>582.94245445400566</v>
      </c>
      <c r="BH79" s="59">
        <f t="shared" si="62"/>
        <v>876.27578778733891</v>
      </c>
      <c r="BI79" s="59">
        <f ca="1">AVERAGE(OFFSET($BH$3,0,0,'Données projet'!$E$11+1,1))-AVERAGE(OFFSET($H$3,0,0,'Données projet'!$E$11+1,1))</f>
        <v>376.33792692771908</v>
      </c>
      <c r="BJ79" s="59">
        <f t="shared" si="92"/>
        <v>367.92889258044698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0.58148076458097098</v>
      </c>
      <c r="BQ79" s="21">
        <f>EXP(-LN(2)/25)*BQ78+(1-EXP(-LN(2)/25))/(LN(2)/25)*Calculateur!BL79*Calculateur!BN79*VLOOKUP('Données projet'!$B$11,Paramètres!$A$1:$I$89,3,0)*0.475*44/12</f>
        <v>2.3381251549901072</v>
      </c>
      <c r="BR79" s="21">
        <f>EXP(-LN(2)/2)*BR78+(1-EXP(-LN(2)/2))/(LN(2)/2)*BL79*BO79*VLOOKUP('Données projet'!$B$11,Paramètres!$A$1:$I$89,3,0)*0.475*44/12</f>
        <v>1.5582060333134932E-6</v>
      </c>
      <c r="BS79" s="22">
        <f t="shared" si="63"/>
        <v>2.9196074777771113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233.07648000000017</v>
      </c>
      <c r="CA79" s="13">
        <f t="shared" si="93"/>
        <v>56.947373142454929</v>
      </c>
      <c r="CB79" s="20">
        <f t="shared" si="64"/>
        <v>505.12487755644264</v>
      </c>
      <c r="CC79" s="59">
        <f t="shared" si="65"/>
        <v>798.45821088977596</v>
      </c>
      <c r="CD79" s="59">
        <f ca="1">AVERAGE(OFFSET($CC$3,0,0,'Données projet'!$E$12+1,1))-AVERAGE(OFFSET($H$3,0,0,'Données projet'!$E$12+1,1))</f>
        <v>388.50131600273431</v>
      </c>
      <c r="CE79" s="59">
        <f t="shared" si="94"/>
        <v>247.01165577562955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0.86755619294262842</v>
      </c>
      <c r="CM79" s="21">
        <f>EXP(-LN(2)/2)*CM78+(1-EXP(-LN(2)/2))/(LN(2)/2)*CG79*CJ79*VLOOKUP('Données projet'!$B$12,Paramètres!$A$1:$I$89,3,0)*0.475*44/12</f>
        <v>7.3782776050906506E-7</v>
      </c>
      <c r="CN79" s="22">
        <f t="shared" si="66"/>
        <v>0.86755693077038898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6.1</v>
      </c>
      <c r="CT79" s="12">
        <f>IF('Données projet'!$A$140&gt;35,CT78+CS79-DB78,IF(A79&lt;'Données projet'!$A$140,$CQ$205^A79,IF(A79='Données projet'!$A$140,'Données projet'!$B$140,CT78+CS79-DB78)))</f>
        <v>257.60000000000019</v>
      </c>
      <c r="CU79" s="17">
        <f>CT79*VLOOKUP('Données projet'!$B$13,Paramètres!$A$1:$I$89,3,0)*VLOOKUP('Données projet'!$B$13,Paramètres!$A$1:$I$89,5,0)</f>
        <v>277.28064000000018</v>
      </c>
      <c r="CV79" s="13">
        <f t="shared" si="95"/>
        <v>66.39200393009655</v>
      </c>
      <c r="CW79" s="20">
        <f t="shared" si="67"/>
        <v>598.56318817825183</v>
      </c>
      <c r="CX79" s="59">
        <f t="shared" si="68"/>
        <v>891.89652151158521</v>
      </c>
      <c r="CY79" s="59">
        <f ca="1">AVERAGE(OFFSET($CX$3,0,0,'Données projet'!$E$13+1,1))-AVERAGE(OFFSET($H$3,0,0,'Données projet'!$E$13+1,1))</f>
        <v>454.43000549907373</v>
      </c>
      <c r="CZ79" s="59">
        <f t="shared" si="96"/>
        <v>285.83623046025156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1.0320927122938166</v>
      </c>
      <c r="DH79" s="21">
        <f>EXP(-LN(2)/2)*DH78+(1-EXP(-LN(2)/2))/(LN(2)/2)*DB79*DE79*VLOOKUP('Données projet'!$B$13,Paramètres!$A$1:$I$89,3,0)*0.475*44/12</f>
        <v>8.7776061164009617E-7</v>
      </c>
      <c r="DI79" s="22">
        <f t="shared" si="69"/>
        <v>1.0320935900544284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8.5</v>
      </c>
      <c r="DO79" s="12">
        <f>IF('Données projet'!$A$166&gt;35,DO78+DN79-DW78,IF(A79&lt;'Données projet'!$A$166,$DL$205^A79,IF(A79='Données projet'!$A$166,'Données projet'!$B$166,DO78+DN79-DW78)))</f>
        <v>346.00000000000017</v>
      </c>
      <c r="DP79" s="17">
        <f>DO79*VLOOKUP('Données projet'!$B$14,Paramètres!$A$1:$I$89,3,0)*VLOOKUP('Données projet'!$B$14,Paramètres!$A$1:$I$89,5,0)</f>
        <v>269.88000000000017</v>
      </c>
      <c r="DQ79" s="13">
        <f t="shared" si="97"/>
        <v>64.823801600385877</v>
      </c>
      <c r="DR79" s="20">
        <f t="shared" si="70"/>
        <v>582.94245445400566</v>
      </c>
      <c r="DS79" s="59">
        <f t="shared" si="71"/>
        <v>876.27578778733891</v>
      </c>
      <c r="DT79" s="59">
        <f ca="1">AVERAGE(OFFSET($DS$3,0,0,'Données projet'!$E$14+1,1))-AVERAGE(OFFSET($H$3,0,0,'Données projet'!$E$14+1,1))</f>
        <v>376.33792692771908</v>
      </c>
      <c r="DU79" s="59">
        <f t="shared" si="98"/>
        <v>367.92889258044698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0.58148076458097098</v>
      </c>
      <c r="EB79" s="21">
        <f>EXP(-LN(2)/25)*EB78+(1-EXP(-LN(2)/25))/(LN(2)/25)*Calculateur!DW79*Calculateur!DY79*VLOOKUP('Données projet'!$B$14,Paramètres!$A$1:$I$89,3,0)*0.475*44/12</f>
        <v>2.3381251549901072</v>
      </c>
      <c r="EC79" s="21">
        <f>EXP(-LN(2)/2)*EC78+(1-EXP(-LN(2)/2))/(LN(2)/2)*DW79*DZ79*VLOOKUP('Données projet'!$B$14,Paramètres!$A$1:$I$89,3,0)*0.475*44/12</f>
        <v>1.5582060333134932E-6</v>
      </c>
      <c r="ED79" s="22">
        <f t="shared" si="72"/>
        <v>2.9196074777771113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294.78383999999983</v>
      </c>
      <c r="P80" s="13">
        <f t="shared" si="87"/>
        <v>70.081842199807596</v>
      </c>
      <c r="Q80" s="20">
        <f t="shared" si="54"/>
        <v>635.47439649799799</v>
      </c>
      <c r="R80" s="59">
        <f t="shared" si="55"/>
        <v>928.80772983133124</v>
      </c>
      <c r="S80" s="59">
        <f ca="1">AVERAGE(OFFSET($R$3,0,0,'Données projet'!$E$9+1,1))-AVERAGE(OFFSET($H$3,0,0,'Données projet'!$E$9+1,1))</f>
        <v>469.68830256438338</v>
      </c>
      <c r="T80" s="59">
        <f t="shared" si="88"/>
        <v>332.61387922152159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0.94954577341968482</v>
      </c>
      <c r="AA80" s="21">
        <f>EXP(-LN(2)/25)*AA79+(1-EXP(-LN(2)/25))/(LN(2)/25)*Calculateur!V80*Calculateur!X80*VLOOKUP('Données projet'!$B$9,Paramètres!$A$1:$I$89,3,0)*0.475*44/12</f>
        <v>3.0653580258461113</v>
      </c>
      <c r="AB80" s="21">
        <f>EXP(-LN(2)/2)*AB79+(1-EXP(-LN(2)/2))/(LN(2)/2)*V80*Y80*VLOOKUP('Données projet'!$B$9,Paramètres!$A$1:$I$89,3,0)*0.475*44/12</f>
        <v>1.8168104398451093E-6</v>
      </c>
      <c r="AC80" s="22">
        <f t="shared" si="57"/>
        <v>4.014905616076236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350.69111999999984</v>
      </c>
      <c r="AK80" s="13">
        <f t="shared" si="89"/>
        <v>81.704803681089643</v>
      </c>
      <c r="AL80" s="20">
        <f t="shared" si="58"/>
        <v>753.08956707789741</v>
      </c>
      <c r="AM80" s="59">
        <f t="shared" si="59"/>
        <v>1046.4229004112308</v>
      </c>
      <c r="AN80" s="59">
        <f ca="1">AVERAGE(OFFSET($AM$3,0,0,'Données projet'!$E$10+1,1))-AVERAGE(OFFSET($H$3,0,0,'Données projet'!$E$10+1,1))</f>
        <v>550.66682372933292</v>
      </c>
      <c r="AO80" s="59">
        <f t="shared" si="90"/>
        <v>387.28615589698444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1.1296320407923834</v>
      </c>
      <c r="AV80" s="21">
        <f>EXP(-LN(2)/25)*AV79+(1-EXP(-LN(2)/25))/(LN(2)/25)*Calculateur!AQ80*Calculateur!AS80*VLOOKUP('Données projet'!$B$10,Paramètres!$A$1:$I$89,3,0)*0.475*44/12</f>
        <v>3.6467190307479633</v>
      </c>
      <c r="AW80" s="21">
        <f>EXP(-LN(2)/2)*AW79+(1-EXP(-LN(2)/2))/(LN(2)/2)*AQ80*AT80*VLOOKUP('Données projet'!$B$10,Paramètres!$A$1:$I$89,3,0)*0.475*44/12</f>
        <v>2.1613779370571058E-6</v>
      </c>
      <c r="AX80" s="21">
        <f t="shared" si="60"/>
        <v>4.7763532329182841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8.5</v>
      </c>
      <c r="BD80" s="12">
        <f>IF('Données projet'!$A$88&gt;35,BD79+BC80-BL79,IF(A80&lt;'Données projet'!$A$88,$BA$205^A80,IF(A80='Données projet'!$A$88,'Données projet'!$B$88,BD79+BC80-BL79)))</f>
        <v>354.50000000000017</v>
      </c>
      <c r="BE80" s="13">
        <f>BD80*VLOOKUP('Données projet'!$B$11,Paramètres!$A$1:$I$89,3,0)*VLOOKUP('Données projet'!$B$11,Paramètres!$A$1:$I$89,5,0)</f>
        <v>276.51000000000016</v>
      </c>
      <c r="BF80" s="13">
        <f t="shared" si="91"/>
        <v>66.228934031958417</v>
      </c>
      <c r="BG80" s="20">
        <f t="shared" si="61"/>
        <v>596.93697677232785</v>
      </c>
      <c r="BH80" s="59">
        <f t="shared" si="62"/>
        <v>890.27031010566111</v>
      </c>
      <c r="BI80" s="59">
        <f ca="1">AVERAGE(OFFSET($BH$3,0,0,'Données projet'!$E$11+1,1))-AVERAGE(OFFSET($H$3,0,0,'Données projet'!$E$11+1,1))</f>
        <v>376.33792692771908</v>
      </c>
      <c r="BJ80" s="59">
        <f t="shared" si="92"/>
        <v>367.92889258044698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0.57007828145578399</v>
      </c>
      <c r="BQ80" s="21">
        <f>EXP(-LN(2)/25)*BQ79+(1-EXP(-LN(2)/25))/(LN(2)/25)*Calculateur!BL80*Calculateur!BN80*VLOOKUP('Données projet'!$B$11,Paramètres!$A$1:$I$89,3,0)*0.475*44/12</f>
        <v>2.2741889996702445</v>
      </c>
      <c r="BR80" s="21">
        <f>EXP(-LN(2)/2)*BR79+(1-EXP(-LN(2)/2))/(LN(2)/2)*BL80*BO80*VLOOKUP('Données projet'!$B$11,Paramètres!$A$1:$I$89,3,0)*0.475*44/12</f>
        <v>1.1018180526417624E-6</v>
      </c>
      <c r="BS80" s="22">
        <f t="shared" si="63"/>
        <v>2.8442683829440814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238.59576000000018</v>
      </c>
      <c r="CA80" s="13">
        <f t="shared" si="93"/>
        <v>58.137298297430824</v>
      </c>
      <c r="CB80" s="20">
        <f t="shared" si="64"/>
        <v>516.81007653469237</v>
      </c>
      <c r="CC80" s="59">
        <f t="shared" si="65"/>
        <v>810.14340986802563</v>
      </c>
      <c r="CD80" s="59">
        <f ca="1">AVERAGE(OFFSET($CC$3,0,0,'Données projet'!$E$12+1,1))-AVERAGE(OFFSET($H$3,0,0,'Données projet'!$E$12+1,1))</f>
        <v>388.50131600273431</v>
      </c>
      <c r="CE80" s="59">
        <f t="shared" si="94"/>
        <v>247.01165577562955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0.84383282322381492</v>
      </c>
      <c r="CM80" s="21">
        <f>EXP(-LN(2)/2)*CM79+(1-EXP(-LN(2)/2))/(LN(2)/2)*CG80*CJ80*VLOOKUP('Données projet'!$B$12,Paramètres!$A$1:$I$89,3,0)*0.475*44/12</f>
        <v>5.2172301280364385E-7</v>
      </c>
      <c r="CN80" s="22">
        <f t="shared" si="66"/>
        <v>0.84383334494682771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6.1</v>
      </c>
      <c r="CT80" s="12">
        <f>IF('Données projet'!$A$140&gt;35,CT79+CS80-DB79,IF(A80&lt;'Données projet'!$A$140,$CQ$205^A80,IF(A80='Données projet'!$A$140,'Données projet'!$B$140,CT79+CS80-DB79)))</f>
        <v>263.70000000000022</v>
      </c>
      <c r="CU80" s="17">
        <f>CT80*VLOOKUP('Données projet'!$B$13,Paramètres!$A$1:$I$89,3,0)*VLOOKUP('Données projet'!$B$13,Paramètres!$A$1:$I$89,5,0)</f>
        <v>283.84668000000022</v>
      </c>
      <c r="CV80" s="13">
        <f t="shared" si="95"/>
        <v>67.779276269560924</v>
      </c>
      <c r="CW80" s="20">
        <f t="shared" si="67"/>
        <v>612.4152071694856</v>
      </c>
      <c r="CX80" s="59">
        <f t="shared" si="68"/>
        <v>905.74854050281897</v>
      </c>
      <c r="CY80" s="59">
        <f ca="1">AVERAGE(OFFSET($CX$3,0,0,'Données projet'!$E$13+1,1))-AVERAGE(OFFSET($H$3,0,0,'Données projet'!$E$13+1,1))</f>
        <v>454.43000549907373</v>
      </c>
      <c r="CZ80" s="59">
        <f t="shared" si="96"/>
        <v>285.83623046025156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1.0038700828007454</v>
      </c>
      <c r="DH80" s="21">
        <f>EXP(-LN(2)/2)*DH79+(1-EXP(-LN(2)/2))/(LN(2)/2)*DB80*DE80*VLOOKUP('Données projet'!$B$13,Paramètres!$A$1:$I$89,3,0)*0.475*44/12</f>
        <v>6.2067048074916359E-7</v>
      </c>
      <c r="DI80" s="22">
        <f t="shared" si="69"/>
        <v>1.0038707034712262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8.5</v>
      </c>
      <c r="DO80" s="12">
        <f>IF('Données projet'!$A$166&gt;35,DO79+DN80-DW79,IF(A80&lt;'Données projet'!$A$166,$DL$205^A80,IF(A80='Données projet'!$A$166,'Données projet'!$B$166,DO79+DN80-DW79)))</f>
        <v>354.50000000000017</v>
      </c>
      <c r="DP80" s="17">
        <f>DO80*VLOOKUP('Données projet'!$B$14,Paramètres!$A$1:$I$89,3,0)*VLOOKUP('Données projet'!$B$14,Paramètres!$A$1:$I$89,5,0)</f>
        <v>276.51000000000016</v>
      </c>
      <c r="DQ80" s="13">
        <f t="shared" si="97"/>
        <v>66.228934031958417</v>
      </c>
      <c r="DR80" s="20">
        <f t="shared" si="70"/>
        <v>596.93697677232785</v>
      </c>
      <c r="DS80" s="59">
        <f t="shared" si="71"/>
        <v>890.27031010566111</v>
      </c>
      <c r="DT80" s="59">
        <f ca="1">AVERAGE(OFFSET($DS$3,0,0,'Données projet'!$E$14+1,1))-AVERAGE(OFFSET($H$3,0,0,'Données projet'!$E$14+1,1))</f>
        <v>376.33792692771908</v>
      </c>
      <c r="DU80" s="59">
        <f t="shared" si="98"/>
        <v>367.92889258044698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0.57007828145578399</v>
      </c>
      <c r="EB80" s="21">
        <f>EXP(-LN(2)/25)*EB79+(1-EXP(-LN(2)/25))/(LN(2)/25)*Calculateur!DW80*Calculateur!DY80*VLOOKUP('Données projet'!$B$14,Paramètres!$A$1:$I$89,3,0)*0.475*44/12</f>
        <v>2.2741889996702445</v>
      </c>
      <c r="EC80" s="21">
        <f>EXP(-LN(2)/2)*EC79+(1-EXP(-LN(2)/2))/(LN(2)/2)*DW80*DZ80*VLOOKUP('Données projet'!$B$14,Paramètres!$A$1:$I$89,3,0)*0.475*44/12</f>
        <v>1.1018180526417624E-6</v>
      </c>
      <c r="ED80" s="22">
        <f t="shared" si="72"/>
        <v>2.8442683829440814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301.47935999999982</v>
      </c>
      <c r="P81" s="13">
        <f t="shared" si="87"/>
        <v>71.486505311225272</v>
      </c>
      <c r="Q81" s="20">
        <f t="shared" si="54"/>
        <v>649.58221541705041</v>
      </c>
      <c r="R81" s="59">
        <f t="shared" si="55"/>
        <v>942.91554875038378</v>
      </c>
      <c r="S81" s="59">
        <f ca="1">AVERAGE(OFFSET($R$3,0,0,'Données projet'!$E$9+1,1))-AVERAGE(OFFSET($H$3,0,0,'Données projet'!$E$9+1,1))</f>
        <v>469.68830256438338</v>
      </c>
      <c r="T81" s="59">
        <f t="shared" si="88"/>
        <v>332.61387922152159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0.93092575996865867</v>
      </c>
      <c r="AA81" s="21">
        <f>EXP(-LN(2)/25)*AA80+(1-EXP(-LN(2)/25))/(LN(2)/25)*Calculateur!V81*Calculateur!X81*VLOOKUP('Données projet'!$B$9,Paramètres!$A$1:$I$89,3,0)*0.475*44/12</f>
        <v>2.9815356494291767</v>
      </c>
      <c r="AB81" s="21">
        <f>EXP(-LN(2)/2)*AB80+(1-EXP(-LN(2)/2))/(LN(2)/2)*V81*Y81*VLOOKUP('Données projet'!$B$9,Paramètres!$A$1:$I$89,3,0)*0.475*44/12</f>
        <v>1.284678982144991E-6</v>
      </c>
      <c r="AC81" s="22">
        <f t="shared" si="57"/>
        <v>3.9124626940768175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358.65647999999976</v>
      </c>
      <c r="AK81" s="13">
        <f t="shared" si="89"/>
        <v>83.342427923746328</v>
      </c>
      <c r="AL81" s="20">
        <f t="shared" si="58"/>
        <v>769.81476463385764</v>
      </c>
      <c r="AM81" s="59">
        <f t="shared" si="59"/>
        <v>1063.148097967191</v>
      </c>
      <c r="AN81" s="59">
        <f ca="1">AVERAGE(OFFSET($AM$3,0,0,'Données projet'!$E$10+1,1))-AVERAGE(OFFSET($H$3,0,0,'Données projet'!$E$10+1,1))</f>
        <v>550.66682372933292</v>
      </c>
      <c r="AO81" s="59">
        <f t="shared" si="90"/>
        <v>387.28615589698444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1.1074806454799559</v>
      </c>
      <c r="AV81" s="21">
        <f>EXP(-LN(2)/25)*AV80+(1-EXP(-LN(2)/25))/(LN(2)/25)*Calculateur!AQ81*Calculateur!AS81*VLOOKUP('Données projet'!$B$10,Paramètres!$A$1:$I$89,3,0)*0.475*44/12</f>
        <v>3.5469993070795409</v>
      </c>
      <c r="AW81" s="21">
        <f>EXP(-LN(2)/2)*AW80+(1-EXP(-LN(2)/2))/(LN(2)/2)*AQ81*AT81*VLOOKUP('Données projet'!$B$10,Paramètres!$A$1:$I$89,3,0)*0.475*44/12</f>
        <v>1.5283249960000704E-6</v>
      </c>
      <c r="AX81" s="21">
        <f t="shared" si="60"/>
        <v>4.6544814808844928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8.5</v>
      </c>
      <c r="BD81" s="12">
        <f>IF('Données projet'!$A$88&gt;35,BD80+BC81-BL80,IF(A81&lt;'Données projet'!$A$88,$BA$205^A81,IF(A81='Données projet'!$A$88,'Données projet'!$B$88,BD80+BC81-BL80)))</f>
        <v>363.00000000000017</v>
      </c>
      <c r="BE81" s="13">
        <f>BD81*VLOOKUP('Données projet'!$B$11,Paramètres!$A$1:$I$89,3,0)*VLOOKUP('Données projet'!$B$11,Paramètres!$A$1:$I$89,5,0)</f>
        <v>283.14000000000016</v>
      </c>
      <c r="BF81" s="13">
        <f t="shared" si="91"/>
        <v>67.630149847512001</v>
      </c>
      <c r="BG81" s="20">
        <f t="shared" si="61"/>
        <v>610.92467765108358</v>
      </c>
      <c r="BH81" s="59">
        <f t="shared" si="62"/>
        <v>904.25801098441684</v>
      </c>
      <c r="BI81" s="59">
        <f ca="1">AVERAGE(OFFSET($BH$3,0,0,'Données projet'!$E$11+1,1))-AVERAGE(OFFSET($H$3,0,0,'Données projet'!$E$11+1,1))</f>
        <v>376.33792692771908</v>
      </c>
      <c r="BJ81" s="59">
        <f t="shared" si="92"/>
        <v>367.92889258044698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0.55889939406985389</v>
      </c>
      <c r="BQ81" s="21">
        <f>EXP(-LN(2)/25)*BQ80+(1-EXP(-LN(2)/25))/(LN(2)/25)*Calculateur!BL81*Calculateur!BN81*VLOOKUP('Données projet'!$B$11,Paramètres!$A$1:$I$89,3,0)*0.475*44/12</f>
        <v>2.2120011818798599</v>
      </c>
      <c r="BR81" s="21">
        <f>EXP(-LN(2)/2)*BR80+(1-EXP(-LN(2)/2))/(LN(2)/2)*BL81*BO81*VLOOKUP('Données projet'!$B$11,Paramètres!$A$1:$I$89,3,0)*0.475*44/12</f>
        <v>7.7910301665674659E-7</v>
      </c>
      <c r="BS81" s="22">
        <f t="shared" si="63"/>
        <v>2.7709013550527306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244.11504000000019</v>
      </c>
      <c r="CA81" s="13">
        <f t="shared" si="93"/>
        <v>59.324023461759062</v>
      </c>
      <c r="CB81" s="20">
        <f t="shared" si="64"/>
        <v>528.48970219589739</v>
      </c>
      <c r="CC81" s="59">
        <f t="shared" si="65"/>
        <v>821.82303552923076</v>
      </c>
      <c r="CD81" s="59">
        <f ca="1">AVERAGE(OFFSET($CC$3,0,0,'Données projet'!$E$12+1,1))-AVERAGE(OFFSET($H$3,0,0,'Données projet'!$E$12+1,1))</f>
        <v>388.50131600273431</v>
      </c>
      <c r="CE81" s="59">
        <f t="shared" si="94"/>
        <v>247.01165577562955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0.82075817029752018</v>
      </c>
      <c r="CM81" s="21">
        <f>EXP(-LN(2)/2)*CM80+(1-EXP(-LN(2)/2))/(LN(2)/2)*CG81*CJ81*VLOOKUP('Données projet'!$B$12,Paramètres!$A$1:$I$89,3,0)*0.475*44/12</f>
        <v>3.6891388025453253E-7</v>
      </c>
      <c r="CN81" s="22">
        <f t="shared" si="66"/>
        <v>0.82075853921140041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6.1</v>
      </c>
      <c r="CT81" s="12">
        <f>IF('Données projet'!$A$140&gt;35,CT80+CS81-DB80,IF(A81&lt;'Données projet'!$A$140,$CQ$205^A81,IF(A81='Données projet'!$A$140,'Données projet'!$B$140,CT80+CS81-DB80)))</f>
        <v>269.80000000000024</v>
      </c>
      <c r="CU81" s="17">
        <f>CT81*VLOOKUP('Données projet'!$B$13,Paramètres!$A$1:$I$89,3,0)*VLOOKUP('Données projet'!$B$13,Paramètres!$A$1:$I$89,5,0)</f>
        <v>290.41272000000026</v>
      </c>
      <c r="CV81" s="13">
        <f t="shared" si="95"/>
        <v>69.162817905044847</v>
      </c>
      <c r="CW81" s="20">
        <f t="shared" si="67"/>
        <v>626.26072851795345</v>
      </c>
      <c r="CX81" s="59">
        <f t="shared" si="68"/>
        <v>919.59406185128682</v>
      </c>
      <c r="CY81" s="59">
        <f ca="1">AVERAGE(OFFSET($CX$3,0,0,'Données projet'!$E$13+1,1))-AVERAGE(OFFSET($H$3,0,0,'Données projet'!$E$13+1,1))</f>
        <v>454.43000549907373</v>
      </c>
      <c r="CZ81" s="59">
        <f t="shared" si="96"/>
        <v>285.83623046025156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0.97641920259532577</v>
      </c>
      <c r="DH81" s="21">
        <f>EXP(-LN(2)/2)*DH80+(1-EXP(-LN(2)/2))/(LN(2)/2)*DB81*DE81*VLOOKUP('Données projet'!$B$13,Paramètres!$A$1:$I$89,3,0)*0.475*44/12</f>
        <v>4.3888030582004808E-7</v>
      </c>
      <c r="DI81" s="22">
        <f t="shared" si="69"/>
        <v>0.97641964147563165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8.5</v>
      </c>
      <c r="DO81" s="12">
        <f>IF('Données projet'!$A$166&gt;35,DO80+DN81-DW80,IF(A81&lt;'Données projet'!$A$166,$DL$205^A81,IF(A81='Données projet'!$A$166,'Données projet'!$B$166,DO80+DN81-DW80)))</f>
        <v>363.00000000000017</v>
      </c>
      <c r="DP81" s="17">
        <f>DO81*VLOOKUP('Données projet'!$B$14,Paramètres!$A$1:$I$89,3,0)*VLOOKUP('Données projet'!$B$14,Paramètres!$A$1:$I$89,5,0)</f>
        <v>283.14000000000016</v>
      </c>
      <c r="DQ81" s="13">
        <f t="shared" si="97"/>
        <v>67.630149847512001</v>
      </c>
      <c r="DR81" s="20">
        <f t="shared" si="70"/>
        <v>610.92467765108358</v>
      </c>
      <c r="DS81" s="59">
        <f t="shared" si="71"/>
        <v>904.25801098441684</v>
      </c>
      <c r="DT81" s="59">
        <f ca="1">AVERAGE(OFFSET($DS$3,0,0,'Données projet'!$E$14+1,1))-AVERAGE(OFFSET($H$3,0,0,'Données projet'!$E$14+1,1))</f>
        <v>376.33792692771908</v>
      </c>
      <c r="DU81" s="59">
        <f t="shared" si="98"/>
        <v>367.92889258044698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0.55889939406985389</v>
      </c>
      <c r="EB81" s="21">
        <f>EXP(-LN(2)/25)*EB80+(1-EXP(-LN(2)/25))/(LN(2)/25)*Calculateur!DW81*Calculateur!DY81*VLOOKUP('Données projet'!$B$14,Paramètres!$A$1:$I$89,3,0)*0.475*44/12</f>
        <v>2.2120011818798599</v>
      </c>
      <c r="EC81" s="21">
        <f>EXP(-LN(2)/2)*EC80+(1-EXP(-LN(2)/2))/(LN(2)/2)*DW81*DZ81*VLOOKUP('Données projet'!$B$14,Paramètres!$A$1:$I$89,3,0)*0.475*44/12</f>
        <v>7.7910301665674659E-7</v>
      </c>
      <c r="ED81" s="22">
        <f t="shared" si="72"/>
        <v>2.7709013550527306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308.1748799999998</v>
      </c>
      <c r="P82" s="13">
        <f t="shared" si="87"/>
        <v>72.887541582684676</v>
      </c>
      <c r="Q82" s="20">
        <f t="shared" si="54"/>
        <v>663.6837175898421</v>
      </c>
      <c r="R82" s="59">
        <f t="shared" si="55"/>
        <v>957.01705092317547</v>
      </c>
      <c r="S82" s="59">
        <f ca="1">AVERAGE(OFFSET($R$3,0,0,'Données projet'!$E$9+1,1))-AVERAGE(OFFSET($H$3,0,0,'Données projet'!$E$9+1,1))</f>
        <v>469.68830256438338</v>
      </c>
      <c r="T82" s="59">
        <f t="shared" si="88"/>
        <v>332.61387922152159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0.91267087362432042</v>
      </c>
      <c r="AA82" s="21">
        <f>EXP(-LN(2)/25)*AA81+(1-EXP(-LN(2)/25))/(LN(2)/25)*Calculateur!V82*Calculateur!X82*VLOOKUP('Données projet'!$B$9,Paramètres!$A$1:$I$89,3,0)*0.475*44/12</f>
        <v>2.9000054003033906</v>
      </c>
      <c r="AB82" s="21">
        <f>EXP(-LN(2)/2)*AB81+(1-EXP(-LN(2)/2))/(LN(2)/2)*V82*Y82*VLOOKUP('Données projet'!$B$9,Paramètres!$A$1:$I$89,3,0)*0.475*44/12</f>
        <v>9.0840521992255487E-7</v>
      </c>
      <c r="AC82" s="22">
        <f t="shared" si="57"/>
        <v>3.8126771823329308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366.62183999999974</v>
      </c>
      <c r="AK82" s="13">
        <f t="shared" si="89"/>
        <v>84.975823820836339</v>
      </c>
      <c r="AL82" s="20">
        <f t="shared" si="58"/>
        <v>786.53259782128953</v>
      </c>
      <c r="AM82" s="59">
        <f t="shared" si="59"/>
        <v>1079.8659311546228</v>
      </c>
      <c r="AN82" s="59">
        <f ca="1">AVERAGE(OFFSET($AM$3,0,0,'Données projet'!$E$10+1,1))-AVERAGE(OFFSET($H$3,0,0,'Données projet'!$E$10+1,1))</f>
        <v>550.66682372933292</v>
      </c>
      <c r="AO82" s="59">
        <f t="shared" si="90"/>
        <v>387.28615589698444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1.0857636255185881</v>
      </c>
      <c r="AV82" s="21">
        <f>EXP(-LN(2)/25)*AV81+(1-EXP(-LN(2)/25))/(LN(2)/25)*Calculateur!AQ82*Calculateur!AS82*VLOOKUP('Données projet'!$B$10,Paramètres!$A$1:$I$89,3,0)*0.475*44/12</f>
        <v>3.4500064244988642</v>
      </c>
      <c r="AW82" s="21">
        <f>EXP(-LN(2)/2)*AW81+(1-EXP(-LN(2)/2))/(LN(2)/2)*AQ82*AT82*VLOOKUP('Données projet'!$B$10,Paramètres!$A$1:$I$89,3,0)*0.475*44/12</f>
        <v>1.0806889685285529E-6</v>
      </c>
      <c r="AX82" s="21">
        <f t="shared" si="60"/>
        <v>4.5357711307064212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8.5</v>
      </c>
      <c r="BD82" s="12">
        <f>IF('Données projet'!$A$88&gt;35,BD81+BC82-BL81,IF(A82&lt;'Données projet'!$A$88,$BA$205^A82,IF(A82='Données projet'!$A$88,'Données projet'!$B$88,BD81+BC82-BL81)))</f>
        <v>371.50000000000017</v>
      </c>
      <c r="BE82" s="13">
        <f>BD82*VLOOKUP('Données projet'!$B$11,Paramètres!$A$1:$I$89,3,0)*VLOOKUP('Données projet'!$B$11,Paramètres!$A$1:$I$89,5,0)</f>
        <v>289.77000000000015</v>
      </c>
      <c r="BF82" s="13">
        <f t="shared" si="91"/>
        <v>69.027551313132406</v>
      </c>
      <c r="BG82" s="20">
        <f t="shared" si="61"/>
        <v>624.90573520370583</v>
      </c>
      <c r="BH82" s="59">
        <f t="shared" si="62"/>
        <v>918.2390685370392</v>
      </c>
      <c r="BI82" s="59">
        <f ca="1">AVERAGE(OFFSET($BH$3,0,0,'Données projet'!$E$11+1,1))-AVERAGE(OFFSET($H$3,0,0,'Données projet'!$E$11+1,1))</f>
        <v>376.33792692771908</v>
      </c>
      <c r="BJ82" s="59">
        <f t="shared" si="92"/>
        <v>367.92889258044698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0.54793971784711382</v>
      </c>
      <c r="BQ82" s="21">
        <f>EXP(-LN(2)/25)*BQ81+(1-EXP(-LN(2)/25))/(LN(2)/25)*Calculateur!BL82*Calculateur!BN82*VLOOKUP('Données projet'!$B$11,Paramètres!$A$1:$I$89,3,0)*0.475*44/12</f>
        <v>2.1515138932372686</v>
      </c>
      <c r="BR82" s="21">
        <f>EXP(-LN(2)/2)*BR81+(1-EXP(-LN(2)/2))/(LN(2)/2)*BL82*BO82*VLOOKUP('Données projet'!$B$11,Paramètres!$A$1:$I$89,3,0)*0.475*44/12</f>
        <v>5.5090902632088119E-7</v>
      </c>
      <c r="BS82" s="22">
        <f t="shared" si="63"/>
        <v>2.6994541619934087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249.63432000000023</v>
      </c>
      <c r="CA82" s="13">
        <f t="shared" si="93"/>
        <v>60.507629314318471</v>
      </c>
      <c r="CB82" s="20">
        <f t="shared" si="64"/>
        <v>540.16389505577172</v>
      </c>
      <c r="CC82" s="59">
        <f t="shared" si="65"/>
        <v>833.49722838910498</v>
      </c>
      <c r="CD82" s="59">
        <f ca="1">AVERAGE(OFFSET($CC$3,0,0,'Données projet'!$E$12+1,1))-AVERAGE(OFFSET($H$3,0,0,'Données projet'!$E$12+1,1))</f>
        <v>388.50131600273431</v>
      </c>
      <c r="CE82" s="59">
        <f t="shared" si="94"/>
        <v>247.01165577562955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0.79831449496893814</v>
      </c>
      <c r="CM82" s="21">
        <f>EXP(-LN(2)/2)*CM81+(1-EXP(-LN(2)/2))/(LN(2)/2)*CG82*CJ82*VLOOKUP('Données projet'!$B$12,Paramètres!$A$1:$I$89,3,0)*0.475*44/12</f>
        <v>2.6086150640182193E-7</v>
      </c>
      <c r="CN82" s="22">
        <f t="shared" si="66"/>
        <v>0.79831475583044453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6.1</v>
      </c>
      <c r="CT82" s="12">
        <f>IF('Données projet'!$A$140&gt;35,CT81+CS82-DB81,IF(A82&lt;'Données projet'!$A$140,$CQ$205^A82,IF(A82='Données projet'!$A$140,'Données projet'!$B$140,CT81+CS82-DB81)))</f>
        <v>275.90000000000026</v>
      </c>
      <c r="CU82" s="17">
        <f>CT82*VLOOKUP('Données projet'!$B$13,Paramètres!$A$1:$I$89,3,0)*VLOOKUP('Données projet'!$B$13,Paramètres!$A$1:$I$89,5,0)</f>
        <v>296.97876000000031</v>
      </c>
      <c r="CV82" s="13">
        <f t="shared" si="95"/>
        <v>70.542722895890194</v>
      </c>
      <c r="CW82" s="20">
        <f t="shared" si="67"/>
        <v>640.09991604367588</v>
      </c>
      <c r="CX82" s="59">
        <f t="shared" si="68"/>
        <v>933.43324937700913</v>
      </c>
      <c r="CY82" s="59">
        <f ca="1">AVERAGE(OFFSET($CX$3,0,0,'Données projet'!$E$13+1,1))-AVERAGE(OFFSET($H$3,0,0,'Données projet'!$E$13+1,1))</f>
        <v>454.43000549907373</v>
      </c>
      <c r="CZ82" s="59">
        <f t="shared" si="96"/>
        <v>285.83623046025156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0.9497189681527024</v>
      </c>
      <c r="DH82" s="21">
        <f>EXP(-LN(2)/2)*DH81+(1-EXP(-LN(2)/2))/(LN(2)/2)*DB82*DE82*VLOOKUP('Données projet'!$B$13,Paramètres!$A$1:$I$89,3,0)*0.475*44/12</f>
        <v>3.103352403745818E-7</v>
      </c>
      <c r="DI82" s="22">
        <f t="shared" si="69"/>
        <v>0.9497192784879428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8.5</v>
      </c>
      <c r="DO82" s="12">
        <f>IF('Données projet'!$A$166&gt;35,DO81+DN82-DW81,IF(A82&lt;'Données projet'!$A$166,$DL$205^A82,IF(A82='Données projet'!$A$166,'Données projet'!$B$166,DO81+DN82-DW81)))</f>
        <v>371.50000000000017</v>
      </c>
      <c r="DP82" s="17">
        <f>DO82*VLOOKUP('Données projet'!$B$14,Paramètres!$A$1:$I$89,3,0)*VLOOKUP('Données projet'!$B$14,Paramètres!$A$1:$I$89,5,0)</f>
        <v>289.77000000000015</v>
      </c>
      <c r="DQ82" s="13">
        <f t="shared" si="97"/>
        <v>69.027551313132406</v>
      </c>
      <c r="DR82" s="20">
        <f t="shared" si="70"/>
        <v>624.90573520370583</v>
      </c>
      <c r="DS82" s="59">
        <f t="shared" si="71"/>
        <v>918.2390685370392</v>
      </c>
      <c r="DT82" s="59">
        <f ca="1">AVERAGE(OFFSET($DS$3,0,0,'Données projet'!$E$14+1,1))-AVERAGE(OFFSET($H$3,0,0,'Données projet'!$E$14+1,1))</f>
        <v>376.33792692771908</v>
      </c>
      <c r="DU82" s="59">
        <f t="shared" si="98"/>
        <v>367.92889258044698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0.54793971784711382</v>
      </c>
      <c r="EB82" s="21">
        <f>EXP(-LN(2)/25)*EB81+(1-EXP(-LN(2)/25))/(LN(2)/25)*Calculateur!DW82*Calculateur!DY82*VLOOKUP('Données projet'!$B$14,Paramètres!$A$1:$I$89,3,0)*0.475*44/12</f>
        <v>2.1515138932372686</v>
      </c>
      <c r="EC82" s="21">
        <f>EXP(-LN(2)/2)*EC81+(1-EXP(-LN(2)/2))/(LN(2)/2)*DW82*DZ82*VLOOKUP('Données projet'!$B$14,Paramètres!$A$1:$I$89,3,0)*0.475*44/12</f>
        <v>5.5090902632088119E-7</v>
      </c>
      <c r="ED82" s="22">
        <f t="shared" si="72"/>
        <v>2.6994541619934087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314.87039999999979</v>
      </c>
      <c r="P83" s="13">
        <f t="shared" si="87"/>
        <v>74.285038887149881</v>
      </c>
      <c r="Q83" s="20">
        <f t="shared" si="54"/>
        <v>677.7790560617857</v>
      </c>
      <c r="R83" s="59">
        <f t="shared" si="55"/>
        <v>971.11238939511895</v>
      </c>
      <c r="S83" s="59">
        <f ca="1">AVERAGE(OFFSET($R$3,0,0,'Données projet'!$E$9+1,1))-AVERAGE(OFFSET($H$3,0,0,'Données projet'!$E$9+1,1))</f>
        <v>469.68830256438338</v>
      </c>
      <c r="T83" s="59">
        <f t="shared" si="88"/>
        <v>332.61387922152159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0.8947739544668134</v>
      </c>
      <c r="AA83" s="21">
        <f>EXP(-LN(2)/25)*AA82+(1-EXP(-LN(2)/25))/(LN(2)/25)*Calculateur!V83*Calculateur!X83*VLOOKUP('Données projet'!$B$9,Paramètres!$A$1:$I$89,3,0)*0.475*44/12</f>
        <v>2.8207046001274385</v>
      </c>
      <c r="AB83" s="21">
        <f>EXP(-LN(2)/2)*AB82+(1-EXP(-LN(2)/2))/(LN(2)/2)*V83*Y83*VLOOKUP('Données projet'!$B$9,Paramètres!$A$1:$I$89,3,0)*0.475*44/12</f>
        <v>6.4233949107249562E-7</v>
      </c>
      <c r="AC83" s="22">
        <f t="shared" si="57"/>
        <v>3.7154791969337428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374.58719999999977</v>
      </c>
      <c r="AK83" s="13">
        <f t="shared" si="89"/>
        <v>86.605093818914398</v>
      </c>
      <c r="AL83" s="20">
        <f t="shared" si="58"/>
        <v>803.2432450679421</v>
      </c>
      <c r="AM83" s="59">
        <f t="shared" si="59"/>
        <v>1096.5765784012754</v>
      </c>
      <c r="AN83" s="59">
        <f ca="1">AVERAGE(OFFSET($AM$3,0,0,'Données projet'!$E$10+1,1))-AVERAGE(OFFSET($H$3,0,0,'Données projet'!$E$10+1,1))</f>
        <v>550.66682372933292</v>
      </c>
      <c r="AO83" s="59">
        <f t="shared" si="90"/>
        <v>387.28615589698444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1.0644724630725884</v>
      </c>
      <c r="AV83" s="21">
        <f>EXP(-LN(2)/25)*AV82+(1-EXP(-LN(2)/25))/(LN(2)/25)*Calculateur!AQ83*Calculateur!AS83*VLOOKUP('Données projet'!$B$10,Paramètres!$A$1:$I$89,3,0)*0.475*44/12</f>
        <v>3.3556658173929899</v>
      </c>
      <c r="AW83" s="21">
        <f>EXP(-LN(2)/2)*AW82+(1-EXP(-LN(2)/2))/(LN(2)/2)*AQ83*AT83*VLOOKUP('Données projet'!$B$10,Paramètres!$A$1:$I$89,3,0)*0.475*44/12</f>
        <v>7.641624980000352E-7</v>
      </c>
      <c r="AX83" s="21">
        <f t="shared" si="60"/>
        <v>4.4201390446280762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380</v>
      </c>
      <c r="BB83" s="12">
        <f>VLOOKUP(A83,'Données projet'!$A$87:$I$107,9,0)</f>
        <v>8.5</v>
      </c>
      <c r="BC83" s="12">
        <f t="array" ref="BC83">INDEX(BB:BB,MIN(IF(ISNUMBER(BB83:BB279),ROW(BB83:BB279),"")))</f>
        <v>8.5</v>
      </c>
      <c r="BD83" s="12">
        <f>IF('Données projet'!$A$88&gt;35,BD82+BC83-BL82,IF(A83&lt;'Données projet'!$A$88,$BA$205^A83,IF(A83='Données projet'!$A$88,'Données projet'!$B$88,BD82+BC83-BL82)))</f>
        <v>380.00000000000017</v>
      </c>
      <c r="BE83" s="13">
        <f>BD83*VLOOKUP('Données projet'!$B$11,Paramètres!$A$1:$I$89,3,0)*VLOOKUP('Données projet'!$B$11,Paramètres!$A$1:$I$89,5,0)</f>
        <v>296.40000000000015</v>
      </c>
      <c r="BF83" s="13">
        <f t="shared" si="91"/>
        <v>70.421235748094688</v>
      </c>
      <c r="BG83" s="20">
        <f t="shared" si="61"/>
        <v>638.88031892793185</v>
      </c>
      <c r="BH83" s="59">
        <f t="shared" si="62"/>
        <v>932.21365226126522</v>
      </c>
      <c r="BI83" s="59">
        <f ca="1">AVERAGE(OFFSET($BH$3,0,0,'Données projet'!$E$11+1,1))-AVERAGE(OFFSET($H$3,0,0,'Données projet'!$E$11+1,1))</f>
        <v>376.33792692771908</v>
      </c>
      <c r="BJ83" s="59">
        <f t="shared" si="92"/>
        <v>367.92889258044698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380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0.53719495419035923</v>
      </c>
      <c r="BQ83" s="21">
        <f>EXP(-LN(2)/25)*BQ82+(1-EXP(-LN(2)/25))/(LN(2)/25)*Calculateur!BL83*Calculateur!BN83*VLOOKUP('Données projet'!$B$11,Paramètres!$A$1:$I$89,3,0)*0.475*44/12</f>
        <v>2.0926806326834972</v>
      </c>
      <c r="BR83" s="21">
        <f>EXP(-LN(2)/2)*BR82+(1-EXP(-LN(2)/2))/(LN(2)/2)*BL83*BO83*VLOOKUP('Données projet'!$B$11,Paramètres!$A$1:$I$89,3,0)*0.475*44/12</f>
        <v>3.8955150832837329E-7</v>
      </c>
      <c r="BS83" s="22">
        <f t="shared" si="63"/>
        <v>2.6298759764253647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255.15360000000024</v>
      </c>
      <c r="CA83" s="13">
        <f t="shared" si="93"/>
        <v>61.688192762754483</v>
      </c>
      <c r="CB83" s="20">
        <f t="shared" si="64"/>
        <v>551.83278906179783</v>
      </c>
      <c r="CC83" s="59">
        <f t="shared" si="65"/>
        <v>845.1661223951312</v>
      </c>
      <c r="CD83" s="59">
        <f ca="1">AVERAGE(OFFSET($CC$3,0,0,'Données projet'!$E$12+1,1))-AVERAGE(OFFSET($H$3,0,0,'Données projet'!$E$12+1,1))</f>
        <v>388.50131600273431</v>
      </c>
      <c r="CE83" s="59">
        <f t="shared" si="94"/>
        <v>247.01165577562955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0.77648454312247783</v>
      </c>
      <c r="CM83" s="21">
        <f>EXP(-LN(2)/2)*CM82+(1-EXP(-LN(2)/2))/(LN(2)/2)*CG83*CJ83*VLOOKUP('Données projet'!$B$12,Paramètres!$A$1:$I$89,3,0)*0.475*44/12</f>
        <v>1.8445694012726627E-7</v>
      </c>
      <c r="CN83" s="22">
        <f t="shared" si="66"/>
        <v>0.776484727579418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282</v>
      </c>
      <c r="CR83" s="12">
        <f>VLOOKUP(A83,'Données projet'!$A$139:$I$159,9,0)</f>
        <v>6.1</v>
      </c>
      <c r="CS83" s="12">
        <f t="array" ref="CS83">INDEX(CR:CR,MIN(IF(ISNUMBER(CR83:CR279),ROW(CR83:CR279),"")))</f>
        <v>6.1</v>
      </c>
      <c r="CT83" s="12">
        <f>IF('Données projet'!$A$140&gt;35,CT82+CS83-DB82,IF(A83&lt;'Données projet'!$A$140,$CQ$205^A83,IF(A83='Données projet'!$A$140,'Données projet'!$B$140,CT82+CS83-DB82)))</f>
        <v>282.00000000000028</v>
      </c>
      <c r="CU83" s="17">
        <f>CT83*VLOOKUP('Données projet'!$B$13,Paramètres!$A$1:$I$89,3,0)*VLOOKUP('Données projet'!$B$13,Paramètres!$A$1:$I$89,5,0)</f>
        <v>303.54480000000029</v>
      </c>
      <c r="CV83" s="13">
        <f t="shared" si="95"/>
        <v>71.919080904752576</v>
      </c>
      <c r="CW83" s="20">
        <f t="shared" si="67"/>
        <v>653.93292590911119</v>
      </c>
      <c r="CX83" s="59">
        <f t="shared" si="68"/>
        <v>947.26625924244445</v>
      </c>
      <c r="CY83" s="59">
        <f ca="1">AVERAGE(OFFSET($CX$3,0,0,'Données projet'!$E$13+1,1))-AVERAGE(OFFSET($H$3,0,0,'Données projet'!$E$13+1,1))</f>
        <v>454.43000549907373</v>
      </c>
      <c r="CZ83" s="59">
        <f t="shared" si="96"/>
        <v>285.83623046025156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0.92374885302501686</v>
      </c>
      <c r="DH83" s="21">
        <f>EXP(-LN(2)/2)*DH82+(1-EXP(-LN(2)/2))/(LN(2)/2)*DB83*DE83*VLOOKUP('Données projet'!$B$13,Paramètres!$A$1:$I$89,3,0)*0.475*44/12</f>
        <v>2.1944015291002404E-7</v>
      </c>
      <c r="DI83" s="22">
        <f t="shared" si="69"/>
        <v>0.9237490724651698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380</v>
      </c>
      <c r="DM83" s="12">
        <f>VLOOKUP(A83,'Données projet'!$A$165:$I$185,9,0)</f>
        <v>8.5</v>
      </c>
      <c r="DN83" s="12">
        <f t="array" ref="DN83">INDEX(DM:DM,MIN(IF(ISNUMBER(DM83:DM279),ROW(DM83:DM279),"")))</f>
        <v>8.5</v>
      </c>
      <c r="DO83" s="12">
        <f>IF('Données projet'!$A$166&gt;35,DO82+DN83-DW82,IF(A83&lt;'Données projet'!$A$166,$DL$205^A83,IF(A83='Données projet'!$A$166,'Données projet'!$B$166,DO82+DN83-DW82)))</f>
        <v>380.00000000000017</v>
      </c>
      <c r="DP83" s="17">
        <f>DO83*VLOOKUP('Données projet'!$B$14,Paramètres!$A$1:$I$89,3,0)*VLOOKUP('Données projet'!$B$14,Paramètres!$A$1:$I$89,5,0)</f>
        <v>296.40000000000015</v>
      </c>
      <c r="DQ83" s="13">
        <f t="shared" si="97"/>
        <v>70.421235748094688</v>
      </c>
      <c r="DR83" s="20">
        <f t="shared" si="70"/>
        <v>638.88031892793185</v>
      </c>
      <c r="DS83" s="59">
        <f t="shared" si="71"/>
        <v>932.21365226126522</v>
      </c>
      <c r="DT83" s="59">
        <f ca="1">AVERAGE(OFFSET($DS$3,0,0,'Données projet'!$E$14+1,1))-AVERAGE(OFFSET($H$3,0,0,'Données projet'!$E$14+1,1))</f>
        <v>376.33792692771908</v>
      </c>
      <c r="DU83" s="59">
        <f t="shared" si="98"/>
        <v>367.92889258044698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380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0.53719495419035923</v>
      </c>
      <c r="EB83" s="21">
        <f>EXP(-LN(2)/25)*EB82+(1-EXP(-LN(2)/25))/(LN(2)/25)*Calculateur!DW83*Calculateur!DY83*VLOOKUP('Données projet'!$B$14,Paramètres!$A$1:$I$89,3,0)*0.475*44/12</f>
        <v>2.0926806326834972</v>
      </c>
      <c r="EC83" s="21">
        <f>EXP(-LN(2)/2)*EC82+(1-EXP(-LN(2)/2))/(LN(2)/2)*DW83*DZ83*VLOOKUP('Données projet'!$B$14,Paramètres!$A$1:$I$89,3,0)*0.475*44/12</f>
        <v>3.8955150832837329E-7</v>
      </c>
      <c r="ED83" s="22">
        <f t="shared" si="72"/>
        <v>2.6298759764253647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270.17327999999981</v>
      </c>
      <c r="P84" s="13">
        <f t="shared" si="87"/>
        <v>64.886042303882988</v>
      </c>
      <c r="Q84" s="20">
        <f t="shared" si="54"/>
        <v>583.56165301259591</v>
      </c>
      <c r="R84" s="59">
        <f t="shared" si="55"/>
        <v>876.89498634592928</v>
      </c>
      <c r="S84" s="59">
        <f ca="1">AVERAGE(OFFSET($R$3,0,0,'Données projet'!$E$9+1,1))-AVERAGE(OFFSET($H$3,0,0,'Données projet'!$E$9+1,1))</f>
        <v>469.68830256438338</v>
      </c>
      <c r="T84" s="59">
        <f t="shared" si="88"/>
        <v>332.61387922152159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0.87722798297794224</v>
      </c>
      <c r="AA84" s="21">
        <f>EXP(-LN(2)/25)*AA83+(1-EXP(-LN(2)/25))/(LN(2)/25)*Calculateur!V84*Calculateur!X84*VLOOKUP('Données projet'!$B$9,Paramètres!$A$1:$I$89,3,0)*0.475*44/12</f>
        <v>2.7435722845025454</v>
      </c>
      <c r="AB84" s="21">
        <f>EXP(-LN(2)/2)*AB83+(1-EXP(-LN(2)/2))/(LN(2)/2)*V84*Y84*VLOOKUP('Données projet'!$B$9,Paramètres!$A$1:$I$89,3,0)*0.475*44/12</f>
        <v>4.5420260996127749E-7</v>
      </c>
      <c r="AC84" s="22">
        <f t="shared" si="57"/>
        <v>3.6208007216830973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321.4130399999998</v>
      </c>
      <c r="AK84" s="13">
        <f t="shared" si="89"/>
        <v>75.647288679523129</v>
      </c>
      <c r="AL84" s="20">
        <f t="shared" si="58"/>
        <v>691.54673911683574</v>
      </c>
      <c r="AM84" s="59">
        <f t="shared" si="59"/>
        <v>984.88007245016911</v>
      </c>
      <c r="AN84" s="59">
        <f ca="1">AVERAGE(OFFSET($AM$3,0,0,'Données projet'!$E$10+1,1))-AVERAGE(OFFSET($H$3,0,0,'Données projet'!$E$10+1,1))</f>
        <v>550.66682372933292</v>
      </c>
      <c r="AO84" s="59">
        <f t="shared" si="90"/>
        <v>387.28615589698444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1.0435988073358278</v>
      </c>
      <c r="AV84" s="21">
        <f>EXP(-LN(2)/25)*AV83+(1-EXP(-LN(2)/25))/(LN(2)/25)*Calculateur!AQ84*Calculateur!AS84*VLOOKUP('Données projet'!$B$10,Paramètres!$A$1:$I$89,3,0)*0.475*44/12</f>
        <v>3.2639049591495826</v>
      </c>
      <c r="AW84" s="21">
        <f>EXP(-LN(2)/2)*AW83+(1-EXP(-LN(2)/2))/(LN(2)/2)*AQ84*AT84*VLOOKUP('Données projet'!$B$10,Paramètres!$A$1:$I$89,3,0)*0.475*44/12</f>
        <v>5.4034448426427644E-7</v>
      </c>
      <c r="AX84" s="21">
        <f t="shared" si="60"/>
        <v>4.3075043068298946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1.7053025658242404E-13</v>
      </c>
      <c r="BE84" s="13">
        <f>BD84*VLOOKUP('Données projet'!$B$11,Paramètres!$A$1:$I$89,3,0)*VLOOKUP('Données projet'!$B$11,Paramètres!$A$1:$I$89,5,0)</f>
        <v>1.3301360013429075E-13</v>
      </c>
      <c r="BF84" s="13">
        <f t="shared" si="91"/>
        <v>1.9329766731057041E-12</v>
      </c>
      <c r="BG84" s="20">
        <f t="shared" si="61"/>
        <v>3.5982663925596575E-12</v>
      </c>
      <c r="BH84" s="59">
        <f t="shared" si="62"/>
        <v>293.3333333333369</v>
      </c>
      <c r="BI84" s="59">
        <f ca="1">AVERAGE(OFFSET($BH$3,0,0,'Données projet'!$E$11+1,1))-AVERAGE(OFFSET($H$3,0,0,'Données projet'!$E$11+1,1))</f>
        <v>376.33792692771908</v>
      </c>
      <c r="BJ84" s="59">
        <f t="shared" si="92"/>
        <v>367.92889258044698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0.52666088879525497</v>
      </c>
      <c r="BQ84" s="21">
        <f>EXP(-LN(2)/25)*BQ83+(1-EXP(-LN(2)/25))/(LN(2)/25)*Calculateur!BL84*Calculateur!BN84*VLOOKUP('Données projet'!$B$11,Paramètres!$A$1:$I$89,3,0)*0.475*44/12</f>
        <v>2.0354561707334753</v>
      </c>
      <c r="BR84" s="21">
        <f>EXP(-LN(2)/2)*BR83+(1-EXP(-LN(2)/2))/(LN(2)/2)*BL84*BO84*VLOOKUP('Données projet'!$B$11,Paramètres!$A$1:$I$89,3,0)*0.475*44/12</f>
        <v>2.7545451316044059E-7</v>
      </c>
      <c r="BS84" s="22">
        <f t="shared" si="63"/>
        <v>2.5621173349832431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222.2188800000003</v>
      </c>
      <c r="CA84" s="13">
        <f t="shared" si="93"/>
        <v>54.596866296848951</v>
      </c>
      <c r="CB84" s="20">
        <f t="shared" si="64"/>
        <v>482.12075813367898</v>
      </c>
      <c r="CC84" s="59">
        <f t="shared" si="65"/>
        <v>775.45409146701229</v>
      </c>
      <c r="CD84" s="59">
        <f ca="1">AVERAGE(OFFSET($CC$3,0,0,'Données projet'!$E$12+1,1))-AVERAGE(OFFSET($H$3,0,0,'Données projet'!$E$12+1,1))</f>
        <v>388.50131600273431</v>
      </c>
      <c r="CE84" s="59">
        <f t="shared" si="94"/>
        <v>247.01165577562955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0.75525153245724619</v>
      </c>
      <c r="CM84" s="21">
        <f>EXP(-LN(2)/2)*CM83+(1-EXP(-LN(2)/2))/(LN(2)/2)*CG84*CJ84*VLOOKUP('Données projet'!$B$12,Paramètres!$A$1:$I$89,3,0)*0.475*44/12</f>
        <v>1.3043075320091096E-7</v>
      </c>
      <c r="CN84" s="22">
        <f t="shared" si="66"/>
        <v>0.75525166288799939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5.6</v>
      </c>
      <c r="CT84" s="12">
        <f>IF('Données projet'!$A$140&gt;35,CT83+CS84-DB83,IF(A84&lt;'Données projet'!$A$140,$CQ$205^A84,IF(A84='Données projet'!$A$140,'Données projet'!$B$140,CT83+CS84-DB83)))</f>
        <v>245.60000000000031</v>
      </c>
      <c r="CU84" s="17">
        <f>CT84*VLOOKUP('Données projet'!$B$13,Paramètres!$A$1:$I$89,3,0)*VLOOKUP('Données projet'!$B$13,Paramètres!$A$1:$I$89,5,0)</f>
        <v>264.36384000000032</v>
      </c>
      <c r="CV84" s="13">
        <f t="shared" si="95"/>
        <v>63.651669282160874</v>
      </c>
      <c r="CW84" s="20">
        <f t="shared" si="67"/>
        <v>571.29367866643076</v>
      </c>
      <c r="CX84" s="59">
        <f t="shared" si="68"/>
        <v>864.62701199976414</v>
      </c>
      <c r="CY84" s="59">
        <f ca="1">AVERAGE(OFFSET($CX$3,0,0,'Données projet'!$E$13+1,1))-AVERAGE(OFFSET($H$3,0,0,'Données projet'!$E$13+1,1))</f>
        <v>454.43000549907373</v>
      </c>
      <c r="CZ84" s="59">
        <f t="shared" si="96"/>
        <v>285.83623046025156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0.89848889206120686</v>
      </c>
      <c r="DH84" s="21">
        <f>EXP(-LN(2)/2)*DH83+(1-EXP(-LN(2)/2))/(LN(2)/2)*DB84*DE84*VLOOKUP('Données projet'!$B$13,Paramètres!$A$1:$I$89,3,0)*0.475*44/12</f>
        <v>1.551676201872909E-7</v>
      </c>
      <c r="DI84" s="22">
        <f t="shared" si="69"/>
        <v>0.89848904722882705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1.7053025658242404E-13</v>
      </c>
      <c r="DP84" s="17">
        <f>DO84*VLOOKUP('Données projet'!$B$14,Paramètres!$A$1:$I$89,3,0)*VLOOKUP('Données projet'!$B$14,Paramètres!$A$1:$I$89,5,0)</f>
        <v>1.3301360013429075E-13</v>
      </c>
      <c r="DQ84" s="13">
        <f t="shared" si="97"/>
        <v>1.9329766731057041E-12</v>
      </c>
      <c r="DR84" s="20">
        <f t="shared" si="70"/>
        <v>3.5982663925596575E-12</v>
      </c>
      <c r="DS84" s="59">
        <f t="shared" si="71"/>
        <v>293.3333333333369</v>
      </c>
      <c r="DT84" s="59">
        <f ca="1">AVERAGE(OFFSET($DS$3,0,0,'Données projet'!$E$14+1,1))-AVERAGE(OFFSET($H$3,0,0,'Données projet'!$E$14+1,1))</f>
        <v>376.33792692771908</v>
      </c>
      <c r="DU84" s="59">
        <f t="shared" si="98"/>
        <v>367.92889258044698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0.52666088879525497</v>
      </c>
      <c r="EB84" s="21">
        <f>EXP(-LN(2)/25)*EB83+(1-EXP(-LN(2)/25))/(LN(2)/25)*Calculateur!DW84*Calculateur!DY84*VLOOKUP('Données projet'!$B$14,Paramètres!$A$1:$I$89,3,0)*0.475*44/12</f>
        <v>2.0354561707334753</v>
      </c>
      <c r="EC84" s="21">
        <f>EXP(-LN(2)/2)*EC83+(1-EXP(-LN(2)/2))/(LN(2)/2)*DW84*DZ84*VLOOKUP('Données projet'!$B$14,Paramètres!$A$1:$I$89,3,0)*0.475*44/12</f>
        <v>2.7545451316044059E-7</v>
      </c>
      <c r="ED84" s="22">
        <f t="shared" si="72"/>
        <v>2.5621173349832431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276.1449599999998</v>
      </c>
      <c r="P85" s="13">
        <f t="shared" si="87"/>
        <v>66.151671938851194</v>
      </c>
      <c r="Q85" s="20">
        <f t="shared" si="54"/>
        <v>596.16663396016543</v>
      </c>
      <c r="R85" s="59">
        <f t="shared" si="55"/>
        <v>889.49996729349868</v>
      </c>
      <c r="S85" s="59">
        <f ca="1">AVERAGE(OFFSET($R$3,0,0,'Données projet'!$E$9+1,1))-AVERAGE(OFFSET($H$3,0,0,'Données projet'!$E$9+1,1))</f>
        <v>469.68830256438338</v>
      </c>
      <c r="T85" s="59">
        <f t="shared" si="88"/>
        <v>332.61387922152159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0.86002607728798197</v>
      </c>
      <c r="AA85" s="21">
        <f>EXP(-LN(2)/25)*AA84+(1-EXP(-LN(2)/25))/(LN(2)/25)*Calculateur!V85*Calculateur!X85*VLOOKUP('Données projet'!$B$9,Paramètres!$A$1:$I$89,3,0)*0.475*44/12</f>
        <v>2.6685491561046275</v>
      </c>
      <c r="AB85" s="21">
        <f>EXP(-LN(2)/2)*AB84+(1-EXP(-LN(2)/2))/(LN(2)/2)*V85*Y85*VLOOKUP('Données projet'!$B$9,Paramètres!$A$1:$I$89,3,0)*0.475*44/12</f>
        <v>3.2116974553624786E-7</v>
      </c>
      <c r="AC85" s="22">
        <f t="shared" si="57"/>
        <v>3.5285755545623547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328.5172799999998</v>
      </c>
      <c r="AK85" s="13">
        <f t="shared" si="89"/>
        <v>77.122820965949401</v>
      </c>
      <c r="AL85" s="20">
        <f t="shared" si="58"/>
        <v>706.48984251569482</v>
      </c>
      <c r="AM85" s="59">
        <f t="shared" si="59"/>
        <v>999.82317584902808</v>
      </c>
      <c r="AN85" s="59">
        <f ca="1">AVERAGE(OFFSET($AM$3,0,0,'Données projet'!$E$10+1,1))-AVERAGE(OFFSET($H$3,0,0,'Données projet'!$E$10+1,1))</f>
        <v>550.66682372933292</v>
      </c>
      <c r="AO85" s="59">
        <f t="shared" si="90"/>
        <v>387.28615589698444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1.0231344712563923</v>
      </c>
      <c r="AV85" s="21">
        <f>EXP(-LN(2)/25)*AV84+(1-EXP(-LN(2)/25))/(LN(2)/25)*Calculateur!AQ85*Calculateur!AS85*VLOOKUP('Données projet'!$B$10,Paramètres!$A$1:$I$89,3,0)*0.475*44/12</f>
        <v>3.1746533064003351</v>
      </c>
      <c r="AW85" s="21">
        <f>EXP(-LN(2)/2)*AW84+(1-EXP(-LN(2)/2))/(LN(2)/2)*AQ85*AT85*VLOOKUP('Données projet'!$B$10,Paramètres!$A$1:$I$89,3,0)*0.475*44/12</f>
        <v>3.820812490000176E-7</v>
      </c>
      <c r="AX85" s="21">
        <f t="shared" si="60"/>
        <v>4.1977881597379767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1.7053025658242404E-13</v>
      </c>
      <c r="BE85" s="13">
        <f>BD85*VLOOKUP('Données projet'!$B$11,Paramètres!$A$1:$I$89,3,0)*VLOOKUP('Données projet'!$B$11,Paramètres!$A$1:$I$89,5,0)</f>
        <v>1.3301360013429075E-13</v>
      </c>
      <c r="BF85" s="13">
        <f t="shared" si="91"/>
        <v>1.9329766731057041E-12</v>
      </c>
      <c r="BG85" s="20">
        <f t="shared" si="61"/>
        <v>3.5982663925596575E-12</v>
      </c>
      <c r="BH85" s="59">
        <f t="shared" si="62"/>
        <v>293.3333333333369</v>
      </c>
      <c r="BI85" s="59">
        <f ca="1">AVERAGE(OFFSET($BH$3,0,0,'Données projet'!$E$11+1,1))-AVERAGE(OFFSET($H$3,0,0,'Données projet'!$E$11+1,1))</f>
        <v>376.33792692771908</v>
      </c>
      <c r="BJ85" s="59">
        <f t="shared" si="92"/>
        <v>367.92889258044698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0.51633338999740319</v>
      </c>
      <c r="BQ85" s="21">
        <f>EXP(-LN(2)/25)*BQ84+(1-EXP(-LN(2)/25))/(LN(2)/25)*Calculateur!BL85*Calculateur!BN85*VLOOKUP('Données projet'!$B$11,Paramètres!$A$1:$I$89,3,0)*0.475*44/12</f>
        <v>1.9797965147047805</v>
      </c>
      <c r="BR85" s="21">
        <f>EXP(-LN(2)/2)*BR84+(1-EXP(-LN(2)/2))/(LN(2)/2)*BL85*BO85*VLOOKUP('Données projet'!$B$11,Paramètres!$A$1:$I$89,3,0)*0.475*44/12</f>
        <v>1.9477575416418665E-7</v>
      </c>
      <c r="BS85" s="22">
        <f t="shared" si="63"/>
        <v>2.4961300994779378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227.28576000000027</v>
      </c>
      <c r="CA85" s="13">
        <f t="shared" si="93"/>
        <v>55.695394520076427</v>
      </c>
      <c r="CB85" s="20">
        <f t="shared" si="64"/>
        <v>492.85884412246696</v>
      </c>
      <c r="CC85" s="59">
        <f t="shared" si="65"/>
        <v>786.19217745580022</v>
      </c>
      <c r="CD85" s="59">
        <f ca="1">AVERAGE(OFFSET($CC$3,0,0,'Données projet'!$E$12+1,1))-AVERAGE(OFFSET($H$3,0,0,'Données projet'!$E$12+1,1))</f>
        <v>388.50131600273431</v>
      </c>
      <c r="CE85" s="59">
        <f t="shared" si="94"/>
        <v>247.01165577562955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0.7345991395852508</v>
      </c>
      <c r="CM85" s="21">
        <f>EXP(-LN(2)/2)*CM84+(1-EXP(-LN(2)/2))/(LN(2)/2)*CG85*CJ85*VLOOKUP('Données projet'!$B$12,Paramètres!$A$1:$I$89,3,0)*0.475*44/12</f>
        <v>9.2228470063633133E-8</v>
      </c>
      <c r="CN85" s="22">
        <f t="shared" si="66"/>
        <v>0.73459923181372089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5.6</v>
      </c>
      <c r="CT85" s="12">
        <f>IF('Données projet'!$A$140&gt;35,CT84+CS85-DB84,IF(A85&lt;'Données projet'!$A$140,$CQ$205^A85,IF(A85='Données projet'!$A$140,'Données projet'!$B$140,CT84+CS85-DB84)))</f>
        <v>251.2000000000003</v>
      </c>
      <c r="CU85" s="17">
        <f>CT85*VLOOKUP('Données projet'!$B$13,Paramètres!$A$1:$I$89,3,0)*VLOOKUP('Données projet'!$B$13,Paramètres!$A$1:$I$89,5,0)</f>
        <v>270.39168000000035</v>
      </c>
      <c r="CV85" s="13">
        <f t="shared" si="95"/>
        <v>64.93238665487263</v>
      </c>
      <c r="CW85" s="20">
        <f t="shared" si="67"/>
        <v>584.02274942390375</v>
      </c>
      <c r="CX85" s="59">
        <f t="shared" si="68"/>
        <v>877.35608275723712</v>
      </c>
      <c r="CY85" s="59">
        <f ca="1">AVERAGE(OFFSET($CX$3,0,0,'Données projet'!$E$13+1,1))-AVERAGE(OFFSET($H$3,0,0,'Données projet'!$E$13+1,1))</f>
        <v>454.43000549907373</v>
      </c>
      <c r="CZ85" s="59">
        <f t="shared" si="96"/>
        <v>285.83623046025156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0.87391966605831584</v>
      </c>
      <c r="DH85" s="21">
        <f>EXP(-LN(2)/2)*DH84+(1-EXP(-LN(2)/2))/(LN(2)/2)*DB85*DE85*VLOOKUP('Données projet'!$B$13,Paramètres!$A$1:$I$89,3,0)*0.475*44/12</f>
        <v>1.0972007645501202E-7</v>
      </c>
      <c r="DI85" s="22">
        <f t="shared" si="69"/>
        <v>0.8739197757783923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1.7053025658242404E-13</v>
      </c>
      <c r="DP85" s="17">
        <f>DO85*VLOOKUP('Données projet'!$B$14,Paramètres!$A$1:$I$89,3,0)*VLOOKUP('Données projet'!$B$14,Paramètres!$A$1:$I$89,5,0)</f>
        <v>1.3301360013429075E-13</v>
      </c>
      <c r="DQ85" s="13">
        <f t="shared" si="97"/>
        <v>1.9329766731057041E-12</v>
      </c>
      <c r="DR85" s="20">
        <f t="shared" si="70"/>
        <v>3.5982663925596575E-12</v>
      </c>
      <c r="DS85" s="59">
        <f t="shared" si="71"/>
        <v>293.3333333333369</v>
      </c>
      <c r="DT85" s="59">
        <f ca="1">AVERAGE(OFFSET($DS$3,0,0,'Données projet'!$E$14+1,1))-AVERAGE(OFFSET($H$3,0,0,'Données projet'!$E$14+1,1))</f>
        <v>376.33792692771908</v>
      </c>
      <c r="DU85" s="59">
        <f t="shared" si="98"/>
        <v>367.92889258044698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0.51633338999740319</v>
      </c>
      <c r="EB85" s="21">
        <f>EXP(-LN(2)/25)*EB84+(1-EXP(-LN(2)/25))/(LN(2)/25)*Calculateur!DW85*Calculateur!DY85*VLOOKUP('Données projet'!$B$14,Paramètres!$A$1:$I$89,3,0)*0.475*44/12</f>
        <v>1.9797965147047805</v>
      </c>
      <c r="EC85" s="21">
        <f>EXP(-LN(2)/2)*EC84+(1-EXP(-LN(2)/2))/(LN(2)/2)*DW85*DZ85*VLOOKUP('Données projet'!$B$14,Paramètres!$A$1:$I$89,3,0)*0.475*44/12</f>
        <v>1.9477575416418665E-7</v>
      </c>
      <c r="ED85" s="22">
        <f t="shared" si="72"/>
        <v>2.4961300994779378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282.11663999999985</v>
      </c>
      <c r="P86" s="13">
        <f t="shared" si="87"/>
        <v>67.414119514142243</v>
      </c>
      <c r="Q86" s="20">
        <f t="shared" si="54"/>
        <v>608.76607282046416</v>
      </c>
      <c r="R86" s="59">
        <f t="shared" si="55"/>
        <v>902.09940615379742</v>
      </c>
      <c r="S86" s="59">
        <f ca="1">AVERAGE(OFFSET($R$3,0,0,'Données projet'!$E$9+1,1))-AVERAGE(OFFSET($H$3,0,0,'Données projet'!$E$9+1,1))</f>
        <v>469.68830256438338</v>
      </c>
      <c r="T86" s="59">
        <f t="shared" si="88"/>
        <v>332.61387922152159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0.84316149047647537</v>
      </c>
      <c r="AA86" s="21">
        <f>EXP(-LN(2)/25)*AA85+(1-EXP(-LN(2)/25))/(LN(2)/25)*Calculateur!V86*Calculateur!X86*VLOOKUP('Données projet'!$B$9,Paramètres!$A$1:$I$89,3,0)*0.475*44/12</f>
        <v>2.5955775390980453</v>
      </c>
      <c r="AB86" s="21">
        <f>EXP(-LN(2)/2)*AB85+(1-EXP(-LN(2)/2))/(LN(2)/2)*V86*Y86*VLOOKUP('Données projet'!$B$9,Paramètres!$A$1:$I$89,3,0)*0.475*44/12</f>
        <v>2.2710130498063877E-7</v>
      </c>
      <c r="AC86" s="22">
        <f t="shared" si="57"/>
        <v>3.4387392566758255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335.6215199999998</v>
      </c>
      <c r="AK86" s="13">
        <f t="shared" si="89"/>
        <v>78.594643453188553</v>
      </c>
      <c r="AL86" s="20">
        <f t="shared" si="58"/>
        <v>721.42648468096968</v>
      </c>
      <c r="AM86" s="59">
        <f t="shared" si="59"/>
        <v>1014.7598180143029</v>
      </c>
      <c r="AN86" s="59">
        <f ca="1">AVERAGE(OFFSET($AM$3,0,0,'Données projet'!$E$10+1,1))-AVERAGE(OFFSET($H$3,0,0,'Données projet'!$E$10+1,1))</f>
        <v>550.66682372933292</v>
      </c>
      <c r="AO86" s="59">
        <f t="shared" si="90"/>
        <v>387.28615589698444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1.003071428325462</v>
      </c>
      <c r="AV86" s="21">
        <f>EXP(-LN(2)/25)*AV85+(1-EXP(-LN(2)/25))/(LN(2)/25)*Calculateur!AQ86*Calculateur!AS86*VLOOKUP('Données projet'!$B$10,Paramètres!$A$1:$I$89,3,0)*0.475*44/12</f>
        <v>3.0878422447890563</v>
      </c>
      <c r="AW86" s="21">
        <f>EXP(-LN(2)/2)*AW85+(1-EXP(-LN(2)/2))/(LN(2)/2)*AQ86*AT86*VLOOKUP('Données projet'!$B$10,Paramètres!$A$1:$I$89,3,0)*0.475*44/12</f>
        <v>2.7017224213213822E-7</v>
      </c>
      <c r="AX86" s="21">
        <f t="shared" si="60"/>
        <v>4.0909139432867603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1.7053025658242404E-13</v>
      </c>
      <c r="BE86" s="13">
        <f>BD86*VLOOKUP('Données projet'!$B$11,Paramètres!$A$1:$I$89,3,0)*VLOOKUP('Données projet'!$B$11,Paramètres!$A$1:$I$89,5,0)</f>
        <v>1.3301360013429075E-13</v>
      </c>
      <c r="BF86" s="13">
        <f t="shared" si="91"/>
        <v>1.9329766731057041E-12</v>
      </c>
      <c r="BG86" s="20">
        <f t="shared" si="61"/>
        <v>3.5982663925596575E-12</v>
      </c>
      <c r="BH86" s="59">
        <f t="shared" si="62"/>
        <v>293.3333333333369</v>
      </c>
      <c r="BI86" s="59">
        <f ca="1">AVERAGE(OFFSET($BH$3,0,0,'Données projet'!$E$11+1,1))-AVERAGE(OFFSET($H$3,0,0,'Données projet'!$E$11+1,1))</f>
        <v>376.33792692771908</v>
      </c>
      <c r="BJ86" s="59">
        <f t="shared" si="92"/>
        <v>367.92889258044698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0.50620840715182502</v>
      </c>
      <c r="BQ86" s="21">
        <f>EXP(-LN(2)/25)*BQ85+(1-EXP(-LN(2)/25))/(LN(2)/25)*Calculateur!BL86*Calculateur!BN86*VLOOKUP('Données projet'!$B$11,Paramètres!$A$1:$I$89,3,0)*0.475*44/12</f>
        <v>1.9256588748972043</v>
      </c>
      <c r="BR86" s="21">
        <f>EXP(-LN(2)/2)*BR85+(1-EXP(-LN(2)/2))/(LN(2)/2)*BL86*BO86*VLOOKUP('Données projet'!$B$11,Paramètres!$A$1:$I$89,3,0)*0.475*44/12</f>
        <v>1.377272565802203E-7</v>
      </c>
      <c r="BS86" s="22">
        <f t="shared" si="63"/>
        <v>2.4318674197762862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232.35264000000026</v>
      </c>
      <c r="CA86" s="13">
        <f t="shared" si="93"/>
        <v>56.791075613550355</v>
      </c>
      <c r="CB86" s="20">
        <f t="shared" si="64"/>
        <v>503.59197136026728</v>
      </c>
      <c r="CC86" s="59">
        <f t="shared" si="65"/>
        <v>796.92530469360054</v>
      </c>
      <c r="CD86" s="59">
        <f ca="1">AVERAGE(OFFSET($CC$3,0,0,'Données projet'!$E$12+1,1))-AVERAGE(OFFSET($H$3,0,0,'Données projet'!$E$12+1,1))</f>
        <v>388.50131600273431</v>
      </c>
      <c r="CE86" s="59">
        <f t="shared" si="94"/>
        <v>247.01165577562955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0.71451148748240234</v>
      </c>
      <c r="CM86" s="21">
        <f>EXP(-LN(2)/2)*CM85+(1-EXP(-LN(2)/2))/(LN(2)/2)*CG86*CJ86*VLOOKUP('Données projet'!$B$12,Paramètres!$A$1:$I$89,3,0)*0.475*44/12</f>
        <v>6.5215376600455482E-8</v>
      </c>
      <c r="CN86" s="22">
        <f t="shared" si="66"/>
        <v>0.714511552697779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5.6</v>
      </c>
      <c r="CT86" s="12">
        <f>IF('Données projet'!$A$140&gt;35,CT85+CS86-DB85,IF(A86&lt;'Données projet'!$A$140,$CQ$205^A86,IF(A86='Données projet'!$A$140,'Données projet'!$B$140,CT85+CS86-DB85)))</f>
        <v>256.8000000000003</v>
      </c>
      <c r="CU86" s="17">
        <f>CT86*VLOOKUP('Données projet'!$B$13,Paramètres!$A$1:$I$89,3,0)*VLOOKUP('Données projet'!$B$13,Paramètres!$A$1:$I$89,5,0)</f>
        <v>276.41952000000026</v>
      </c>
      <c r="CV86" s="13">
        <f t="shared" si="95"/>
        <v>66.209784705913222</v>
      </c>
      <c r="CW86" s="20">
        <f t="shared" si="67"/>
        <v>596.74603902946581</v>
      </c>
      <c r="CX86" s="59">
        <f t="shared" si="68"/>
        <v>890.07937236279918</v>
      </c>
      <c r="CY86" s="59">
        <f ca="1">AVERAGE(OFFSET($CX$3,0,0,'Données projet'!$E$13+1,1))-AVERAGE(OFFSET($H$3,0,0,'Données projet'!$E$13+1,1))</f>
        <v>454.43000549907373</v>
      </c>
      <c r="CZ86" s="59">
        <f t="shared" si="96"/>
        <v>285.83623046025156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0.85002228683251335</v>
      </c>
      <c r="DH86" s="21">
        <f>EXP(-LN(2)/2)*DH85+(1-EXP(-LN(2)/2))/(LN(2)/2)*DB86*DE86*VLOOKUP('Données projet'!$B$13,Paramètres!$A$1:$I$89,3,0)*0.475*44/12</f>
        <v>7.7583810093645449E-8</v>
      </c>
      <c r="DI86" s="22">
        <f t="shared" si="69"/>
        <v>0.85002236441632339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1.7053025658242404E-13</v>
      </c>
      <c r="DP86" s="17">
        <f>DO86*VLOOKUP('Données projet'!$B$14,Paramètres!$A$1:$I$89,3,0)*VLOOKUP('Données projet'!$B$14,Paramètres!$A$1:$I$89,5,0)</f>
        <v>1.3301360013429075E-13</v>
      </c>
      <c r="DQ86" s="13">
        <f t="shared" si="97"/>
        <v>1.9329766731057041E-12</v>
      </c>
      <c r="DR86" s="20">
        <f t="shared" si="70"/>
        <v>3.5982663925596575E-12</v>
      </c>
      <c r="DS86" s="59">
        <f t="shared" si="71"/>
        <v>293.3333333333369</v>
      </c>
      <c r="DT86" s="59">
        <f ca="1">AVERAGE(OFFSET($DS$3,0,0,'Données projet'!$E$14+1,1))-AVERAGE(OFFSET($H$3,0,0,'Données projet'!$E$14+1,1))</f>
        <v>376.33792692771908</v>
      </c>
      <c r="DU86" s="59">
        <f t="shared" si="98"/>
        <v>367.92889258044698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0.50620840715182502</v>
      </c>
      <c r="EB86" s="21">
        <f>EXP(-LN(2)/25)*EB85+(1-EXP(-LN(2)/25))/(LN(2)/25)*Calculateur!DW86*Calculateur!DY86*VLOOKUP('Données projet'!$B$14,Paramètres!$A$1:$I$89,3,0)*0.475*44/12</f>
        <v>1.9256588748972043</v>
      </c>
      <c r="EC86" s="21">
        <f>EXP(-LN(2)/2)*EC85+(1-EXP(-LN(2)/2))/(LN(2)/2)*DW86*DZ86*VLOOKUP('Données projet'!$B$14,Paramètres!$A$1:$I$89,3,0)*0.475*44/12</f>
        <v>1.377272565802203E-7</v>
      </c>
      <c r="ED86" s="22">
        <f t="shared" si="72"/>
        <v>2.4318674197762862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288.0883199999999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914.69343375208086</v>
      </c>
      <c r="S87" s="59">
        <f ca="1">AVERAGE(OFFSET($R$3,0,0,'Données projet'!$E$9+1,1))-AVERAGE(OFFSET($H$3,0,0,'Données projet'!$E$9+1,1))</f>
        <v>469.68830256438338</v>
      </c>
      <c r="T87" s="59">
        <f t="shared" si="88"/>
        <v>332.61387922152159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0.82662760792596013</v>
      </c>
      <c r="AA87" s="21">
        <f>EXP(-LN(2)/25)*AA86+(1-EXP(-LN(2)/25))/(LN(2)/25)*Calculateur!V87*Calculateur!X87*VLOOKUP('Données projet'!$B$9,Paramètres!$A$1:$I$89,3,0)*0.475*44/12</f>
        <v>2.5246013347959186</v>
      </c>
      <c r="AB87" s="21">
        <f>EXP(-LN(2)/2)*AB86+(1-EXP(-LN(2)/2))/(LN(2)/2)*V87*Y87*VLOOKUP('Données projet'!$B$9,Paramètres!$A$1:$I$89,3,0)*0.475*44/12</f>
        <v>1.6058487276812396E-7</v>
      </c>
      <c r="AC87" s="22">
        <f t="shared" si="57"/>
        <v>3.3512291033067516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342.72575999999981</v>
      </c>
      <c r="AK87" s="13">
        <f t="shared" si="89"/>
        <v>80.062843713919264</v>
      </c>
      <c r="AL87" s="20">
        <f t="shared" si="58"/>
        <v>736.35681813507574</v>
      </c>
      <c r="AM87" s="59">
        <f t="shared" si="59"/>
        <v>1029.6901514684091</v>
      </c>
      <c r="AN87" s="59">
        <f ca="1">AVERAGE(OFFSET($AM$3,0,0,'Données projet'!$E$10+1,1))-AVERAGE(OFFSET($H$3,0,0,'Données projet'!$E$10+1,1))</f>
        <v>550.66682372933292</v>
      </c>
      <c r="AO87" s="59">
        <f t="shared" si="90"/>
        <v>387.28615589698444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0.98340180942915945</v>
      </c>
      <c r="AV87" s="21">
        <f>EXP(-LN(2)/25)*AV86+(1-EXP(-LN(2)/25))/(LN(2)/25)*Calculateur!AQ87*Calculateur!AS87*VLOOKUP('Données projet'!$B$10,Paramètres!$A$1:$I$89,3,0)*0.475*44/12</f>
        <v>3.0034050362227331</v>
      </c>
      <c r="AW87" s="21">
        <f>EXP(-LN(2)/2)*AW86+(1-EXP(-LN(2)/2))/(LN(2)/2)*AQ87*AT87*VLOOKUP('Données projet'!$B$10,Paramètres!$A$1:$I$89,3,0)*0.475*44/12</f>
        <v>1.910406245000088E-7</v>
      </c>
      <c r="AX87" s="21">
        <f t="shared" si="60"/>
        <v>3.9868070366925172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1.7053025658242404E-13</v>
      </c>
      <c r="BE87" s="13">
        <f>BD87*VLOOKUP('Données projet'!$B$11,Paramètres!$A$1:$I$89,3,0)*VLOOKUP('Données projet'!$B$11,Paramètres!$A$1:$I$89,5,0)</f>
        <v>1.3301360013429075E-13</v>
      </c>
      <c r="BF87" s="13">
        <f t="shared" si="91"/>
        <v>1.9329766731057041E-12</v>
      </c>
      <c r="BG87" s="20">
        <f t="shared" si="61"/>
        <v>3.5982663925596575E-12</v>
      </c>
      <c r="BH87" s="59">
        <f t="shared" si="62"/>
        <v>293.3333333333369</v>
      </c>
      <c r="BI87" s="59">
        <f ca="1">AVERAGE(OFFSET($BH$3,0,0,'Données projet'!$E$11+1,1))-AVERAGE(OFFSET($H$3,0,0,'Données projet'!$E$11+1,1))</f>
        <v>376.33792692771908</v>
      </c>
      <c r="BJ87" s="59">
        <f t="shared" si="92"/>
        <v>367.92889258044698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0.4962819690442189</v>
      </c>
      <c r="BQ87" s="21">
        <f>EXP(-LN(2)/25)*BQ86+(1-EXP(-LN(2)/25))/(LN(2)/25)*Calculateur!BL87*Calculateur!BN87*VLOOKUP('Données projet'!$B$11,Paramètres!$A$1:$I$89,3,0)*0.475*44/12</f>
        <v>1.8730016316971412</v>
      </c>
      <c r="BR87" s="21">
        <f>EXP(-LN(2)/2)*BR86+(1-EXP(-LN(2)/2))/(LN(2)/2)*BL87*BO87*VLOOKUP('Données projet'!$B$11,Paramètres!$A$1:$I$89,3,0)*0.475*44/12</f>
        <v>9.7387877082093324E-8</v>
      </c>
      <c r="BS87" s="22">
        <f t="shared" si="63"/>
        <v>2.3692836981292369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237.41952000000029</v>
      </c>
      <c r="CA87" s="13">
        <f t="shared" si="93"/>
        <v>57.883978814320969</v>
      </c>
      <c r="CB87" s="20">
        <f t="shared" si="64"/>
        <v>514.32026043494284</v>
      </c>
      <c r="CC87" s="59">
        <f t="shared" si="65"/>
        <v>807.6535937682761</v>
      </c>
      <c r="CD87" s="59">
        <f ca="1">AVERAGE(OFFSET($CC$3,0,0,'Données projet'!$E$12+1,1))-AVERAGE(OFFSET($H$3,0,0,'Données projet'!$E$12+1,1))</f>
        <v>388.50131600273431</v>
      </c>
      <c r="CE87" s="59">
        <f t="shared" si="94"/>
        <v>247.01165577562955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0.69497313328266996</v>
      </c>
      <c r="CM87" s="21">
        <f>EXP(-LN(2)/2)*CM86+(1-EXP(-LN(2)/2))/(LN(2)/2)*CG87*CJ87*VLOOKUP('Données projet'!$B$12,Paramètres!$A$1:$I$89,3,0)*0.475*44/12</f>
        <v>4.6114235031816567E-8</v>
      </c>
      <c r="CN87" s="22">
        <f t="shared" si="66"/>
        <v>0.69497317939690495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5.6</v>
      </c>
      <c r="CT87" s="12">
        <f>IF('Données projet'!$A$140&gt;35,CT86+CS87-DB86,IF(A87&lt;'Données projet'!$A$140,$CQ$205^A87,IF(A87='Données projet'!$A$140,'Données projet'!$B$140,CT86+CS87-DB86)))</f>
        <v>262.40000000000032</v>
      </c>
      <c r="CU87" s="17">
        <f>CT87*VLOOKUP('Données projet'!$B$13,Paramètres!$A$1:$I$89,3,0)*VLOOKUP('Données projet'!$B$13,Paramètres!$A$1:$I$89,5,0)</f>
        <v>282.44736000000034</v>
      </c>
      <c r="CV87" s="13">
        <f t="shared" si="95"/>
        <v>67.48394415518699</v>
      </c>
      <c r="CW87" s="20">
        <f t="shared" si="67"/>
        <v>609.46368807028455</v>
      </c>
      <c r="CX87" s="59">
        <f t="shared" si="68"/>
        <v>902.79702140361792</v>
      </c>
      <c r="CY87" s="59">
        <f ca="1">AVERAGE(OFFSET($CX$3,0,0,'Données projet'!$E$13+1,1))-AVERAGE(OFFSET($H$3,0,0,'Données projet'!$E$13+1,1))</f>
        <v>454.43000549907373</v>
      </c>
      <c r="CZ87" s="59">
        <f t="shared" si="96"/>
        <v>285.83623046025156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0.82677838269834891</v>
      </c>
      <c r="DH87" s="21">
        <f>EXP(-LN(2)/2)*DH86+(1-EXP(-LN(2)/2))/(LN(2)/2)*DB87*DE87*VLOOKUP('Données projet'!$B$13,Paramètres!$A$1:$I$89,3,0)*0.475*44/12</f>
        <v>5.486003822750601E-8</v>
      </c>
      <c r="DI87" s="22">
        <f t="shared" si="69"/>
        <v>0.82677843755838709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1.7053025658242404E-13</v>
      </c>
      <c r="DP87" s="17">
        <f>DO87*VLOOKUP('Données projet'!$B$14,Paramètres!$A$1:$I$89,3,0)*VLOOKUP('Données projet'!$B$14,Paramètres!$A$1:$I$89,5,0)</f>
        <v>1.3301360013429075E-13</v>
      </c>
      <c r="DQ87" s="13">
        <f t="shared" si="97"/>
        <v>1.9329766731057041E-12</v>
      </c>
      <c r="DR87" s="20">
        <f t="shared" si="70"/>
        <v>3.5982663925596575E-12</v>
      </c>
      <c r="DS87" s="59">
        <f t="shared" si="71"/>
        <v>293.3333333333369</v>
      </c>
      <c r="DT87" s="59">
        <f ca="1">AVERAGE(OFFSET($DS$3,0,0,'Données projet'!$E$14+1,1))-AVERAGE(OFFSET($H$3,0,0,'Données projet'!$E$14+1,1))</f>
        <v>376.33792692771908</v>
      </c>
      <c r="DU87" s="59">
        <f t="shared" si="98"/>
        <v>367.92889258044698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0.4962819690442189</v>
      </c>
      <c r="EB87" s="21">
        <f>EXP(-LN(2)/25)*EB86+(1-EXP(-LN(2)/25))/(LN(2)/25)*Calculateur!DW87*Calculateur!DY87*VLOOKUP('Données projet'!$B$14,Paramètres!$A$1:$I$89,3,0)*0.475*44/12</f>
        <v>1.8730016316971412</v>
      </c>
      <c r="EC87" s="21">
        <f>EXP(-LN(2)/2)*EC86+(1-EXP(-LN(2)/2))/(LN(2)/2)*DW87*DZ87*VLOOKUP('Données projet'!$B$14,Paramètres!$A$1:$I$89,3,0)*0.475*44/12</f>
        <v>9.7387877082093324E-8</v>
      </c>
      <c r="ED87" s="22">
        <f t="shared" si="72"/>
        <v>2.3692836981292369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294.05999999999989</v>
      </c>
      <c r="P88" s="13">
        <f t="shared" si="87"/>
        <v>69.929765653573313</v>
      </c>
      <c r="Q88" s="20">
        <f t="shared" si="54"/>
        <v>633.94884184663999</v>
      </c>
      <c r="R88" s="59">
        <f t="shared" si="55"/>
        <v>927.28217517997336</v>
      </c>
      <c r="S88" s="59">
        <f ca="1">AVERAGE(OFFSET($R$3,0,0,'Données projet'!$E$9+1,1))-AVERAGE(OFFSET($H$3,0,0,'Données projet'!$E$9+1,1))</f>
        <v>469.68830256438338</v>
      </c>
      <c r="T88" s="59">
        <f t="shared" si="88"/>
        <v>332.61387922152159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0.81041794472758799</v>
      </c>
      <c r="AA88" s="21">
        <f>EXP(-LN(2)/25)*AA87+(1-EXP(-LN(2)/25))/(LN(2)/25)*Calculateur!V88*Calculateur!X88*VLOOKUP('Données projet'!$B$9,Paramètres!$A$1:$I$89,3,0)*0.475*44/12</f>
        <v>2.4555659785329103</v>
      </c>
      <c r="AB88" s="21">
        <f>EXP(-LN(2)/2)*AB87+(1-EXP(-LN(2)/2))/(LN(2)/2)*V88*Y88*VLOOKUP('Données projet'!$B$9,Paramètres!$A$1:$I$89,3,0)*0.475*44/12</f>
        <v>1.1355065249031941E-7</v>
      </c>
      <c r="AC88" s="22">
        <f t="shared" si="57"/>
        <v>3.2659840368111506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349.82999999999987</v>
      </c>
      <c r="AK88" s="13">
        <f t="shared" si="89"/>
        <v>81.527505482803917</v>
      </c>
      <c r="AL88" s="20">
        <f t="shared" si="58"/>
        <v>751.28098871588327</v>
      </c>
      <c r="AM88" s="59">
        <f t="shared" si="59"/>
        <v>1044.6143220492165</v>
      </c>
      <c r="AN88" s="59">
        <f ca="1">AVERAGE(OFFSET($AM$3,0,0,'Données projet'!$E$10+1,1))-AVERAGE(OFFSET($H$3,0,0,'Données projet'!$E$10+1,1))</f>
        <v>550.66682372933292</v>
      </c>
      <c r="AO88" s="59">
        <f t="shared" si="90"/>
        <v>387.28615589698444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0.96411789976213047</v>
      </c>
      <c r="AV88" s="21">
        <f>EXP(-LN(2)/25)*AV87+(1-EXP(-LN(2)/25))/(LN(2)/25)*Calculateur!AQ88*Calculateur!AS88*VLOOKUP('Données projet'!$B$10,Paramètres!$A$1:$I$89,3,0)*0.475*44/12</f>
        <v>2.9212767675650162</v>
      </c>
      <c r="AW88" s="21">
        <f>EXP(-LN(2)/2)*AW87+(1-EXP(-LN(2)/2))/(LN(2)/2)*AQ88*AT88*VLOOKUP('Données projet'!$B$10,Paramètres!$A$1:$I$89,3,0)*0.475*44/12</f>
        <v>1.3508612106606911E-7</v>
      </c>
      <c r="AX88" s="21">
        <f t="shared" si="60"/>
        <v>3.8853948024132676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1.7053025658242404E-13</v>
      </c>
      <c r="BE88" s="13">
        <f>BD88*VLOOKUP('Données projet'!$B$11,Paramètres!$A$1:$I$89,3,0)*VLOOKUP('Données projet'!$B$11,Paramètres!$A$1:$I$89,5,0)</f>
        <v>1.3301360013429075E-13</v>
      </c>
      <c r="BF88" s="13">
        <f t="shared" si="91"/>
        <v>1.9329766731057041E-12</v>
      </c>
      <c r="BG88" s="20">
        <f t="shared" si="61"/>
        <v>3.5982663925596575E-12</v>
      </c>
      <c r="BH88" s="59">
        <f t="shared" si="62"/>
        <v>293.3333333333369</v>
      </c>
      <c r="BI88" s="59">
        <f ca="1">AVERAGE(OFFSET($BH$3,0,0,'Données projet'!$E$11+1,1))-AVERAGE(OFFSET($H$3,0,0,'Données projet'!$E$11+1,1))</f>
        <v>376.33792692771908</v>
      </c>
      <c r="BJ88" s="59">
        <f t="shared" si="92"/>
        <v>367.92889258044698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0.48655018233337355</v>
      </c>
      <c r="BQ88" s="21">
        <f>EXP(-LN(2)/25)*BQ87+(1-EXP(-LN(2)/25))/(LN(2)/25)*Calculateur!BL88*Calculateur!BN88*VLOOKUP('Données projet'!$B$11,Paramètres!$A$1:$I$89,3,0)*0.475*44/12</f>
        <v>1.8217843035815078</v>
      </c>
      <c r="BR88" s="21">
        <f>EXP(-LN(2)/2)*BR87+(1-EXP(-LN(2)/2))/(LN(2)/2)*BL88*BO88*VLOOKUP('Données projet'!$B$11,Paramètres!$A$1:$I$89,3,0)*0.475*44/12</f>
        <v>6.8863628290110149E-8</v>
      </c>
      <c r="BS88" s="22">
        <f t="shared" si="63"/>
        <v>2.3083345547785092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242.48640000000032</v>
      </c>
      <c r="CA88" s="13">
        <f t="shared" si="93"/>
        <v>58.974170235372526</v>
      </c>
      <c r="CB88" s="20">
        <f t="shared" si="64"/>
        <v>525.04382649327442</v>
      </c>
      <c r="CC88" s="59">
        <f t="shared" si="65"/>
        <v>818.37715982660779</v>
      </c>
      <c r="CD88" s="59">
        <f ca="1">AVERAGE(OFFSET($CC$3,0,0,'Données projet'!$E$12+1,1))-AVERAGE(OFFSET($H$3,0,0,'Données projet'!$E$12+1,1))</f>
        <v>388.50131600273431</v>
      </c>
      <c r="CE88" s="59">
        <f t="shared" si="94"/>
        <v>247.01165577562955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0.67596905640600669</v>
      </c>
      <c r="CM88" s="21">
        <f>EXP(-LN(2)/2)*CM87+(1-EXP(-LN(2)/2))/(LN(2)/2)*CG88*CJ88*VLOOKUP('Données projet'!$B$12,Paramètres!$A$1:$I$89,3,0)*0.475*44/12</f>
        <v>3.2607688300227741E-8</v>
      </c>
      <c r="CN88" s="22">
        <f t="shared" si="66"/>
        <v>0.67596908901369501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5.6</v>
      </c>
      <c r="CT88" s="12">
        <f>IF('Données projet'!$A$140&gt;35,CT87+CS88-DB87,IF(A88&lt;'Données projet'!$A$140,$CQ$205^A88,IF(A88='Données projet'!$A$140,'Données projet'!$B$140,CT87+CS88-DB87)))</f>
        <v>268.00000000000034</v>
      </c>
      <c r="CU88" s="17">
        <f>CT88*VLOOKUP('Données projet'!$B$13,Paramètres!$A$1:$I$89,3,0)*VLOOKUP('Données projet'!$B$13,Paramètres!$A$1:$I$89,5,0)</f>
        <v>288.47520000000037</v>
      </c>
      <c r="CV88" s="13">
        <f t="shared" si="95"/>
        <v>68.754942080410899</v>
      </c>
      <c r="CW88" s="20">
        <f t="shared" si="67"/>
        <v>622.17583079004964</v>
      </c>
      <c r="CX88" s="59">
        <f t="shared" si="68"/>
        <v>915.50916412338302</v>
      </c>
      <c r="CY88" s="59">
        <f ca="1">AVERAGE(OFFSET($CX$3,0,0,'Données projet'!$E$13+1,1))-AVERAGE(OFFSET($H$3,0,0,'Données projet'!$E$13+1,1))</f>
        <v>454.43000549907373</v>
      </c>
      <c r="CZ88" s="59">
        <f t="shared" si="96"/>
        <v>285.83623046025156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0.80417008434507709</v>
      </c>
      <c r="DH88" s="21">
        <f>EXP(-LN(2)/2)*DH87+(1-EXP(-LN(2)/2))/(LN(2)/2)*DB88*DE88*VLOOKUP('Données projet'!$B$13,Paramètres!$A$1:$I$89,3,0)*0.475*44/12</f>
        <v>3.8791905046822724E-8</v>
      </c>
      <c r="DI88" s="22">
        <f t="shared" si="69"/>
        <v>0.80417012313698211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1.7053025658242404E-13</v>
      </c>
      <c r="DP88" s="17">
        <f>DO88*VLOOKUP('Données projet'!$B$14,Paramètres!$A$1:$I$89,3,0)*VLOOKUP('Données projet'!$B$14,Paramètres!$A$1:$I$89,5,0)</f>
        <v>1.3301360013429075E-13</v>
      </c>
      <c r="DQ88" s="13">
        <f t="shared" si="97"/>
        <v>1.9329766731057041E-12</v>
      </c>
      <c r="DR88" s="20">
        <f t="shared" si="70"/>
        <v>3.5982663925596575E-12</v>
      </c>
      <c r="DS88" s="59">
        <f t="shared" si="71"/>
        <v>293.3333333333369</v>
      </c>
      <c r="DT88" s="59">
        <f ca="1">AVERAGE(OFFSET($DS$3,0,0,'Données projet'!$E$14+1,1))-AVERAGE(OFFSET($H$3,0,0,'Données projet'!$E$14+1,1))</f>
        <v>376.33792692771908</v>
      </c>
      <c r="DU88" s="59">
        <f t="shared" si="98"/>
        <v>367.92889258044698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0.48655018233337355</v>
      </c>
      <c r="EB88" s="21">
        <f>EXP(-LN(2)/25)*EB87+(1-EXP(-LN(2)/25))/(LN(2)/25)*Calculateur!DW88*Calculateur!DY88*VLOOKUP('Données projet'!$B$14,Paramètres!$A$1:$I$89,3,0)*0.475*44/12</f>
        <v>1.8217843035815078</v>
      </c>
      <c r="EC88" s="21">
        <f>EXP(-LN(2)/2)*EC87+(1-EXP(-LN(2)/2))/(LN(2)/2)*DW88*DZ88*VLOOKUP('Données projet'!$B$14,Paramètres!$A$1:$I$89,3,0)*0.475*44/12</f>
        <v>6.8863628290110149E-8</v>
      </c>
      <c r="ED88" s="22">
        <f t="shared" si="72"/>
        <v>2.3083345547785092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300.03167999999994</v>
      </c>
      <c r="P89" s="13">
        <f t="shared" si="87"/>
        <v>71.183104779714938</v>
      </c>
      <c r="Q89" s="20">
        <f t="shared" si="54"/>
        <v>646.53241682467001</v>
      </c>
      <c r="R89" s="59">
        <f t="shared" si="55"/>
        <v>939.86575015800327</v>
      </c>
      <c r="S89" s="59">
        <f ca="1">AVERAGE(OFFSET($R$3,0,0,'Données projet'!$E$9+1,1))-AVERAGE(OFFSET($H$3,0,0,'Données projet'!$E$9+1,1))</f>
        <v>469.68830256438338</v>
      </c>
      <c r="T89" s="59">
        <f t="shared" si="88"/>
        <v>332.61387922152159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0.7945261431376176</v>
      </c>
      <c r="AA89" s="21">
        <f>EXP(-LN(2)/25)*AA88+(1-EXP(-LN(2)/25))/(LN(2)/25)*Calculateur!V89*Calculateur!X89*VLOOKUP('Données projet'!$B$9,Paramètres!$A$1:$I$89,3,0)*0.475*44/12</f>
        <v>2.3884183977173254</v>
      </c>
      <c r="AB89" s="21">
        <f>EXP(-LN(2)/2)*AB88+(1-EXP(-LN(2)/2))/(LN(2)/2)*V89*Y89*VLOOKUP('Données projet'!$B$9,Paramètres!$A$1:$I$89,3,0)*0.475*44/12</f>
        <v>8.0292436384061992E-8</v>
      </c>
      <c r="AC89" s="22">
        <f t="shared" si="57"/>
        <v>3.1829446211473793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356.93423999999987</v>
      </c>
      <c r="AK89" s="13">
        <f t="shared" si="89"/>
        <v>82.988708899164834</v>
      </c>
      <c r="AL89" s="20">
        <f t="shared" si="58"/>
        <v>766.19913599937854</v>
      </c>
      <c r="AM89" s="59">
        <f t="shared" si="59"/>
        <v>1059.5324693327118</v>
      </c>
      <c r="AN89" s="59">
        <f ca="1">AVERAGE(OFFSET($AM$3,0,0,'Données projet'!$E$10+1,1))-AVERAGE(OFFSET($H$3,0,0,'Données projet'!$E$10+1,1))</f>
        <v>550.66682372933292</v>
      </c>
      <c r="AO89" s="59">
        <f t="shared" si="90"/>
        <v>387.28615589698444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0.94521213580164842</v>
      </c>
      <c r="AV89" s="21">
        <f>EXP(-LN(2)/25)*AV88+(1-EXP(-LN(2)/25))/(LN(2)/25)*Calculateur!AQ89*Calculateur!AS89*VLOOKUP('Données projet'!$B$10,Paramètres!$A$1:$I$89,3,0)*0.475*44/12</f>
        <v>2.8413943007326825</v>
      </c>
      <c r="AW89" s="21">
        <f>EXP(-LN(2)/2)*AW88+(1-EXP(-LN(2)/2))/(LN(2)/2)*AQ89*AT89*VLOOKUP('Données projet'!$B$10,Paramètres!$A$1:$I$89,3,0)*0.475*44/12</f>
        <v>9.5520312250004399E-8</v>
      </c>
      <c r="AX89" s="21">
        <f t="shared" si="60"/>
        <v>3.7866065320546429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1.7053025658242404E-13</v>
      </c>
      <c r="BE89" s="13">
        <f>BD89*VLOOKUP('Données projet'!$B$11,Paramètres!$A$1:$I$89,3,0)*VLOOKUP('Données projet'!$B$11,Paramètres!$A$1:$I$89,5,0)</f>
        <v>1.3301360013429075E-13</v>
      </c>
      <c r="BF89" s="13">
        <f t="shared" si="91"/>
        <v>1.9329766731057041E-12</v>
      </c>
      <c r="BG89" s="20">
        <f t="shared" si="61"/>
        <v>3.5982663925596575E-12</v>
      </c>
      <c r="BH89" s="59">
        <f t="shared" si="62"/>
        <v>293.3333333333369</v>
      </c>
      <c r="BI89" s="59">
        <f ca="1">AVERAGE(OFFSET($BH$3,0,0,'Données projet'!$E$11+1,1))-AVERAGE(OFFSET($H$3,0,0,'Données projet'!$E$11+1,1))</f>
        <v>376.33792692771908</v>
      </c>
      <c r="BJ89" s="59">
        <f t="shared" si="92"/>
        <v>367.92889258044698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0.4770092300241241</v>
      </c>
      <c r="BQ89" s="21">
        <f>EXP(-LN(2)/25)*BQ88+(1-EXP(-LN(2)/25))/(LN(2)/25)*Calculateur!BL89*Calculateur!BN89*VLOOKUP('Données projet'!$B$11,Paramètres!$A$1:$I$89,3,0)*0.475*44/12</f>
        <v>1.7719675159965986</v>
      </c>
      <c r="BR89" s="21">
        <f>EXP(-LN(2)/2)*BR88+(1-EXP(-LN(2)/2))/(LN(2)/2)*BL89*BO89*VLOOKUP('Données projet'!$B$11,Paramètres!$A$1:$I$89,3,0)*0.475*44/12</f>
        <v>4.8693938541046662E-8</v>
      </c>
      <c r="BS89" s="22">
        <f t="shared" si="63"/>
        <v>2.2489767947146615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247.55328000000031</v>
      </c>
      <c r="CA89" s="13">
        <f t="shared" si="93"/>
        <v>60.061713068870304</v>
      </c>
      <c r="CB89" s="20">
        <f t="shared" si="64"/>
        <v>535.76277959494962</v>
      </c>
      <c r="CC89" s="59">
        <f t="shared" si="65"/>
        <v>829.09611292828299</v>
      </c>
      <c r="CD89" s="59">
        <f ca="1">AVERAGE(OFFSET($CC$3,0,0,'Données projet'!$E$12+1,1))-AVERAGE(OFFSET($H$3,0,0,'Données projet'!$E$12+1,1))</f>
        <v>388.50131600273431</v>
      </c>
      <c r="CE89" s="59">
        <f t="shared" si="94"/>
        <v>247.01165577562955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0.65748464701091669</v>
      </c>
      <c r="CM89" s="21">
        <f>EXP(-LN(2)/2)*CM88+(1-EXP(-LN(2)/2))/(LN(2)/2)*CG89*CJ89*VLOOKUP('Données projet'!$B$12,Paramètres!$A$1:$I$89,3,0)*0.475*44/12</f>
        <v>2.3057117515908283E-8</v>
      </c>
      <c r="CN89" s="22">
        <f t="shared" si="66"/>
        <v>0.65748467006803424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5.6</v>
      </c>
      <c r="CT89" s="12">
        <f>IF('Données projet'!$A$140&gt;35,CT88+CS89-DB88,IF(A89&lt;'Données projet'!$A$140,$CQ$205^A89,IF(A89='Données projet'!$A$140,'Données projet'!$B$140,CT88+CS89-DB88)))</f>
        <v>273.60000000000036</v>
      </c>
      <c r="CU89" s="17">
        <f>CT89*VLOOKUP('Données projet'!$B$13,Paramètres!$A$1:$I$89,3,0)*VLOOKUP('Données projet'!$B$13,Paramètres!$A$1:$I$89,5,0)</f>
        <v>294.5030400000004</v>
      </c>
      <c r="CV89" s="13">
        <f t="shared" si="95"/>
        <v>70.022852154069838</v>
      </c>
      <c r="CW89" s="20">
        <f t="shared" si="67"/>
        <v>634.8825955016722</v>
      </c>
      <c r="CX89" s="59">
        <f t="shared" si="68"/>
        <v>928.21592883500557</v>
      </c>
      <c r="CY89" s="59">
        <f ca="1">AVERAGE(OFFSET($CX$3,0,0,'Données projet'!$E$13+1,1))-AVERAGE(OFFSET($H$3,0,0,'Données projet'!$E$13+1,1))</f>
        <v>454.43000549907373</v>
      </c>
      <c r="CZ89" s="59">
        <f t="shared" si="96"/>
        <v>285.83623046025156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0.78218001109919422</v>
      </c>
      <c r="DH89" s="21">
        <f>EXP(-LN(2)/2)*DH88+(1-EXP(-LN(2)/2))/(LN(2)/2)*DB89*DE89*VLOOKUP('Données projet'!$B$13,Paramètres!$A$1:$I$89,3,0)*0.475*44/12</f>
        <v>2.7430019113753005E-8</v>
      </c>
      <c r="DI89" s="22">
        <f t="shared" si="69"/>
        <v>0.78218003852921336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1.7053025658242404E-13</v>
      </c>
      <c r="DP89" s="17">
        <f>DO89*VLOOKUP('Données projet'!$B$14,Paramètres!$A$1:$I$89,3,0)*VLOOKUP('Données projet'!$B$14,Paramètres!$A$1:$I$89,5,0)</f>
        <v>1.3301360013429075E-13</v>
      </c>
      <c r="DQ89" s="13">
        <f t="shared" si="97"/>
        <v>1.9329766731057041E-12</v>
      </c>
      <c r="DR89" s="20">
        <f t="shared" si="70"/>
        <v>3.5982663925596575E-12</v>
      </c>
      <c r="DS89" s="59">
        <f t="shared" si="71"/>
        <v>293.3333333333369</v>
      </c>
      <c r="DT89" s="59">
        <f ca="1">AVERAGE(OFFSET($DS$3,0,0,'Données projet'!$E$14+1,1))-AVERAGE(OFFSET($H$3,0,0,'Données projet'!$E$14+1,1))</f>
        <v>376.33792692771908</v>
      </c>
      <c r="DU89" s="59">
        <f t="shared" si="98"/>
        <v>367.92889258044698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0.4770092300241241</v>
      </c>
      <c r="EB89" s="21">
        <f>EXP(-LN(2)/25)*EB88+(1-EXP(-LN(2)/25))/(LN(2)/25)*Calculateur!DW89*Calculateur!DY89*VLOOKUP('Données projet'!$B$14,Paramètres!$A$1:$I$89,3,0)*0.475*44/12</f>
        <v>1.7719675159965986</v>
      </c>
      <c r="EC89" s="21">
        <f>EXP(-LN(2)/2)*EC88+(1-EXP(-LN(2)/2))/(LN(2)/2)*DW89*DZ89*VLOOKUP('Données projet'!$B$14,Paramètres!$A$1:$I$89,3,0)*0.475*44/12</f>
        <v>4.8693938541046662E-8</v>
      </c>
      <c r="ED89" s="22">
        <f t="shared" si="72"/>
        <v>2.2489767947146615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306.00335999999993</v>
      </c>
      <c r="P90" s="13">
        <f t="shared" si="87"/>
        <v>72.433543369450447</v>
      </c>
      <c r="Q90" s="20">
        <f t="shared" si="54"/>
        <v>659.11094003512596</v>
      </c>
      <c r="R90" s="59">
        <f t="shared" si="55"/>
        <v>952.44427336845933</v>
      </c>
      <c r="S90" s="59">
        <f ca="1">AVERAGE(OFFSET($R$3,0,0,'Données projet'!$E$9+1,1))-AVERAGE(OFFSET($H$3,0,0,'Données projet'!$E$9+1,1))</f>
        <v>469.68830256438338</v>
      </c>
      <c r="T90" s="59">
        <f t="shared" si="88"/>
        <v>332.61387922152159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0.77894597008378463</v>
      </c>
      <c r="AA90" s="21">
        <f>EXP(-LN(2)/25)*AA89+(1-EXP(-LN(2)/25))/(LN(2)/25)*Calculateur!V90*Calculateur!X90*VLOOKUP('Données projet'!$B$9,Paramètres!$A$1:$I$89,3,0)*0.475*44/12</f>
        <v>2.3231069710302803</v>
      </c>
      <c r="AB90" s="21">
        <f>EXP(-LN(2)/2)*AB89+(1-EXP(-LN(2)/2))/(LN(2)/2)*V90*Y90*VLOOKUP('Données projet'!$B$9,Paramètres!$A$1:$I$89,3,0)*0.475*44/12</f>
        <v>5.6775326245159712E-8</v>
      </c>
      <c r="AC90" s="22">
        <f t="shared" si="57"/>
        <v>3.1020529978893912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364.03847999999994</v>
      </c>
      <c r="AK90" s="13">
        <f t="shared" si="89"/>
        <v>84.446530729794134</v>
      </c>
      <c r="AL90" s="20">
        <f t="shared" si="58"/>
        <v>781.11139368772456</v>
      </c>
      <c r="AM90" s="59">
        <f t="shared" si="59"/>
        <v>1074.4447270210578</v>
      </c>
      <c r="AN90" s="59">
        <f ca="1">AVERAGE(OFFSET($AM$3,0,0,'Données projet'!$E$10+1,1))-AVERAGE(OFFSET($H$3,0,0,'Données projet'!$E$10+1,1))</f>
        <v>550.66682372933292</v>
      </c>
      <c r="AO90" s="59">
        <f t="shared" si="90"/>
        <v>387.28615589698444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0.92667710234105405</v>
      </c>
      <c r="AV90" s="21">
        <f>EXP(-LN(2)/25)*AV89+(1-EXP(-LN(2)/25))/(LN(2)/25)*Calculateur!AQ90*Calculateur!AS90*VLOOKUP('Données projet'!$B$10,Paramètres!$A$1:$I$89,3,0)*0.475*44/12</f>
        <v>2.7636962241567153</v>
      </c>
      <c r="AW90" s="21">
        <f>EXP(-LN(2)/2)*AW89+(1-EXP(-LN(2)/2))/(LN(2)/2)*AQ90*AT90*VLOOKUP('Données projet'!$B$10,Paramètres!$A$1:$I$89,3,0)*0.475*44/12</f>
        <v>6.7543060533034555E-8</v>
      </c>
      <c r="AX90" s="21">
        <f t="shared" si="60"/>
        <v>3.6903733940408299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1.7053025658242404E-13</v>
      </c>
      <c r="BE90" s="13">
        <f>BD90*VLOOKUP('Données projet'!$B$11,Paramètres!$A$1:$I$89,3,0)*VLOOKUP('Données projet'!$B$11,Paramètres!$A$1:$I$89,5,0)</f>
        <v>1.3301360013429075E-13</v>
      </c>
      <c r="BF90" s="13">
        <f t="shared" si="91"/>
        <v>1.9329766731057041E-12</v>
      </c>
      <c r="BG90" s="20">
        <f t="shared" si="61"/>
        <v>3.5982663925596575E-12</v>
      </c>
      <c r="BH90" s="59">
        <f t="shared" si="62"/>
        <v>293.3333333333369</v>
      </c>
      <c r="BI90" s="59">
        <f ca="1">AVERAGE(OFFSET($BH$3,0,0,'Données projet'!$E$11+1,1))-AVERAGE(OFFSET($H$3,0,0,'Données projet'!$E$11+1,1))</f>
        <v>376.33792692771908</v>
      </c>
      <c r="BJ90" s="59">
        <f t="shared" si="92"/>
        <v>367.92889258044698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0.4676553699702527</v>
      </c>
      <c r="BQ90" s="21">
        <f>EXP(-LN(2)/25)*BQ89+(1-EXP(-LN(2)/25))/(LN(2)/25)*Calculateur!BL90*Calculateur!BN90*VLOOKUP('Données projet'!$B$11,Paramètres!$A$1:$I$89,3,0)*0.475*44/12</f>
        <v>1.7235129710879498</v>
      </c>
      <c r="BR90" s="21">
        <f>EXP(-LN(2)/2)*BR89+(1-EXP(-LN(2)/2))/(LN(2)/2)*BL90*BO90*VLOOKUP('Données projet'!$B$11,Paramètres!$A$1:$I$89,3,0)*0.475*44/12</f>
        <v>3.4431814145055074E-8</v>
      </c>
      <c r="BS90" s="22">
        <f t="shared" si="63"/>
        <v>2.1911683754900166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252.62016000000034</v>
      </c>
      <c r="CA90" s="13">
        <f t="shared" si="93"/>
        <v>61.146667772298876</v>
      </c>
      <c r="CB90" s="20">
        <f t="shared" si="64"/>
        <v>546.47722503675448</v>
      </c>
      <c r="CC90" s="59">
        <f t="shared" si="65"/>
        <v>839.81055837008785</v>
      </c>
      <c r="CD90" s="59">
        <f ca="1">AVERAGE(OFFSET($CC$3,0,0,'Données projet'!$E$12+1,1))-AVERAGE(OFFSET($H$3,0,0,'Données projet'!$E$12+1,1))</f>
        <v>388.50131600273431</v>
      </c>
      <c r="CE90" s="59">
        <f t="shared" si="94"/>
        <v>247.01165577562955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0.63950569476278829</v>
      </c>
      <c r="CM90" s="21">
        <f>EXP(-LN(2)/2)*CM89+(1-EXP(-LN(2)/2))/(LN(2)/2)*CG90*CJ90*VLOOKUP('Données projet'!$B$12,Paramètres!$A$1:$I$89,3,0)*0.475*44/12</f>
        <v>1.630384415011387E-8</v>
      </c>
      <c r="CN90" s="22">
        <f t="shared" si="66"/>
        <v>0.63950571106663245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5.6</v>
      </c>
      <c r="CT90" s="12">
        <f>IF('Données projet'!$A$140&gt;35,CT89+CS90-DB89,IF(A90&lt;'Données projet'!$A$140,$CQ$205^A90,IF(A90='Données projet'!$A$140,'Données projet'!$B$140,CT89+CS90-DB89)))</f>
        <v>279.20000000000039</v>
      </c>
      <c r="CU90" s="17">
        <f>CT90*VLOOKUP('Données projet'!$B$13,Paramètres!$A$1:$I$89,3,0)*VLOOKUP('Données projet'!$B$13,Paramètres!$A$1:$I$89,5,0)</f>
        <v>300.53088000000042</v>
      </c>
      <c r="CV90" s="13">
        <f t="shared" si="95"/>
        <v>71.287744860425519</v>
      </c>
      <c r="CW90" s="20">
        <f t="shared" si="67"/>
        <v>647.58410496524175</v>
      </c>
      <c r="CX90" s="59">
        <f t="shared" si="68"/>
        <v>940.91743829857501</v>
      </c>
      <c r="CY90" s="59">
        <f ca="1">AVERAGE(OFFSET($CX$3,0,0,'Données projet'!$E$13+1,1))-AVERAGE(OFFSET($H$3,0,0,'Données projet'!$E$13+1,1))</f>
        <v>454.43000549907373</v>
      </c>
      <c r="CZ90" s="59">
        <f t="shared" si="96"/>
        <v>285.83623046025156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0.76079125756262767</v>
      </c>
      <c r="DH90" s="21">
        <f>EXP(-LN(2)/2)*DH89+(1-EXP(-LN(2)/2))/(LN(2)/2)*DB90*DE90*VLOOKUP('Données projet'!$B$13,Paramètres!$A$1:$I$89,3,0)*0.475*44/12</f>
        <v>1.9395952523411362E-8</v>
      </c>
      <c r="DI90" s="22">
        <f t="shared" si="69"/>
        <v>0.76079127695858018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1.7053025658242404E-13</v>
      </c>
      <c r="DP90" s="17">
        <f>DO90*VLOOKUP('Données projet'!$B$14,Paramètres!$A$1:$I$89,3,0)*VLOOKUP('Données projet'!$B$14,Paramètres!$A$1:$I$89,5,0)</f>
        <v>1.3301360013429075E-13</v>
      </c>
      <c r="DQ90" s="13">
        <f t="shared" si="97"/>
        <v>1.9329766731057041E-12</v>
      </c>
      <c r="DR90" s="20">
        <f t="shared" si="70"/>
        <v>3.5982663925596575E-12</v>
      </c>
      <c r="DS90" s="59">
        <f t="shared" si="71"/>
        <v>293.3333333333369</v>
      </c>
      <c r="DT90" s="59">
        <f ca="1">AVERAGE(OFFSET($DS$3,0,0,'Données projet'!$E$14+1,1))-AVERAGE(OFFSET($H$3,0,0,'Données projet'!$E$14+1,1))</f>
        <v>376.33792692771908</v>
      </c>
      <c r="DU90" s="59">
        <f t="shared" si="98"/>
        <v>367.92889258044698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0.4676553699702527</v>
      </c>
      <c r="EB90" s="21">
        <f>EXP(-LN(2)/25)*EB89+(1-EXP(-LN(2)/25))/(LN(2)/25)*Calculateur!DW90*Calculateur!DY90*VLOOKUP('Données projet'!$B$14,Paramètres!$A$1:$I$89,3,0)*0.475*44/12</f>
        <v>1.7235129710879498</v>
      </c>
      <c r="EC90" s="21">
        <f>EXP(-LN(2)/2)*EC89+(1-EXP(-LN(2)/2))/(LN(2)/2)*DW90*DZ90*VLOOKUP('Données projet'!$B$14,Paramètres!$A$1:$I$89,3,0)*0.475*44/12</f>
        <v>3.4431814145055074E-8</v>
      </c>
      <c r="ED90" s="22">
        <f t="shared" si="72"/>
        <v>2.1911683754900166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311.97503999999992</v>
      </c>
      <c r="P91" s="13">
        <f t="shared" si="87"/>
        <v>73.681144552074599</v>
      </c>
      <c r="Q91" s="20">
        <f t="shared" si="54"/>
        <v>671.68452142819649</v>
      </c>
      <c r="R91" s="59">
        <f t="shared" si="55"/>
        <v>965.01785476152986</v>
      </c>
      <c r="S91" s="59">
        <f ca="1">AVERAGE(OFFSET($R$3,0,0,'Données projet'!$E$9+1,1))-AVERAGE(OFFSET($H$3,0,0,'Données projet'!$E$9+1,1))</f>
        <v>469.68830256438338</v>
      </c>
      <c r="T91" s="59">
        <f t="shared" si="88"/>
        <v>332.61387922152159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0.76367131472057015</v>
      </c>
      <c r="AA91" s="21">
        <f>EXP(-LN(2)/25)*AA90+(1-EXP(-LN(2)/25))/(LN(2)/25)*Calculateur!V91*Calculateur!X91*VLOOKUP('Données projet'!$B$9,Paramètres!$A$1:$I$89,3,0)*0.475*44/12</f>
        <v>2.2595814887405714</v>
      </c>
      <c r="AB91" s="21">
        <f>EXP(-LN(2)/2)*AB90+(1-EXP(-LN(2)/2))/(LN(2)/2)*V91*Y91*VLOOKUP('Données projet'!$B$9,Paramètres!$A$1:$I$89,3,0)*0.475*44/12</f>
        <v>4.0146218192031003E-8</v>
      </c>
      <c r="AC91" s="22">
        <f t="shared" si="57"/>
        <v>3.0232528436073598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371.14271999999994</v>
      </c>
      <c r="AK91" s="13">
        <f t="shared" si="89"/>
        <v>85.901044573879233</v>
      </c>
      <c r="AL91" s="20">
        <f t="shared" si="58"/>
        <v>796.01788996617279</v>
      </c>
      <c r="AM91" s="59">
        <f t="shared" si="59"/>
        <v>1089.351223299506</v>
      </c>
      <c r="AN91" s="59">
        <f ca="1">AVERAGE(OFFSET($AM$3,0,0,'Données projet'!$E$10+1,1))-AVERAGE(OFFSET($H$3,0,0,'Données projet'!$E$10+1,1))</f>
        <v>550.66682372933292</v>
      </c>
      <c r="AO91" s="59">
        <f t="shared" si="90"/>
        <v>387.28615589698444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0.90850552958136788</v>
      </c>
      <c r="AV91" s="21">
        <f>EXP(-LN(2)/25)*AV90+(1-EXP(-LN(2)/25))/(LN(2)/25)*Calculateur!AQ91*Calculateur!AS91*VLOOKUP('Données projet'!$B$10,Paramètres!$A$1:$I$89,3,0)*0.475*44/12</f>
        <v>2.6881228055706821</v>
      </c>
      <c r="AW91" s="21">
        <f>EXP(-LN(2)/2)*AW90+(1-EXP(-LN(2)/2))/(LN(2)/2)*AQ91*AT91*VLOOKUP('Données projet'!$B$10,Paramètres!$A$1:$I$89,3,0)*0.475*44/12</f>
        <v>4.77601561250022E-8</v>
      </c>
      <c r="AX91" s="21">
        <f t="shared" si="60"/>
        <v>3.5966283829122063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1.7053025658242404E-13</v>
      </c>
      <c r="BE91" s="13">
        <f>BD91*VLOOKUP('Données projet'!$B$11,Paramètres!$A$1:$I$89,3,0)*VLOOKUP('Données projet'!$B$11,Paramètres!$A$1:$I$89,5,0)</f>
        <v>1.3301360013429075E-13</v>
      </c>
      <c r="BF91" s="13">
        <f t="shared" si="91"/>
        <v>1.9329766731057041E-12</v>
      </c>
      <c r="BG91" s="20">
        <f t="shared" si="61"/>
        <v>3.5982663925596575E-12</v>
      </c>
      <c r="BH91" s="59">
        <f t="shared" si="62"/>
        <v>293.3333333333369</v>
      </c>
      <c r="BI91" s="59">
        <f ca="1">AVERAGE(OFFSET($BH$3,0,0,'Données projet'!$E$11+1,1))-AVERAGE(OFFSET($H$3,0,0,'Données projet'!$E$11+1,1))</f>
        <v>376.33792692771908</v>
      </c>
      <c r="BJ91" s="59">
        <f t="shared" si="92"/>
        <v>367.92889258044698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0.45848493340674645</v>
      </c>
      <c r="BQ91" s="21">
        <f>EXP(-LN(2)/25)*BQ90+(1-EXP(-LN(2)/25))/(LN(2)/25)*Calculateur!BL91*Calculateur!BN91*VLOOKUP('Données projet'!$B$11,Paramètres!$A$1:$I$89,3,0)*0.475*44/12</f>
        <v>1.6763834182579418</v>
      </c>
      <c r="BR91" s="21">
        <f>EXP(-LN(2)/2)*BR90+(1-EXP(-LN(2)/2))/(LN(2)/2)*BL91*BO91*VLOOKUP('Données projet'!$B$11,Paramètres!$A$1:$I$89,3,0)*0.475*44/12</f>
        <v>2.4346969270523331E-8</v>
      </c>
      <c r="BS91" s="22">
        <f t="shared" si="63"/>
        <v>2.1348683760116578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257.68704000000037</v>
      </c>
      <c r="CA91" s="13">
        <f t="shared" si="93"/>
        <v>62.229092239243457</v>
      </c>
      <c r="CB91" s="20">
        <f t="shared" si="64"/>
        <v>557.18726365001623</v>
      </c>
      <c r="CC91" s="59">
        <f t="shared" si="65"/>
        <v>850.52059698334961</v>
      </c>
      <c r="CD91" s="59">
        <f ca="1">AVERAGE(OFFSET($CC$3,0,0,'Données projet'!$E$12+1,1))-AVERAGE(OFFSET($H$3,0,0,'Données projet'!$E$12+1,1))</f>
        <v>388.50131600273431</v>
      </c>
      <c r="CE91" s="59">
        <f t="shared" si="94"/>
        <v>247.01165577562955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0.62201837790935699</v>
      </c>
      <c r="CM91" s="21">
        <f>EXP(-LN(2)/2)*CM90+(1-EXP(-LN(2)/2))/(LN(2)/2)*CG91*CJ91*VLOOKUP('Données projet'!$B$12,Paramètres!$A$1:$I$89,3,0)*0.475*44/12</f>
        <v>1.1528558757954142E-8</v>
      </c>
      <c r="CN91" s="22">
        <f t="shared" si="66"/>
        <v>0.62201838943791576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5.6</v>
      </c>
      <c r="CT91" s="12">
        <f>IF('Données projet'!$A$140&gt;35,CT90+CS91-DB90,IF(A91&lt;'Données projet'!$A$140,$CQ$205^A91,IF(A91='Données projet'!$A$140,'Données projet'!$B$140,CT90+CS91-DB90)))</f>
        <v>284.80000000000041</v>
      </c>
      <c r="CU91" s="17">
        <f>CT91*VLOOKUP('Données projet'!$B$13,Paramètres!$A$1:$I$89,3,0)*VLOOKUP('Données projet'!$B$13,Paramètres!$A$1:$I$89,5,0)</f>
        <v>306.55872000000039</v>
      </c>
      <c r="CV91" s="13">
        <f t="shared" si="95"/>
        <v>72.549687694621696</v>
      </c>
      <c r="CW91" s="20">
        <f t="shared" si="67"/>
        <v>660.28047673480012</v>
      </c>
      <c r="CX91" s="59">
        <f t="shared" si="68"/>
        <v>953.61381006813349</v>
      </c>
      <c r="CY91" s="59">
        <f ca="1">AVERAGE(OFFSET($CX$3,0,0,'Données projet'!$E$13+1,1))-AVERAGE(OFFSET($H$3,0,0,'Données projet'!$E$13+1,1))</f>
        <v>454.43000549907373</v>
      </c>
      <c r="CZ91" s="59">
        <f t="shared" si="96"/>
        <v>285.83623046025156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0.7399873806163042</v>
      </c>
      <c r="DH91" s="21">
        <f>EXP(-LN(2)/2)*DH90+(1-EXP(-LN(2)/2))/(LN(2)/2)*DB91*DE91*VLOOKUP('Données projet'!$B$13,Paramètres!$A$1:$I$89,3,0)*0.475*44/12</f>
        <v>1.3715009556876503E-8</v>
      </c>
      <c r="DI91" s="22">
        <f t="shared" si="69"/>
        <v>0.73998739433131377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1.7053025658242404E-13</v>
      </c>
      <c r="DP91" s="17">
        <f>DO91*VLOOKUP('Données projet'!$B$14,Paramètres!$A$1:$I$89,3,0)*VLOOKUP('Données projet'!$B$14,Paramètres!$A$1:$I$89,5,0)</f>
        <v>1.3301360013429075E-13</v>
      </c>
      <c r="DQ91" s="13">
        <f t="shared" si="97"/>
        <v>1.9329766731057041E-12</v>
      </c>
      <c r="DR91" s="20">
        <f t="shared" si="70"/>
        <v>3.5982663925596575E-12</v>
      </c>
      <c r="DS91" s="59">
        <f t="shared" si="71"/>
        <v>293.3333333333369</v>
      </c>
      <c r="DT91" s="59">
        <f ca="1">AVERAGE(OFFSET($DS$3,0,0,'Données projet'!$E$14+1,1))-AVERAGE(OFFSET($H$3,0,0,'Données projet'!$E$14+1,1))</f>
        <v>376.33792692771908</v>
      </c>
      <c r="DU91" s="59">
        <f t="shared" si="98"/>
        <v>367.92889258044698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0.45848493340674645</v>
      </c>
      <c r="EB91" s="21">
        <f>EXP(-LN(2)/25)*EB90+(1-EXP(-LN(2)/25))/(LN(2)/25)*Calculateur!DW91*Calculateur!DY91*VLOOKUP('Données projet'!$B$14,Paramètres!$A$1:$I$89,3,0)*0.475*44/12</f>
        <v>1.6763834182579418</v>
      </c>
      <c r="EC91" s="21">
        <f>EXP(-LN(2)/2)*EC90+(1-EXP(-LN(2)/2))/(LN(2)/2)*DW91*DZ91*VLOOKUP('Données projet'!$B$14,Paramètres!$A$1:$I$89,3,0)*0.475*44/12</f>
        <v>2.4346969270523331E-8</v>
      </c>
      <c r="ED91" s="22">
        <f t="shared" si="72"/>
        <v>2.1348683760116578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317.94671999999997</v>
      </c>
      <c r="P92" s="13">
        <f t="shared" si="87"/>
        <v>74.925968901822259</v>
      </c>
      <c r="Q92" s="20">
        <f t="shared" si="54"/>
        <v>684.253266504007</v>
      </c>
      <c r="R92" s="59">
        <f t="shared" si="55"/>
        <v>977.58659983734037</v>
      </c>
      <c r="S92" s="59">
        <f ca="1">AVERAGE(OFFSET($R$3,0,0,'Données projet'!$E$9+1,1))-AVERAGE(OFFSET($H$3,0,0,'Données projet'!$E$9+1,1))</f>
        <v>469.68830256438338</v>
      </c>
      <c r="T92" s="59">
        <f t="shared" si="88"/>
        <v>332.61387922152159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0.74869618603240851</v>
      </c>
      <c r="AA92" s="21">
        <f>EXP(-LN(2)/25)*AA91+(1-EXP(-LN(2)/25))/(LN(2)/25)*Calculateur!V92*Calculateur!X92*VLOOKUP('Données projet'!$B$9,Paramètres!$A$1:$I$89,3,0)*0.475*44/12</f>
        <v>2.1977931141047344</v>
      </c>
      <c r="AB92" s="21">
        <f>EXP(-LN(2)/2)*AB91+(1-EXP(-LN(2)/2))/(LN(2)/2)*V92*Y92*VLOOKUP('Données projet'!$B$9,Paramètres!$A$1:$I$89,3,0)*0.475*44/12</f>
        <v>2.8387663122579863E-8</v>
      </c>
      <c r="AC92" s="22">
        <f t="shared" si="57"/>
        <v>2.9464893285248062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378.24696</v>
      </c>
      <c r="AK92" s="13">
        <f t="shared" si="89"/>
        <v>87.352321051794732</v>
      </c>
      <c r="AL92" s="20">
        <f t="shared" si="58"/>
        <v>810.91874783187575</v>
      </c>
      <c r="AM92" s="59">
        <f t="shared" si="59"/>
        <v>1104.2520811652091</v>
      </c>
      <c r="AN92" s="59">
        <f ca="1">AVERAGE(OFFSET($AM$3,0,0,'Données projet'!$E$10+1,1))-AVERAGE(OFFSET($H$3,0,0,'Données projet'!$E$10+1,1))</f>
        <v>550.66682372933292</v>
      </c>
      <c r="AO92" s="59">
        <f t="shared" si="90"/>
        <v>387.28615589698444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0.89069029027993418</v>
      </c>
      <c r="AV92" s="21">
        <f>EXP(-LN(2)/25)*AV91+(1-EXP(-LN(2)/25))/(LN(2)/25)*Calculateur!AQ92*Calculateur!AS92*VLOOKUP('Données projet'!$B$10,Paramètres!$A$1:$I$89,3,0)*0.475*44/12</f>
        <v>2.614615946090117</v>
      </c>
      <c r="AW92" s="21">
        <f>EXP(-LN(2)/2)*AW91+(1-EXP(-LN(2)/2))/(LN(2)/2)*AQ92*AT92*VLOOKUP('Données projet'!$B$10,Paramètres!$A$1:$I$89,3,0)*0.475*44/12</f>
        <v>3.3771530266517278E-8</v>
      </c>
      <c r="AX92" s="21">
        <f t="shared" si="60"/>
        <v>3.5053062701415816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1.7053025658242404E-13</v>
      </c>
      <c r="BE92" s="13">
        <f>BD92*VLOOKUP('Données projet'!$B$11,Paramètres!$A$1:$I$89,3,0)*VLOOKUP('Données projet'!$B$11,Paramètres!$A$1:$I$89,5,0)</f>
        <v>1.3301360013429075E-13</v>
      </c>
      <c r="BF92" s="13">
        <f t="shared" si="91"/>
        <v>1.9329766731057041E-12</v>
      </c>
      <c r="BG92" s="20">
        <f t="shared" si="61"/>
        <v>3.5982663925596575E-12</v>
      </c>
      <c r="BH92" s="59">
        <f t="shared" si="62"/>
        <v>293.3333333333369</v>
      </c>
      <c r="BI92" s="59">
        <f ca="1">AVERAGE(OFFSET($BH$3,0,0,'Données projet'!$E$11+1,1))-AVERAGE(OFFSET($H$3,0,0,'Données projet'!$E$11+1,1))</f>
        <v>376.33792692771908</v>
      </c>
      <c r="BJ92" s="59">
        <f t="shared" si="92"/>
        <v>367.92889258044698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0.44949432351083657</v>
      </c>
      <c r="BQ92" s="21">
        <f>EXP(-LN(2)/25)*BQ91+(1-EXP(-LN(2)/25))/(LN(2)/25)*Calculateur!BL92*Calculateur!BN92*VLOOKUP('Données projet'!$B$11,Paramètres!$A$1:$I$89,3,0)*0.475*44/12</f>
        <v>1.6305426255285058</v>
      </c>
      <c r="BR92" s="21">
        <f>EXP(-LN(2)/2)*BR91+(1-EXP(-LN(2)/2))/(LN(2)/2)*BL92*BO92*VLOOKUP('Données projet'!$B$11,Paramètres!$A$1:$I$89,3,0)*0.475*44/12</f>
        <v>1.7215907072527537E-8</v>
      </c>
      <c r="BS92" s="22">
        <f t="shared" si="63"/>
        <v>2.0800369662552494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262.75392000000039</v>
      </c>
      <c r="CA92" s="13">
        <f t="shared" si="93"/>
        <v>63.309041956360382</v>
      </c>
      <c r="CB92" s="20">
        <f t="shared" si="64"/>
        <v>567.89299207399495</v>
      </c>
      <c r="CC92" s="59">
        <f t="shared" si="65"/>
        <v>861.2263254073282</v>
      </c>
      <c r="CD92" s="59">
        <f ca="1">AVERAGE(OFFSET($CC$3,0,0,'Données projet'!$E$12+1,1))-AVERAGE(OFFSET($H$3,0,0,'Données projet'!$E$12+1,1))</f>
        <v>388.50131600273431</v>
      </c>
      <c r="CE92" s="59">
        <f t="shared" si="94"/>
        <v>247.01165577562955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0.6050092526549008</v>
      </c>
      <c r="CM92" s="21">
        <f>EXP(-LN(2)/2)*CM91+(1-EXP(-LN(2)/2))/(LN(2)/2)*CG92*CJ92*VLOOKUP('Données projet'!$B$12,Paramètres!$A$1:$I$89,3,0)*0.475*44/12</f>
        <v>8.1519220750569352E-9</v>
      </c>
      <c r="CN92" s="22">
        <f t="shared" si="66"/>
        <v>0.60500926080682282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5.6</v>
      </c>
      <c r="CT92" s="12">
        <f>IF('Données projet'!$A$140&gt;35,CT91+CS92-DB91,IF(A92&lt;'Données projet'!$A$140,$CQ$205^A92,IF(A92='Données projet'!$A$140,'Données projet'!$B$140,CT91+CS92-DB91)))</f>
        <v>290.40000000000043</v>
      </c>
      <c r="CU92" s="17">
        <f>CT92*VLOOKUP('Données projet'!$B$13,Paramètres!$A$1:$I$89,3,0)*VLOOKUP('Données projet'!$B$13,Paramètres!$A$1:$I$89,5,0)</f>
        <v>312.58656000000047</v>
      </c>
      <c r="CV92" s="13">
        <f t="shared" si="95"/>
        <v>73.808745345688024</v>
      </c>
      <c r="CW92" s="20">
        <f t="shared" si="67"/>
        <v>672.97182347707405</v>
      </c>
      <c r="CX92" s="59">
        <f t="shared" si="68"/>
        <v>966.30515681040742</v>
      </c>
      <c r="CY92" s="59">
        <f ca="1">AVERAGE(OFFSET($CX$3,0,0,'Données projet'!$E$13+1,1))-AVERAGE(OFFSET($H$3,0,0,'Données projet'!$E$13+1,1))</f>
        <v>454.43000549907373</v>
      </c>
      <c r="CZ92" s="59">
        <f t="shared" si="96"/>
        <v>285.83623046025156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0.71975238677910625</v>
      </c>
      <c r="DH92" s="21">
        <f>EXP(-LN(2)/2)*DH91+(1-EXP(-LN(2)/2))/(LN(2)/2)*DB92*DE92*VLOOKUP('Données projet'!$B$13,Paramètres!$A$1:$I$89,3,0)*0.475*44/12</f>
        <v>9.6979762617056811E-9</v>
      </c>
      <c r="DI92" s="22">
        <f t="shared" si="69"/>
        <v>0.71975239647708256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1.7053025658242404E-13</v>
      </c>
      <c r="DP92" s="17">
        <f>DO92*VLOOKUP('Données projet'!$B$14,Paramètres!$A$1:$I$89,3,0)*VLOOKUP('Données projet'!$B$14,Paramètres!$A$1:$I$89,5,0)</f>
        <v>1.3301360013429075E-13</v>
      </c>
      <c r="DQ92" s="13">
        <f t="shared" si="97"/>
        <v>1.9329766731057041E-12</v>
      </c>
      <c r="DR92" s="20">
        <f t="shared" si="70"/>
        <v>3.5982663925596575E-12</v>
      </c>
      <c r="DS92" s="59">
        <f t="shared" si="71"/>
        <v>293.3333333333369</v>
      </c>
      <c r="DT92" s="59">
        <f ca="1">AVERAGE(OFFSET($DS$3,0,0,'Données projet'!$E$14+1,1))-AVERAGE(OFFSET($H$3,0,0,'Données projet'!$E$14+1,1))</f>
        <v>376.33792692771908</v>
      </c>
      <c r="DU92" s="59">
        <f t="shared" si="98"/>
        <v>367.92889258044698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0.44949432351083657</v>
      </c>
      <c r="EB92" s="21">
        <f>EXP(-LN(2)/25)*EB91+(1-EXP(-LN(2)/25))/(LN(2)/25)*Calculateur!DW92*Calculateur!DY92*VLOOKUP('Données projet'!$B$14,Paramètres!$A$1:$I$89,3,0)*0.475*44/12</f>
        <v>1.6305426255285058</v>
      </c>
      <c r="EC92" s="21">
        <f>EXP(-LN(2)/2)*EC91+(1-EXP(-LN(2)/2))/(LN(2)/2)*DW92*DZ92*VLOOKUP('Données projet'!$B$14,Paramètres!$A$1:$I$89,3,0)*0.475*44/12</f>
        <v>1.7215907072527537E-8</v>
      </c>
      <c r="ED92" s="22">
        <f t="shared" si="72"/>
        <v>2.0800369662552494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323.91839999999996</v>
      </c>
      <c r="P93" s="13">
        <f t="shared" si="87"/>
        <v>76.168074587293091</v>
      </c>
      <c r="Q93" s="20">
        <f t="shared" si="54"/>
        <v>696.81727657286876</v>
      </c>
      <c r="R93" s="59">
        <f t="shared" si="55"/>
        <v>990.15060990620213</v>
      </c>
      <c r="S93" s="59">
        <f ca="1">AVERAGE(OFFSET($R$3,0,0,'Données projet'!$E$9+1,1))-AVERAGE(OFFSET($H$3,0,0,'Données projet'!$E$9+1,1))</f>
        <v>469.68830256438338</v>
      </c>
      <c r="T93" s="59">
        <f t="shared" si="88"/>
        <v>332.61387922152159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0.73401471048389511</v>
      </c>
      <c r="AA93" s="21">
        <f>EXP(-LN(2)/25)*AA92+(1-EXP(-LN(2)/25))/(LN(2)/25)*Calculateur!V93*Calculateur!X93*VLOOKUP('Données projet'!$B$9,Paramètres!$A$1:$I$89,3,0)*0.475*44/12</f>
        <v>2.1376943458226236</v>
      </c>
      <c r="AB93" s="21">
        <f>EXP(-LN(2)/2)*AB92+(1-EXP(-LN(2)/2))/(LN(2)/2)*V93*Y93*VLOOKUP('Données projet'!$B$9,Paramètres!$A$1:$I$89,3,0)*0.475*44/12</f>
        <v>2.0073109096015505E-8</v>
      </c>
      <c r="AC93" s="22">
        <f t="shared" si="57"/>
        <v>2.8717090763796276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385.35120000000001</v>
      </c>
      <c r="AK93" s="13">
        <f t="shared" si="89"/>
        <v>88.800427979309902</v>
      </c>
      <c r="AL93" s="20">
        <f t="shared" si="58"/>
        <v>825.81408539729807</v>
      </c>
      <c r="AM93" s="59">
        <f t="shared" si="59"/>
        <v>1119.1474187306314</v>
      </c>
      <c r="AN93" s="59">
        <f ca="1">AVERAGE(OFFSET($AM$3,0,0,'Données projet'!$E$10+1,1))-AVERAGE(OFFSET($H$3,0,0,'Données projet'!$E$10+1,1))</f>
        <v>550.66682372933292</v>
      </c>
      <c r="AO93" s="59">
        <f t="shared" si="90"/>
        <v>387.28615589698444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0.87322439695497855</v>
      </c>
      <c r="AV93" s="21">
        <f>EXP(-LN(2)/25)*AV92+(1-EXP(-LN(2)/25))/(LN(2)/25)*Calculateur!AQ93*Calculateur!AS93*VLOOKUP('Données projet'!$B$10,Paramètres!$A$1:$I$89,3,0)*0.475*44/12</f>
        <v>2.5431191355476059</v>
      </c>
      <c r="AW93" s="21">
        <f>EXP(-LN(2)/2)*AW92+(1-EXP(-LN(2)/2))/(LN(2)/2)*AQ93*AT93*VLOOKUP('Données projet'!$B$10,Paramètres!$A$1:$I$89,3,0)*0.475*44/12</f>
        <v>2.38800780625011E-8</v>
      </c>
      <c r="AX93" s="21">
        <f t="shared" si="60"/>
        <v>3.4163435563826625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1.7053025658242404E-13</v>
      </c>
      <c r="BE93" s="13">
        <f>BD93*VLOOKUP('Données projet'!$B$11,Paramètres!$A$1:$I$89,3,0)*VLOOKUP('Données projet'!$B$11,Paramètres!$A$1:$I$89,5,0)</f>
        <v>1.3301360013429075E-13</v>
      </c>
      <c r="BF93" s="13">
        <f t="shared" si="91"/>
        <v>1.9329766731057041E-12</v>
      </c>
      <c r="BG93" s="20">
        <f t="shared" si="61"/>
        <v>3.5982663925596575E-12</v>
      </c>
      <c r="BH93" s="59">
        <f t="shared" si="62"/>
        <v>293.3333333333369</v>
      </c>
      <c r="BI93" s="59">
        <f ca="1">AVERAGE(OFFSET($BH$3,0,0,'Données projet'!$E$11+1,1))-AVERAGE(OFFSET($H$3,0,0,'Données projet'!$E$11+1,1))</f>
        <v>376.33792692771908</v>
      </c>
      <c r="BJ93" s="59">
        <f t="shared" si="92"/>
        <v>367.92889258044698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0.44068001399125489</v>
      </c>
      <c r="BQ93" s="21">
        <f>EXP(-LN(2)/25)*BQ92+(1-EXP(-LN(2)/25))/(LN(2)/25)*Calculateur!BL93*Calculateur!BN93*VLOOKUP('Données projet'!$B$11,Paramètres!$A$1:$I$89,3,0)*0.475*44/12</f>
        <v>1.5859553516869187</v>
      </c>
      <c r="BR93" s="21">
        <f>EXP(-LN(2)/2)*BR92+(1-EXP(-LN(2)/2))/(LN(2)/2)*BL93*BO93*VLOOKUP('Données projet'!$B$11,Paramètres!$A$1:$I$89,3,0)*0.475*44/12</f>
        <v>1.2173484635261665E-8</v>
      </c>
      <c r="BS93" s="22">
        <f t="shared" si="63"/>
        <v>2.0266353778516581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267.82080000000042</v>
      </c>
      <c r="CA93" s="13">
        <f t="shared" si="93"/>
        <v>64.38657014789743</v>
      </c>
      <c r="CB93" s="20">
        <f t="shared" si="64"/>
        <v>578.59450300758874</v>
      </c>
      <c r="CC93" s="59">
        <f t="shared" si="65"/>
        <v>871.92783634092211</v>
      </c>
      <c r="CD93" s="59">
        <f ca="1">AVERAGE(OFFSET($CC$3,0,0,'Données projet'!$E$12+1,1))-AVERAGE(OFFSET($H$3,0,0,'Données projet'!$E$12+1,1))</f>
        <v>388.50131600273431</v>
      </c>
      <c r="CE93" s="59">
        <f t="shared" si="94"/>
        <v>247.01165577562955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0.58846524282499868</v>
      </c>
      <c r="CM93" s="21">
        <f>EXP(-LN(2)/2)*CM92+(1-EXP(-LN(2)/2))/(LN(2)/2)*CG93*CJ93*VLOOKUP('Données projet'!$B$12,Paramètres!$A$1:$I$89,3,0)*0.475*44/12</f>
        <v>5.7642793789770708E-9</v>
      </c>
      <c r="CN93" s="22">
        <f t="shared" si="66"/>
        <v>0.58846524858927807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296</v>
      </c>
      <c r="CR93" s="12">
        <f>VLOOKUP(A93,'Données projet'!$A$139:$I$159,9,0)</f>
        <v>5.6</v>
      </c>
      <c r="CS93" s="12">
        <f t="array" ref="CS93">INDEX(CR:CR,MIN(IF(ISNUMBER(CR93:CR289),ROW(CR93:CR289),"")))</f>
        <v>5.6</v>
      </c>
      <c r="CT93" s="12">
        <f>IF('Données projet'!$A$140&gt;35,CT92+CS93-DB92,IF(A93&lt;'Données projet'!$A$140,$CQ$205^A93,IF(A93='Données projet'!$A$140,'Données projet'!$B$140,CT92+CS93-DB92)))</f>
        <v>296.00000000000045</v>
      </c>
      <c r="CU93" s="17">
        <f>CT93*VLOOKUP('Données projet'!$B$13,Paramètres!$A$1:$I$89,3,0)*VLOOKUP('Données projet'!$B$13,Paramètres!$A$1:$I$89,5,0)</f>
        <v>318.61440000000044</v>
      </c>
      <c r="CV93" s="13">
        <f t="shared" si="95"/>
        <v>75.064979865028491</v>
      </c>
      <c r="CW93" s="20">
        <f t="shared" si="67"/>
        <v>685.65825326492529</v>
      </c>
      <c r="CX93" s="59">
        <f t="shared" si="68"/>
        <v>978.99158659825866</v>
      </c>
      <c r="CY93" s="59">
        <f ca="1">AVERAGE(OFFSET($CX$3,0,0,'Données projet'!$E$13+1,1))-AVERAGE(OFFSET($H$3,0,0,'Données projet'!$E$13+1,1))</f>
        <v>454.43000549907373</v>
      </c>
      <c r="CZ93" s="59">
        <f t="shared" si="96"/>
        <v>285.83623046025156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42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0.70007071991249858</v>
      </c>
      <c r="DH93" s="21">
        <f>EXP(-LN(2)/2)*DH92+(1-EXP(-LN(2)/2))/(LN(2)/2)*DB93*DE93*VLOOKUP('Données projet'!$B$13,Paramètres!$A$1:$I$89,3,0)*0.475*44/12</f>
        <v>6.8575047784382513E-9</v>
      </c>
      <c r="DI93" s="22">
        <f t="shared" si="69"/>
        <v>0.70007072677000337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1.7053025658242404E-13</v>
      </c>
      <c r="DP93" s="17">
        <f>DO93*VLOOKUP('Données projet'!$B$14,Paramètres!$A$1:$I$89,3,0)*VLOOKUP('Données projet'!$B$14,Paramètres!$A$1:$I$89,5,0)</f>
        <v>1.3301360013429075E-13</v>
      </c>
      <c r="DQ93" s="13">
        <f t="shared" si="97"/>
        <v>1.9329766731057041E-12</v>
      </c>
      <c r="DR93" s="20">
        <f t="shared" si="70"/>
        <v>3.5982663925596575E-12</v>
      </c>
      <c r="DS93" s="59">
        <f t="shared" si="71"/>
        <v>293.3333333333369</v>
      </c>
      <c r="DT93" s="59">
        <f ca="1">AVERAGE(OFFSET($DS$3,0,0,'Données projet'!$E$14+1,1))-AVERAGE(OFFSET($H$3,0,0,'Données projet'!$E$14+1,1))</f>
        <v>376.33792692771908</v>
      </c>
      <c r="DU93" s="59">
        <f t="shared" si="98"/>
        <v>367.92889258044698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0.44068001399125489</v>
      </c>
      <c r="EB93" s="21">
        <f>EXP(-LN(2)/25)*EB92+(1-EXP(-LN(2)/25))/(LN(2)/25)*Calculateur!DW93*Calculateur!DY93*VLOOKUP('Données projet'!$B$14,Paramètres!$A$1:$I$89,3,0)*0.475*44/12</f>
        <v>1.5859553516869187</v>
      </c>
      <c r="EC93" s="21">
        <f>EXP(-LN(2)/2)*EC92+(1-EXP(-LN(2)/2))/(LN(2)/2)*DW93*DZ93*VLOOKUP('Données projet'!$B$14,Paramètres!$A$1:$I$89,3,0)*0.475*44/12</f>
        <v>1.2173484635261665E-8</v>
      </c>
      <c r="ED93" s="22">
        <f t="shared" si="72"/>
        <v>2.0266353778516581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278.58791999999994</v>
      </c>
      <c r="P94" s="13">
        <f t="shared" si="87"/>
        <v>66.668508032294213</v>
      </c>
      <c r="Q94" s="20">
        <f t="shared" si="54"/>
        <v>601.32161215624558</v>
      </c>
      <c r="R94" s="59">
        <f t="shared" si="55"/>
        <v>894.65494548957895</v>
      </c>
      <c r="S94" s="59">
        <f ca="1">AVERAGE(OFFSET($R$3,0,0,'Données projet'!$E$9+1,1))-AVERAGE(OFFSET($H$3,0,0,'Données projet'!$E$9+1,1))</f>
        <v>469.68830256438338</v>
      </c>
      <c r="T94" s="59">
        <f t="shared" si="88"/>
        <v>332.61387922152159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0.71962112971607217</v>
      </c>
      <c r="AA94" s="21">
        <f>EXP(-LN(2)/25)*AA93+(1-EXP(-LN(2)/25))/(LN(2)/25)*Calculateur!V94*Calculateur!X94*VLOOKUP('Données projet'!$B$9,Paramètres!$A$1:$I$89,3,0)*0.475*44/12</f>
        <v>2.0792389815196439</v>
      </c>
      <c r="AB94" s="21">
        <f>EXP(-LN(2)/2)*AB93+(1-EXP(-LN(2)/2))/(LN(2)/2)*V94*Y94*VLOOKUP('Données projet'!$B$9,Paramètres!$A$1:$I$89,3,0)*0.475*44/12</f>
        <v>1.4193831561289933E-8</v>
      </c>
      <c r="AC94" s="22">
        <f t="shared" si="57"/>
        <v>2.7988601254295475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331.42355999999995</v>
      </c>
      <c r="AK94" s="13">
        <f t="shared" si="89"/>
        <v>77.725373499167191</v>
      </c>
      <c r="AL94" s="20">
        <f t="shared" si="58"/>
        <v>712.60105917771614</v>
      </c>
      <c r="AM94" s="59">
        <f t="shared" si="59"/>
        <v>1005.9343925110495</v>
      </c>
      <c r="AN94" s="59">
        <f ca="1">AVERAGE(OFFSET($AM$3,0,0,'Données projet'!$E$10+1,1))-AVERAGE(OFFSET($H$3,0,0,'Données projet'!$E$10+1,1))</f>
        <v>550.66682372933292</v>
      </c>
      <c r="AO94" s="59">
        <f t="shared" si="90"/>
        <v>387.28615589698444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0.85610099914498228</v>
      </c>
      <c r="AV94" s="21">
        <f>EXP(-LN(2)/25)*AV93+(1-EXP(-LN(2)/25))/(LN(2)/25)*Calculateur!AQ94*Calculateur!AS94*VLOOKUP('Données projet'!$B$10,Paramètres!$A$1:$I$89,3,0)*0.475*44/12</f>
        <v>2.4735774090492337</v>
      </c>
      <c r="AW94" s="21">
        <f>EXP(-LN(2)/2)*AW93+(1-EXP(-LN(2)/2))/(LN(2)/2)*AQ94*AT94*VLOOKUP('Données projet'!$B$10,Paramètres!$A$1:$I$89,3,0)*0.475*44/12</f>
        <v>1.6885765133258639E-8</v>
      </c>
      <c r="AX94" s="21">
        <f t="shared" si="60"/>
        <v>3.3296784250799814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1.7053025658242404E-13</v>
      </c>
      <c r="BE94" s="13">
        <f>BD94*VLOOKUP('Données projet'!$B$11,Paramètres!$A$1:$I$89,3,0)*VLOOKUP('Données projet'!$B$11,Paramètres!$A$1:$I$89,5,0)</f>
        <v>1.3301360013429075E-13</v>
      </c>
      <c r="BF94" s="13">
        <f t="shared" si="91"/>
        <v>1.9329766731057041E-12</v>
      </c>
      <c r="BG94" s="20">
        <f t="shared" si="61"/>
        <v>3.5982663925596575E-12</v>
      </c>
      <c r="BH94" s="59">
        <f t="shared" si="62"/>
        <v>293.3333333333369</v>
      </c>
      <c r="BI94" s="59">
        <f ca="1">AVERAGE(OFFSET($BH$3,0,0,'Données projet'!$E$11+1,1))-AVERAGE(OFFSET($H$3,0,0,'Données projet'!$E$11+1,1))</f>
        <v>376.33792692771908</v>
      </c>
      <c r="BJ94" s="59">
        <f t="shared" si="92"/>
        <v>367.92889258044698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0.43203854770515426</v>
      </c>
      <c r="BQ94" s="21">
        <f>EXP(-LN(2)/25)*BQ93+(1-EXP(-LN(2)/25))/(LN(2)/25)*Calculateur!BL94*Calculateur!BN94*VLOOKUP('Données projet'!$B$11,Paramètres!$A$1:$I$89,3,0)*0.475*44/12</f>
        <v>1.5425873191932726</v>
      </c>
      <c r="BR94" s="21">
        <f>EXP(-LN(2)/2)*BR93+(1-EXP(-LN(2)/2))/(LN(2)/2)*BL94*BO94*VLOOKUP('Données projet'!$B$11,Paramètres!$A$1:$I$89,3,0)*0.475*44/12</f>
        <v>8.6079535362637686E-9</v>
      </c>
      <c r="BS94" s="22">
        <f t="shared" si="63"/>
        <v>1.9746258755063804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234.25272000000038</v>
      </c>
      <c r="CA94" s="13">
        <f t="shared" si="93"/>
        <v>57.2012362311714</v>
      </c>
      <c r="CB94" s="20">
        <f t="shared" si="64"/>
        <v>507.61564043595746</v>
      </c>
      <c r="CC94" s="59">
        <f t="shared" si="65"/>
        <v>800.94897376929077</v>
      </c>
      <c r="CD94" s="59">
        <f ca="1">AVERAGE(OFFSET($CC$3,0,0,'Données projet'!$E$12+1,1))-AVERAGE(OFFSET($H$3,0,0,'Données projet'!$E$12+1,1))</f>
        <v>388.50131600273431</v>
      </c>
      <c r="CE94" s="59">
        <f t="shared" si="94"/>
        <v>247.01165577562955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0.57237362981390694</v>
      </c>
      <c r="CM94" s="21">
        <f>EXP(-LN(2)/2)*CM93+(1-EXP(-LN(2)/2))/(LN(2)/2)*CG94*CJ94*VLOOKUP('Données projet'!$B$12,Paramètres!$A$1:$I$89,3,0)*0.475*44/12</f>
        <v>4.0759610375284676E-9</v>
      </c>
      <c r="CN94" s="22">
        <f t="shared" si="66"/>
        <v>0.57237363388986795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4.9000000000000004</v>
      </c>
      <c r="CT94" s="12">
        <f>IF('Données projet'!$A$140&gt;35,CT93+CS94-DB93,IF(A94&lt;'Données projet'!$A$140,$CQ$205^A94,IF(A94='Données projet'!$A$140,'Données projet'!$B$140,CT93+CS94-DB93)))</f>
        <v>258.90000000000043</v>
      </c>
      <c r="CU94" s="17">
        <f>CT94*VLOOKUP('Données projet'!$B$13,Paramètres!$A$1:$I$89,3,0)*VLOOKUP('Données projet'!$B$13,Paramètres!$A$1:$I$89,5,0)</f>
        <v>278.67996000000045</v>
      </c>
      <c r="CV94" s="13">
        <f t="shared" si="95"/>
        <v>66.687969806197856</v>
      </c>
      <c r="CW94" s="20">
        <f t="shared" si="67"/>
        <v>601.51581107912864</v>
      </c>
      <c r="CX94" s="59">
        <f t="shared" si="68"/>
        <v>894.84914441246201</v>
      </c>
      <c r="CY94" s="59">
        <f ca="1">AVERAGE(OFFSET($CX$3,0,0,'Données projet'!$E$13+1,1))-AVERAGE(OFFSET($H$3,0,0,'Données projet'!$E$13+1,1))</f>
        <v>454.43000549907373</v>
      </c>
      <c r="CZ94" s="59">
        <f t="shared" si="96"/>
        <v>285.83623046025156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0.68092724926137216</v>
      </c>
      <c r="DH94" s="21">
        <f>EXP(-LN(2)/2)*DH93+(1-EXP(-LN(2)/2))/(LN(2)/2)*DB94*DE94*VLOOKUP('Données projet'!$B$13,Paramètres!$A$1:$I$89,3,0)*0.475*44/12</f>
        <v>4.8489881308528405E-9</v>
      </c>
      <c r="DI94" s="22">
        <f t="shared" si="69"/>
        <v>0.68092725411036026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1.7053025658242404E-13</v>
      </c>
      <c r="DP94" s="17">
        <f>DO94*VLOOKUP('Données projet'!$B$14,Paramètres!$A$1:$I$89,3,0)*VLOOKUP('Données projet'!$B$14,Paramètres!$A$1:$I$89,5,0)</f>
        <v>1.3301360013429075E-13</v>
      </c>
      <c r="DQ94" s="13">
        <f t="shared" si="97"/>
        <v>1.9329766731057041E-12</v>
      </c>
      <c r="DR94" s="20">
        <f t="shared" si="70"/>
        <v>3.5982663925596575E-12</v>
      </c>
      <c r="DS94" s="59">
        <f t="shared" si="71"/>
        <v>293.3333333333369</v>
      </c>
      <c r="DT94" s="59">
        <f ca="1">AVERAGE(OFFSET($DS$3,0,0,'Données projet'!$E$14+1,1))-AVERAGE(OFFSET($H$3,0,0,'Données projet'!$E$14+1,1))</f>
        <v>376.33792692771908</v>
      </c>
      <c r="DU94" s="59">
        <f t="shared" si="98"/>
        <v>367.92889258044698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0.43203854770515426</v>
      </c>
      <c r="EB94" s="21">
        <f>EXP(-LN(2)/25)*EB93+(1-EXP(-LN(2)/25))/(LN(2)/25)*Calculateur!DW94*Calculateur!DY94*VLOOKUP('Données projet'!$B$14,Paramètres!$A$1:$I$89,3,0)*0.475*44/12</f>
        <v>1.5425873191932726</v>
      </c>
      <c r="EC94" s="21">
        <f>EXP(-LN(2)/2)*EC93+(1-EXP(-LN(2)/2))/(LN(2)/2)*DW94*DZ94*VLOOKUP('Données projet'!$B$14,Paramètres!$A$1:$I$89,3,0)*0.475*44/12</f>
        <v>8.6079535362637686E-9</v>
      </c>
      <c r="ED94" s="22">
        <f t="shared" si="72"/>
        <v>1.9746258755063804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283.92623999999995</v>
      </c>
      <c r="P95" s="13">
        <f t="shared" si="87"/>
        <v>67.796062628528304</v>
      </c>
      <c r="Q95" s="20">
        <f t="shared" si="54"/>
        <v>612.58301041135337</v>
      </c>
      <c r="R95" s="59">
        <f t="shared" si="55"/>
        <v>905.91634374468663</v>
      </c>
      <c r="S95" s="59">
        <f ca="1">AVERAGE(OFFSET($R$3,0,0,'Données projet'!$E$9+1,1))-AVERAGE(OFFSET($H$3,0,0,'Données projet'!$E$9+1,1))</f>
        <v>469.68830256438338</v>
      </c>
      <c r="T95" s="59">
        <f t="shared" si="88"/>
        <v>332.61387922152159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0.70550979828788885</v>
      </c>
      <c r="AA95" s="21">
        <f>EXP(-LN(2)/25)*AA94+(1-EXP(-LN(2)/25))/(LN(2)/25)*Calculateur!V95*Calculateur!X95*VLOOKUP('Données projet'!$B$9,Paramètres!$A$1:$I$89,3,0)*0.475*44/12</f>
        <v>2.0223820822275633</v>
      </c>
      <c r="AB95" s="21">
        <f>EXP(-LN(2)/2)*AB94+(1-EXP(-LN(2)/2))/(LN(2)/2)*V95*Y95*VLOOKUP('Données projet'!$B$9,Paramètres!$A$1:$I$89,3,0)*0.475*44/12</f>
        <v>1.0036554548007754E-8</v>
      </c>
      <c r="AC95" s="22">
        <f t="shared" si="57"/>
        <v>2.7278918905520069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337.77431999999993</v>
      </c>
      <c r="AK95" s="13">
        <f t="shared" si="89"/>
        <v>79.039931222441098</v>
      </c>
      <c r="AL95" s="20">
        <f t="shared" si="58"/>
        <v>725.95148754575155</v>
      </c>
      <c r="AM95" s="59">
        <f t="shared" si="59"/>
        <v>1019.2848208790849</v>
      </c>
      <c r="AN95" s="59">
        <f ca="1">AVERAGE(OFFSET($AM$3,0,0,'Données projet'!$E$10+1,1))-AVERAGE(OFFSET($H$3,0,0,'Données projet'!$E$10+1,1))</f>
        <v>550.66682372933292</v>
      </c>
      <c r="AO95" s="59">
        <f t="shared" si="90"/>
        <v>387.28615589698444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0.83931338072179862</v>
      </c>
      <c r="AV95" s="21">
        <f>EXP(-LN(2)/25)*AV94+(1-EXP(-LN(2)/25))/(LN(2)/25)*Calculateur!AQ95*Calculateur!AS95*VLOOKUP('Données projet'!$B$10,Paramètres!$A$1:$I$89,3,0)*0.475*44/12</f>
        <v>2.405937304719</v>
      </c>
      <c r="AW95" s="21">
        <f>EXP(-LN(2)/2)*AW94+(1-EXP(-LN(2)/2))/(LN(2)/2)*AQ95*AT95*VLOOKUP('Données projet'!$B$10,Paramètres!$A$1:$I$89,3,0)*0.475*44/12</f>
        <v>1.194003903125055E-8</v>
      </c>
      <c r="AX95" s="21">
        <f t="shared" si="60"/>
        <v>3.2452506973808379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1.7053025658242404E-13</v>
      </c>
      <c r="BE95" s="13">
        <f>BD95*VLOOKUP('Données projet'!$B$11,Paramètres!$A$1:$I$89,3,0)*VLOOKUP('Données projet'!$B$11,Paramètres!$A$1:$I$89,5,0)</f>
        <v>1.3301360013429075E-13</v>
      </c>
      <c r="BF95" s="13">
        <f t="shared" si="91"/>
        <v>1.9329766731057041E-12</v>
      </c>
      <c r="BG95" s="20">
        <f t="shared" si="61"/>
        <v>3.5982663925596575E-12</v>
      </c>
      <c r="BH95" s="59">
        <f t="shared" si="62"/>
        <v>293.3333333333369</v>
      </c>
      <c r="BI95" s="59">
        <f ca="1">AVERAGE(OFFSET($BH$3,0,0,'Données projet'!$E$11+1,1))-AVERAGE(OFFSET($H$3,0,0,'Données projet'!$E$11+1,1))</f>
        <v>376.33792692771908</v>
      </c>
      <c r="BJ95" s="59">
        <f t="shared" si="92"/>
        <v>367.92889258044698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0.4235665353021501</v>
      </c>
      <c r="BQ95" s="21">
        <f>EXP(-LN(2)/25)*BQ94+(1-EXP(-LN(2)/25))/(LN(2)/25)*Calculateur!BL95*Calculateur!BN95*VLOOKUP('Données projet'!$B$11,Paramètres!$A$1:$I$89,3,0)*0.475*44/12</f>
        <v>1.5004051878287912</v>
      </c>
      <c r="BR95" s="21">
        <f>EXP(-LN(2)/2)*BR94+(1-EXP(-LN(2)/2))/(LN(2)/2)*BL95*BO95*VLOOKUP('Données projet'!$B$11,Paramètres!$A$1:$I$89,3,0)*0.475*44/12</f>
        <v>6.0867423176308327E-9</v>
      </c>
      <c r="BS95" s="22">
        <f t="shared" si="63"/>
        <v>1.9239717292176834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238.68624000000034</v>
      </c>
      <c r="CA95" s="13">
        <f t="shared" si="93"/>
        <v>58.156778382060978</v>
      </c>
      <c r="CB95" s="20">
        <f t="shared" si="64"/>
        <v>517.00159034875685</v>
      </c>
      <c r="CC95" s="59">
        <f t="shared" si="65"/>
        <v>810.33492368209022</v>
      </c>
      <c r="CD95" s="59">
        <f ca="1">AVERAGE(OFFSET($CC$3,0,0,'Données projet'!$E$12+1,1))-AVERAGE(OFFSET($H$3,0,0,'Données projet'!$E$12+1,1))</f>
        <v>388.50131600273431</v>
      </c>
      <c r="CE95" s="59">
        <f t="shared" si="94"/>
        <v>247.01165577562955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0.55672204280682469</v>
      </c>
      <c r="CM95" s="21">
        <f>EXP(-LN(2)/2)*CM94+(1-EXP(-LN(2)/2))/(LN(2)/2)*CG95*CJ95*VLOOKUP('Données projet'!$B$12,Paramètres!$A$1:$I$89,3,0)*0.475*44/12</f>
        <v>2.8821396894885354E-9</v>
      </c>
      <c r="CN95" s="22">
        <f t="shared" si="66"/>
        <v>0.55672204568896433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4.9000000000000004</v>
      </c>
      <c r="CT95" s="12">
        <f>IF('Données projet'!$A$140&gt;35,CT94+CS95-DB94,IF(A95&lt;'Données projet'!$A$140,$CQ$205^A95,IF(A95='Données projet'!$A$140,'Données projet'!$B$140,CT94+CS95-DB94)))</f>
        <v>263.80000000000041</v>
      </c>
      <c r="CU95" s="17">
        <f>CT95*VLOOKUP('Données projet'!$B$13,Paramètres!$A$1:$I$89,3,0)*VLOOKUP('Données projet'!$B$13,Paramètres!$A$1:$I$89,5,0)</f>
        <v>283.95432000000045</v>
      </c>
      <c r="CV95" s="13">
        <f t="shared" si="95"/>
        <v>67.80198709508204</v>
      </c>
      <c r="CW95" s="20">
        <f t="shared" si="67"/>
        <v>612.6422348572687</v>
      </c>
      <c r="CX95" s="59">
        <f t="shared" si="68"/>
        <v>905.97556819060196</v>
      </c>
      <c r="CY95" s="59">
        <f ca="1">AVERAGE(OFFSET($CX$3,0,0,'Données projet'!$E$13+1,1))-AVERAGE(OFFSET($H$3,0,0,'Données projet'!$E$13+1,1))</f>
        <v>454.43000549907373</v>
      </c>
      <c r="CZ95" s="59">
        <f t="shared" si="96"/>
        <v>285.83623046025156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0.66230725782191213</v>
      </c>
      <c r="DH95" s="21">
        <f>EXP(-LN(2)/2)*DH94+(1-EXP(-LN(2)/2))/(LN(2)/2)*DB95*DE95*VLOOKUP('Données projet'!$B$13,Paramètres!$A$1:$I$89,3,0)*0.475*44/12</f>
        <v>3.4287523892191257E-9</v>
      </c>
      <c r="DI95" s="22">
        <f t="shared" si="69"/>
        <v>0.66230726125066453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1.7053025658242404E-13</v>
      </c>
      <c r="DP95" s="17">
        <f>DO95*VLOOKUP('Données projet'!$B$14,Paramètres!$A$1:$I$89,3,0)*VLOOKUP('Données projet'!$B$14,Paramètres!$A$1:$I$89,5,0)</f>
        <v>1.3301360013429075E-13</v>
      </c>
      <c r="DQ95" s="13">
        <f t="shared" si="97"/>
        <v>1.9329766731057041E-12</v>
      </c>
      <c r="DR95" s="20">
        <f t="shared" si="70"/>
        <v>3.5982663925596575E-12</v>
      </c>
      <c r="DS95" s="59">
        <f t="shared" si="71"/>
        <v>293.3333333333369</v>
      </c>
      <c r="DT95" s="59">
        <f ca="1">AVERAGE(OFFSET($DS$3,0,0,'Données projet'!$E$14+1,1))-AVERAGE(OFFSET($H$3,0,0,'Données projet'!$E$14+1,1))</f>
        <v>376.33792692771908</v>
      </c>
      <c r="DU95" s="59">
        <f t="shared" si="98"/>
        <v>367.92889258044698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0.4235665353021501</v>
      </c>
      <c r="EB95" s="21">
        <f>EXP(-LN(2)/25)*EB94+(1-EXP(-LN(2)/25))/(LN(2)/25)*Calculateur!DW95*Calculateur!DY95*VLOOKUP('Données projet'!$B$14,Paramètres!$A$1:$I$89,3,0)*0.475*44/12</f>
        <v>1.5004051878287912</v>
      </c>
      <c r="EC95" s="21">
        <f>EXP(-LN(2)/2)*EC94+(1-EXP(-LN(2)/2))/(LN(2)/2)*DW95*DZ95*VLOOKUP('Données projet'!$B$14,Paramètres!$A$1:$I$89,3,0)*0.475*44/12</f>
        <v>6.0867423176308327E-9</v>
      </c>
      <c r="ED95" s="22">
        <f t="shared" si="72"/>
        <v>1.9239717292176834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289.26455999999996</v>
      </c>
      <c r="P96" s="13">
        <f t="shared" si="87"/>
        <v>68.921152085057912</v>
      </c>
      <c r="Q96" s="20">
        <f t="shared" si="54"/>
        <v>623.84011521480909</v>
      </c>
      <c r="R96" s="59">
        <f t="shared" si="55"/>
        <v>917.17344854814246</v>
      </c>
      <c r="S96" s="59">
        <f ca="1">AVERAGE(OFFSET($R$3,0,0,'Données projet'!$E$9+1,1))-AVERAGE(OFFSET($H$3,0,0,'Données projet'!$E$9+1,1))</f>
        <v>469.68830256438338</v>
      </c>
      <c r="T96" s="59">
        <f t="shared" si="88"/>
        <v>332.61387922152159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0.69167518146194984</v>
      </c>
      <c r="AA96" s="21">
        <f>EXP(-LN(2)/25)*AA95+(1-EXP(-LN(2)/25))/(LN(2)/25)*Calculateur!V96*Calculateur!X96*VLOOKUP('Données projet'!$B$9,Paramètres!$A$1:$I$89,3,0)*0.475*44/12</f>
        <v>1.9670799378365991</v>
      </c>
      <c r="AB96" s="21">
        <f>EXP(-LN(2)/2)*AB95+(1-EXP(-LN(2)/2))/(LN(2)/2)*V96*Y96*VLOOKUP('Données projet'!$B$9,Paramètres!$A$1:$I$89,3,0)*0.475*44/12</f>
        <v>7.0969157806449674E-9</v>
      </c>
      <c r="AC96" s="22">
        <f t="shared" si="57"/>
        <v>2.658755126395465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344.12507999999991</v>
      </c>
      <c r="AK96" s="13">
        <f t="shared" si="89"/>
        <v>80.351614966531784</v>
      </c>
      <c r="AL96" s="20">
        <f t="shared" si="58"/>
        <v>739.29691040004263</v>
      </c>
      <c r="AM96" s="59">
        <f t="shared" si="59"/>
        <v>1032.6302437333759</v>
      </c>
      <c r="AN96" s="59">
        <f ca="1">AVERAGE(OFFSET($AM$3,0,0,'Données projet'!$E$10+1,1))-AVERAGE(OFFSET($H$3,0,0,'Données projet'!$E$10+1,1))</f>
        <v>550.66682372933292</v>
      </c>
      <c r="AO96" s="59">
        <f t="shared" si="90"/>
        <v>387.28615589698444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0.82285495725645741</v>
      </c>
      <c r="AV96" s="21">
        <f>EXP(-LN(2)/25)*AV95+(1-EXP(-LN(2)/25))/(LN(2)/25)*Calculateur!AQ96*Calculateur!AS96*VLOOKUP('Données projet'!$B$10,Paramètres!$A$1:$I$89,3,0)*0.475*44/12</f>
        <v>2.3401468225987148</v>
      </c>
      <c r="AW96" s="21">
        <f>EXP(-LN(2)/2)*AW95+(1-EXP(-LN(2)/2))/(LN(2)/2)*AQ96*AT96*VLOOKUP('Données projet'!$B$10,Paramètres!$A$1:$I$89,3,0)*0.475*44/12</f>
        <v>8.4428825666293194E-9</v>
      </c>
      <c r="AX96" s="21">
        <f t="shared" si="60"/>
        <v>3.1630017882980543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1.7053025658242404E-13</v>
      </c>
      <c r="BE96" s="13">
        <f>BD96*VLOOKUP('Données projet'!$B$11,Paramètres!$A$1:$I$89,3,0)*VLOOKUP('Données projet'!$B$11,Paramètres!$A$1:$I$89,5,0)</f>
        <v>1.3301360013429075E-13</v>
      </c>
      <c r="BF96" s="13">
        <f t="shared" si="91"/>
        <v>1.9329766731057041E-12</v>
      </c>
      <c r="BG96" s="20">
        <f t="shared" si="61"/>
        <v>3.5982663925596575E-12</v>
      </c>
      <c r="BH96" s="59">
        <f t="shared" si="62"/>
        <v>293.3333333333369</v>
      </c>
      <c r="BI96" s="59">
        <f ca="1">AVERAGE(OFFSET($BH$3,0,0,'Données projet'!$E$11+1,1))-AVERAGE(OFFSET($H$3,0,0,'Données projet'!$E$11+1,1))</f>
        <v>376.33792692771908</v>
      </c>
      <c r="BJ96" s="59">
        <f t="shared" si="92"/>
        <v>367.92889258044698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0.41526065389495154</v>
      </c>
      <c r="BQ96" s="21">
        <f>EXP(-LN(2)/25)*BQ95+(1-EXP(-LN(2)/25))/(LN(2)/25)*Calculateur!BL96*Calculateur!BN96*VLOOKUP('Données projet'!$B$11,Paramètres!$A$1:$I$89,3,0)*0.475*44/12</f>
        <v>1.4593765290647334</v>
      </c>
      <c r="BR96" s="21">
        <f>EXP(-LN(2)/2)*BR95+(1-EXP(-LN(2)/2))/(LN(2)/2)*BL96*BO96*VLOOKUP('Données projet'!$B$11,Paramètres!$A$1:$I$89,3,0)*0.475*44/12</f>
        <v>4.3039767681318843E-9</v>
      </c>
      <c r="BS96" s="22">
        <f t="shared" si="63"/>
        <v>1.8746371872636616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243.11976000000033</v>
      </c>
      <c r="CA96" s="13">
        <f t="shared" si="93"/>
        <v>59.110256668778582</v>
      </c>
      <c r="CB96" s="20">
        <f t="shared" si="64"/>
        <v>526.38394569812317</v>
      </c>
      <c r="CC96" s="59">
        <f t="shared" si="65"/>
        <v>819.71727903145643</v>
      </c>
      <c r="CD96" s="59">
        <f ca="1">AVERAGE(OFFSET($CC$3,0,0,'Données projet'!$E$12+1,1))-AVERAGE(OFFSET($H$3,0,0,'Données projet'!$E$12+1,1))</f>
        <v>388.50131600273431</v>
      </c>
      <c r="CE96" s="59">
        <f t="shared" si="94"/>
        <v>247.01165577562955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0.54149844926953228</v>
      </c>
      <c r="CM96" s="21">
        <f>EXP(-LN(2)/2)*CM95+(1-EXP(-LN(2)/2))/(LN(2)/2)*CG96*CJ96*VLOOKUP('Données projet'!$B$12,Paramètres!$A$1:$I$89,3,0)*0.475*44/12</f>
        <v>2.0379805187642338E-9</v>
      </c>
      <c r="CN96" s="22">
        <f t="shared" si="66"/>
        <v>0.54149845130751284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4.9000000000000004</v>
      </c>
      <c r="CT96" s="12">
        <f>IF('Données projet'!$A$140&gt;35,CT95+CS96-DB95,IF(A96&lt;'Données projet'!$A$140,$CQ$205^A96,IF(A96='Données projet'!$A$140,'Données projet'!$B$140,CT95+CS96-DB95)))</f>
        <v>268.70000000000039</v>
      </c>
      <c r="CU96" s="17">
        <f>CT96*VLOOKUP('Données projet'!$B$13,Paramètres!$A$1:$I$89,3,0)*VLOOKUP('Données projet'!$B$13,Paramètres!$A$1:$I$89,5,0)</f>
        <v>289.2286800000004</v>
      </c>
      <c r="CV96" s="13">
        <f t="shared" si="95"/>
        <v>68.913598231221059</v>
      </c>
      <c r="CW96" s="20">
        <f t="shared" si="67"/>
        <v>623.76446791937724</v>
      </c>
      <c r="CX96" s="59">
        <f t="shared" si="68"/>
        <v>917.0978012527105</v>
      </c>
      <c r="CY96" s="59">
        <f ca="1">AVERAGE(OFFSET($CX$3,0,0,'Données projet'!$E$13+1,1))-AVERAGE(OFFSET($H$3,0,0,'Données projet'!$E$13+1,1))</f>
        <v>454.43000549907373</v>
      </c>
      <c r="CZ96" s="59">
        <f t="shared" si="96"/>
        <v>285.83623046025156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0.64419643102754698</v>
      </c>
      <c r="DH96" s="21">
        <f>EXP(-LN(2)/2)*DH95+(1-EXP(-LN(2)/2))/(LN(2)/2)*DB96*DE96*VLOOKUP('Données projet'!$B$13,Paramètres!$A$1:$I$89,3,0)*0.475*44/12</f>
        <v>2.4244940654264203E-9</v>
      </c>
      <c r="DI96" s="22">
        <f t="shared" si="69"/>
        <v>0.64419643345204103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1.7053025658242404E-13</v>
      </c>
      <c r="DP96" s="17">
        <f>DO96*VLOOKUP('Données projet'!$B$14,Paramètres!$A$1:$I$89,3,0)*VLOOKUP('Données projet'!$B$14,Paramètres!$A$1:$I$89,5,0)</f>
        <v>1.3301360013429075E-13</v>
      </c>
      <c r="DQ96" s="13">
        <f t="shared" si="97"/>
        <v>1.9329766731057041E-12</v>
      </c>
      <c r="DR96" s="20">
        <f t="shared" si="70"/>
        <v>3.5982663925596575E-12</v>
      </c>
      <c r="DS96" s="59">
        <f t="shared" si="71"/>
        <v>293.3333333333369</v>
      </c>
      <c r="DT96" s="59">
        <f ca="1">AVERAGE(OFFSET($DS$3,0,0,'Données projet'!$E$14+1,1))-AVERAGE(OFFSET($H$3,0,0,'Données projet'!$E$14+1,1))</f>
        <v>376.33792692771908</v>
      </c>
      <c r="DU96" s="59">
        <f t="shared" si="98"/>
        <v>367.92889258044698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0.41526065389495154</v>
      </c>
      <c r="EB96" s="21">
        <f>EXP(-LN(2)/25)*EB95+(1-EXP(-LN(2)/25))/(LN(2)/25)*Calculateur!DW96*Calculateur!DY96*VLOOKUP('Données projet'!$B$14,Paramètres!$A$1:$I$89,3,0)*0.475*44/12</f>
        <v>1.4593765290647334</v>
      </c>
      <c r="EC96" s="21">
        <f>EXP(-LN(2)/2)*EC95+(1-EXP(-LN(2)/2))/(LN(2)/2)*DW96*DZ96*VLOOKUP('Données projet'!$B$14,Paramètres!$A$1:$I$89,3,0)*0.475*44/12</f>
        <v>4.3039767681318843E-9</v>
      </c>
      <c r="ED96" s="22">
        <f t="shared" si="72"/>
        <v>1.8746371872636616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294.60287999999991</v>
      </c>
      <c r="P97" s="13">
        <f t="shared" si="87"/>
        <v>70.043827142305673</v>
      </c>
      <c r="Q97" s="20">
        <f t="shared" si="54"/>
        <v>635.09301493951546</v>
      </c>
      <c r="R97" s="59">
        <f t="shared" si="55"/>
        <v>928.42634827284883</v>
      </c>
      <c r="S97" s="59">
        <f ca="1">AVERAGE(OFFSET($R$3,0,0,'Données projet'!$E$9+1,1))-AVERAGE(OFFSET($H$3,0,0,'Données projet'!$E$9+1,1))</f>
        <v>469.68830256438338</v>
      </c>
      <c r="T97" s="59">
        <f t="shared" si="88"/>
        <v>332.61387922152159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0.67811185303368449</v>
      </c>
      <c r="AA97" s="21">
        <f>EXP(-LN(2)/25)*AA96+(1-EXP(-LN(2)/25))/(LN(2)/25)*Calculateur!V97*Calculateur!X97*VLOOKUP('Données projet'!$B$9,Paramètres!$A$1:$I$89,3,0)*0.475*44/12</f>
        <v>1.9132900334922192</v>
      </c>
      <c r="AB97" s="21">
        <f>EXP(-LN(2)/2)*AB96+(1-EXP(-LN(2)/2))/(LN(2)/2)*V97*Y97*VLOOKUP('Données projet'!$B$9,Paramètres!$A$1:$I$89,3,0)*0.475*44/12</f>
        <v>5.018277274003877E-9</v>
      </c>
      <c r="AC97" s="22">
        <f t="shared" si="57"/>
        <v>2.591401891544181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350.47583999999989</v>
      </c>
      <c r="AK97" s="13">
        <f t="shared" si="89"/>
        <v>81.660483887079877</v>
      </c>
      <c r="AL97" s="20">
        <f t="shared" si="58"/>
        <v>752.6374307699972</v>
      </c>
      <c r="AM97" s="59">
        <f t="shared" si="59"/>
        <v>1045.9707641033306</v>
      </c>
      <c r="AN97" s="59">
        <f ca="1">AVERAGE(OFFSET($AM$3,0,0,'Données projet'!$E$10+1,1))-AVERAGE(OFFSET($H$3,0,0,'Données projet'!$E$10+1,1))</f>
        <v>550.66682372933292</v>
      </c>
      <c r="AO97" s="59">
        <f t="shared" si="90"/>
        <v>387.28615589698444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0.80671927343662453</v>
      </c>
      <c r="AV97" s="21">
        <f>EXP(-LN(2)/25)*AV96+(1-EXP(-LN(2)/25))/(LN(2)/25)*Calculateur!AQ97*Calculateur!AS97*VLOOKUP('Données projet'!$B$10,Paramètres!$A$1:$I$89,3,0)*0.475*44/12</f>
        <v>2.2761553846717799</v>
      </c>
      <c r="AW97" s="21">
        <f>EXP(-LN(2)/2)*AW96+(1-EXP(-LN(2)/2))/(LN(2)/2)*AQ97*AT97*VLOOKUP('Données projet'!$B$10,Paramètres!$A$1:$I$89,3,0)*0.475*44/12</f>
        <v>5.970019515625275E-9</v>
      </c>
      <c r="AX97" s="21">
        <f t="shared" si="60"/>
        <v>3.0828746640784241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1.7053025658242404E-13</v>
      </c>
      <c r="BE97" s="13">
        <f>BD97*VLOOKUP('Données projet'!$B$11,Paramètres!$A$1:$I$89,3,0)*VLOOKUP('Données projet'!$B$11,Paramètres!$A$1:$I$89,5,0)</f>
        <v>1.3301360013429075E-13</v>
      </c>
      <c r="BF97" s="13">
        <f t="shared" si="91"/>
        <v>1.9329766731057041E-12</v>
      </c>
      <c r="BG97" s="20">
        <f t="shared" si="61"/>
        <v>3.5982663925596575E-12</v>
      </c>
      <c r="BH97" s="59">
        <f t="shared" si="62"/>
        <v>293.3333333333369</v>
      </c>
      <c r="BI97" s="59">
        <f ca="1">AVERAGE(OFFSET($BH$3,0,0,'Données projet'!$E$11+1,1))-AVERAGE(OFFSET($H$3,0,0,'Données projet'!$E$11+1,1))</f>
        <v>376.33792692771908</v>
      </c>
      <c r="BJ97" s="59">
        <f t="shared" si="92"/>
        <v>367.92889258044698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0.40711764575606069</v>
      </c>
      <c r="BQ97" s="21">
        <f>EXP(-LN(2)/25)*BQ96+(1-EXP(-LN(2)/25))/(LN(2)/25)*Calculateur!BL97*Calculateur!BN97*VLOOKUP('Données projet'!$B$11,Paramètres!$A$1:$I$89,3,0)*0.475*44/12</f>
        <v>1.419469801132182</v>
      </c>
      <c r="BR97" s="21">
        <f>EXP(-LN(2)/2)*BR96+(1-EXP(-LN(2)/2))/(LN(2)/2)*BL97*BO97*VLOOKUP('Données projet'!$B$11,Paramètres!$A$1:$I$89,3,0)*0.475*44/12</f>
        <v>3.0433711588154164E-9</v>
      </c>
      <c r="BS97" s="22">
        <f t="shared" si="63"/>
        <v>1.8265874499316139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247.55328000000031</v>
      </c>
      <c r="CA97" s="13">
        <f t="shared" si="93"/>
        <v>60.061713068870304</v>
      </c>
      <c r="CB97" s="20">
        <f t="shared" si="64"/>
        <v>535.76277959494962</v>
      </c>
      <c r="CC97" s="59">
        <f t="shared" si="65"/>
        <v>829.09611292828299</v>
      </c>
      <c r="CD97" s="59">
        <f ca="1">AVERAGE(OFFSET($CC$3,0,0,'Données projet'!$E$12+1,1))-AVERAGE(OFFSET($H$3,0,0,'Données projet'!$E$12+1,1))</f>
        <v>388.50131600273431</v>
      </c>
      <c r="CE97" s="59">
        <f t="shared" si="94"/>
        <v>247.01165577562955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0.52669114569809106</v>
      </c>
      <c r="CM97" s="21">
        <f>EXP(-LN(2)/2)*CM96+(1-EXP(-LN(2)/2))/(LN(2)/2)*CG97*CJ97*VLOOKUP('Données projet'!$B$12,Paramètres!$A$1:$I$89,3,0)*0.475*44/12</f>
        <v>1.4410698447442677E-9</v>
      </c>
      <c r="CN97" s="22">
        <f t="shared" si="66"/>
        <v>0.52669114713916088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4.9000000000000004</v>
      </c>
      <c r="CT97" s="12">
        <f>IF('Données projet'!$A$140&gt;35,CT96+CS97-DB96,IF(A97&lt;'Données projet'!$A$140,$CQ$205^A97,IF(A97='Données projet'!$A$140,'Données projet'!$B$140,CT96+CS97-DB96)))</f>
        <v>273.60000000000036</v>
      </c>
      <c r="CU97" s="17">
        <f>CT97*VLOOKUP('Données projet'!$B$13,Paramètres!$A$1:$I$89,3,0)*VLOOKUP('Données projet'!$B$13,Paramètres!$A$1:$I$89,5,0)</f>
        <v>294.5030400000004</v>
      </c>
      <c r="CV97" s="13">
        <f t="shared" si="95"/>
        <v>70.022852154069838</v>
      </c>
      <c r="CW97" s="20">
        <f t="shared" si="67"/>
        <v>634.8825955016722</v>
      </c>
      <c r="CX97" s="59">
        <f t="shared" si="68"/>
        <v>928.21592883500557</v>
      </c>
      <c r="CY97" s="59">
        <f ca="1">AVERAGE(OFFSET($CX$3,0,0,'Données projet'!$E$13+1,1))-AVERAGE(OFFSET($H$3,0,0,'Données projet'!$E$13+1,1))</f>
        <v>454.43000549907373</v>
      </c>
      <c r="CZ97" s="59">
        <f t="shared" si="96"/>
        <v>285.83623046025156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0.62658084574428075</v>
      </c>
      <c r="DH97" s="21">
        <f>EXP(-LN(2)/2)*DH96+(1-EXP(-LN(2)/2))/(LN(2)/2)*DB97*DE97*VLOOKUP('Données projet'!$B$13,Paramètres!$A$1:$I$89,3,0)*0.475*44/12</f>
        <v>1.7143761946095628E-9</v>
      </c>
      <c r="DI97" s="22">
        <f t="shared" si="69"/>
        <v>0.62658084745865694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1.7053025658242404E-13</v>
      </c>
      <c r="DP97" s="17">
        <f>DO97*VLOOKUP('Données projet'!$B$14,Paramètres!$A$1:$I$89,3,0)*VLOOKUP('Données projet'!$B$14,Paramètres!$A$1:$I$89,5,0)</f>
        <v>1.3301360013429075E-13</v>
      </c>
      <c r="DQ97" s="13">
        <f t="shared" si="97"/>
        <v>1.9329766731057041E-12</v>
      </c>
      <c r="DR97" s="20">
        <f t="shared" si="70"/>
        <v>3.5982663925596575E-12</v>
      </c>
      <c r="DS97" s="59">
        <f t="shared" si="71"/>
        <v>293.3333333333369</v>
      </c>
      <c r="DT97" s="59">
        <f ca="1">AVERAGE(OFFSET($DS$3,0,0,'Données projet'!$E$14+1,1))-AVERAGE(OFFSET($H$3,0,0,'Données projet'!$E$14+1,1))</f>
        <v>376.33792692771908</v>
      </c>
      <c r="DU97" s="59">
        <f t="shared" si="98"/>
        <v>367.92889258044698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0.40711764575606069</v>
      </c>
      <c r="EB97" s="21">
        <f>EXP(-LN(2)/25)*EB96+(1-EXP(-LN(2)/25))/(LN(2)/25)*Calculateur!DW97*Calculateur!DY97*VLOOKUP('Données projet'!$B$14,Paramètres!$A$1:$I$89,3,0)*0.475*44/12</f>
        <v>1.419469801132182</v>
      </c>
      <c r="EC97" s="21">
        <f>EXP(-LN(2)/2)*EC96+(1-EXP(-LN(2)/2))/(LN(2)/2)*DW97*DZ97*VLOOKUP('Données projet'!$B$14,Paramètres!$A$1:$I$89,3,0)*0.475*44/12</f>
        <v>3.0433711588154164E-9</v>
      </c>
      <c r="ED97" s="22">
        <f t="shared" si="72"/>
        <v>1.8265874499316139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299.94119999999987</v>
      </c>
      <c r="P98" s="13">
        <f t="shared" si="87"/>
        <v>71.164136596531506</v>
      </c>
      <c r="Q98" s="20">
        <f t="shared" si="54"/>
        <v>646.3417945722922</v>
      </c>
      <c r="R98" s="59">
        <f t="shared" si="55"/>
        <v>939.67512790562546</v>
      </c>
      <c r="S98" s="59">
        <f ca="1">AVERAGE(OFFSET($R$3,0,0,'Données projet'!$E$9+1,1))-AVERAGE(OFFSET($H$3,0,0,'Données projet'!$E$9+1,1))</f>
        <v>469.68830256438338</v>
      </c>
      <c r="T98" s="59">
        <f t="shared" si="88"/>
        <v>332.61387922152159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0.66481449320308394</v>
      </c>
      <c r="AA98" s="21">
        <f>EXP(-LN(2)/25)*AA97+(1-EXP(-LN(2)/25))/(LN(2)/25)*Calculateur!V98*Calculateur!X98*VLOOKUP('Données projet'!$B$9,Paramètres!$A$1:$I$89,3,0)*0.475*44/12</f>
        <v>1.8609710169108244</v>
      </c>
      <c r="AB98" s="21">
        <f>EXP(-LN(2)/2)*AB97+(1-EXP(-LN(2)/2))/(LN(2)/2)*V98*Y98*VLOOKUP('Données projet'!$B$9,Paramètres!$A$1:$I$89,3,0)*0.475*44/12</f>
        <v>3.5484578903224837E-9</v>
      </c>
      <c r="AC98" s="22">
        <f t="shared" si="57"/>
        <v>2.5257855136623664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356.82659999999987</v>
      </c>
      <c r="AK98" s="13">
        <f t="shared" si="89"/>
        <v>82.966594873126951</v>
      </c>
      <c r="AL98" s="20">
        <f t="shared" si="58"/>
        <v>765.97314773736252</v>
      </c>
      <c r="AM98" s="59">
        <f t="shared" si="59"/>
        <v>1059.3064810706958</v>
      </c>
      <c r="AN98" s="59">
        <f ca="1">AVERAGE(OFFSET($AM$3,0,0,'Données projet'!$E$10+1,1))-AVERAGE(OFFSET($H$3,0,0,'Données projet'!$E$10+1,1))</f>
        <v>550.66682372933292</v>
      </c>
      <c r="AO98" s="59">
        <f t="shared" si="90"/>
        <v>387.28615589698444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0.79090000053470322</v>
      </c>
      <c r="AV98" s="21">
        <f>EXP(-LN(2)/25)*AV97+(1-EXP(-LN(2)/25))/(LN(2)/25)*Calculateur!AQ98*Calculateur!AS98*VLOOKUP('Données projet'!$B$10,Paramètres!$A$1:$I$89,3,0)*0.475*44/12</f>
        <v>2.2139137959801207</v>
      </c>
      <c r="AW98" s="21">
        <f>EXP(-LN(2)/2)*AW97+(1-EXP(-LN(2)/2))/(LN(2)/2)*AQ98*AT98*VLOOKUP('Données projet'!$B$10,Paramètres!$A$1:$I$89,3,0)*0.475*44/12</f>
        <v>4.2214412833146597E-9</v>
      </c>
      <c r="AX98" s="21">
        <f t="shared" si="60"/>
        <v>3.0048138007362653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1.7053025658242404E-13</v>
      </c>
      <c r="BE98" s="13">
        <f>BD98*VLOOKUP('Données projet'!$B$11,Paramètres!$A$1:$I$89,3,0)*VLOOKUP('Données projet'!$B$11,Paramètres!$A$1:$I$89,5,0)</f>
        <v>1.3301360013429075E-13</v>
      </c>
      <c r="BF98" s="13">
        <f t="shared" si="91"/>
        <v>1.9329766731057041E-12</v>
      </c>
      <c r="BG98" s="20">
        <f t="shared" si="61"/>
        <v>3.5982663925596575E-12</v>
      </c>
      <c r="BH98" s="59">
        <f t="shared" si="62"/>
        <v>293.3333333333369</v>
      </c>
      <c r="BI98" s="59">
        <f ca="1">AVERAGE(OFFSET($BH$3,0,0,'Données projet'!$E$11+1,1))-AVERAGE(OFFSET($H$3,0,0,'Données projet'!$E$11+1,1))</f>
        <v>376.33792692771908</v>
      </c>
      <c r="BJ98" s="59">
        <f t="shared" si="92"/>
        <v>367.92889258044698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0.39913431704002894</v>
      </c>
      <c r="BQ98" s="21">
        <f>EXP(-LN(2)/25)*BQ97+(1-EXP(-LN(2)/25))/(LN(2)/25)*Calculateur!BL98*Calculateur!BN98*VLOOKUP('Données projet'!$B$11,Paramètres!$A$1:$I$89,3,0)*0.475*44/12</f>
        <v>1.3806543247735499</v>
      </c>
      <c r="BR98" s="21">
        <f>EXP(-LN(2)/2)*BR97+(1-EXP(-LN(2)/2))/(LN(2)/2)*BL98*BO98*VLOOKUP('Données projet'!$B$11,Paramètres!$A$1:$I$89,3,0)*0.475*44/12</f>
        <v>2.1519883840659421E-9</v>
      </c>
      <c r="BS98" s="22">
        <f t="shared" si="63"/>
        <v>1.7797886439655672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251.98680000000033</v>
      </c>
      <c r="CA98" s="13">
        <f t="shared" si="93"/>
        <v>61.011187970195103</v>
      </c>
      <c r="CB98" s="20">
        <f t="shared" si="64"/>
        <v>545.13816238142374</v>
      </c>
      <c r="CC98" s="59">
        <f t="shared" si="65"/>
        <v>838.47149571475711</v>
      </c>
      <c r="CD98" s="59">
        <f ca="1">AVERAGE(OFFSET($CC$3,0,0,'Données projet'!$E$12+1,1))-AVERAGE(OFFSET($H$3,0,0,'Données projet'!$E$12+1,1))</f>
        <v>388.50131600273431</v>
      </c>
      <c r="CE98" s="59">
        <f t="shared" si="94"/>
        <v>247.01165577562955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0.51228874862149321</v>
      </c>
      <c r="CM98" s="21">
        <f>EXP(-LN(2)/2)*CM97+(1-EXP(-LN(2)/2))/(LN(2)/2)*CG98*CJ98*VLOOKUP('Données projet'!$B$12,Paramètres!$A$1:$I$89,3,0)*0.475*44/12</f>
        <v>1.0189902593821169E-9</v>
      </c>
      <c r="CN98" s="22">
        <f t="shared" si="66"/>
        <v>0.51228874964048343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4.9000000000000004</v>
      </c>
      <c r="CT98" s="12">
        <f>IF('Données projet'!$A$140&gt;35,CT97+CS98-DB97,IF(A98&lt;'Données projet'!$A$140,$CQ$205^A98,IF(A98='Données projet'!$A$140,'Données projet'!$B$140,CT97+CS98-DB97)))</f>
        <v>278.50000000000034</v>
      </c>
      <c r="CU98" s="17">
        <f>CT98*VLOOKUP('Données projet'!$B$13,Paramètres!$A$1:$I$89,3,0)*VLOOKUP('Données projet'!$B$13,Paramètres!$A$1:$I$89,5,0)</f>
        <v>299.77740000000034</v>
      </c>
      <c r="CV98" s="13">
        <f t="shared" si="95"/>
        <v>71.129795949749308</v>
      </c>
      <c r="CW98" s="20">
        <f t="shared" si="67"/>
        <v>645.9966996124806</v>
      </c>
      <c r="CX98" s="59">
        <f t="shared" si="68"/>
        <v>939.33003294581385</v>
      </c>
      <c r="CY98" s="59">
        <f ca="1">AVERAGE(OFFSET($CX$3,0,0,'Données projet'!$E$13+1,1))-AVERAGE(OFFSET($H$3,0,0,'Données projet'!$E$13+1,1))</f>
        <v>454.43000549907373</v>
      </c>
      <c r="CZ98" s="59">
        <f t="shared" si="96"/>
        <v>285.83623046025156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0.60944695956694883</v>
      </c>
      <c r="DH98" s="21">
        <f>EXP(-LN(2)/2)*DH97+(1-EXP(-LN(2)/2))/(LN(2)/2)*DB98*DE98*VLOOKUP('Données projet'!$B$13,Paramètres!$A$1:$I$89,3,0)*0.475*44/12</f>
        <v>1.2122470327132101E-9</v>
      </c>
      <c r="DI98" s="22">
        <f t="shared" si="69"/>
        <v>0.60944696077919591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1.7053025658242404E-13</v>
      </c>
      <c r="DP98" s="17">
        <f>DO98*VLOOKUP('Données projet'!$B$14,Paramètres!$A$1:$I$89,3,0)*VLOOKUP('Données projet'!$B$14,Paramètres!$A$1:$I$89,5,0)</f>
        <v>1.3301360013429075E-13</v>
      </c>
      <c r="DQ98" s="13">
        <f t="shared" si="97"/>
        <v>1.9329766731057041E-12</v>
      </c>
      <c r="DR98" s="20">
        <f t="shared" si="70"/>
        <v>3.5982663925596575E-12</v>
      </c>
      <c r="DS98" s="59">
        <f t="shared" si="71"/>
        <v>293.3333333333369</v>
      </c>
      <c r="DT98" s="59">
        <f ca="1">AVERAGE(OFFSET($DS$3,0,0,'Données projet'!$E$14+1,1))-AVERAGE(OFFSET($H$3,0,0,'Données projet'!$E$14+1,1))</f>
        <v>376.33792692771908</v>
      </c>
      <c r="DU98" s="59">
        <f t="shared" si="98"/>
        <v>367.92889258044698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0.39913431704002894</v>
      </c>
      <c r="EB98" s="21">
        <f>EXP(-LN(2)/25)*EB97+(1-EXP(-LN(2)/25))/(LN(2)/25)*Calculateur!DW98*Calculateur!DY98*VLOOKUP('Données projet'!$B$14,Paramètres!$A$1:$I$89,3,0)*0.475*44/12</f>
        <v>1.3806543247735499</v>
      </c>
      <c r="EC98" s="21">
        <f>EXP(-LN(2)/2)*EC97+(1-EXP(-LN(2)/2))/(LN(2)/2)*DW98*DZ98*VLOOKUP('Données projet'!$B$14,Paramètres!$A$1:$I$89,3,0)*0.475*44/12</f>
        <v>2.1519883840659421E-9</v>
      </c>
      <c r="ED98" s="22">
        <f t="shared" si="72"/>
        <v>1.7797886439655672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305.27951999999982</v>
      </c>
      <c r="P99" s="13">
        <f t="shared" si="87"/>
        <v>72.282127407576809</v>
      </c>
      <c r="Q99" s="20">
        <f t="shared" ref="Q99:Q130" si="107">(O99+P99)*0.475*44/12</f>
        <v>657.58653590152937</v>
      </c>
      <c r="R99" s="59">
        <f t="shared" si="55"/>
        <v>950.91986923486274</v>
      </c>
      <c r="S99" s="59">
        <f ca="1">AVERAGE(OFFSET($R$3,0,0,'Données projet'!$E$9+1,1))-AVERAGE(OFFSET($H$3,0,0,'Données projet'!$E$9+1,1))</f>
        <v>469.68830256438338</v>
      </c>
      <c r="T99" s="59">
        <f t="shared" si="88"/>
        <v>332.61387922152159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0.65177788648817281</v>
      </c>
      <c r="AA99" s="21">
        <f>EXP(-LN(2)/25)*AA98+(1-EXP(-LN(2)/25))/(LN(2)/25)*Calculateur!V99*Calculateur!X99*VLOOKUP('Données projet'!$B$9,Paramètres!$A$1:$I$89,3,0)*0.475*44/12</f>
        <v>1.8100826665891854</v>
      </c>
      <c r="AB99" s="21">
        <f>EXP(-LN(2)/2)*AB98+(1-EXP(-LN(2)/2))/(LN(2)/2)*V99*Y99*VLOOKUP('Données projet'!$B$9,Paramètres!$A$1:$I$89,3,0)*0.475*44/12</f>
        <v>2.5091386370019385E-9</v>
      </c>
      <c r="AC99" s="22">
        <f t="shared" si="57"/>
        <v>2.461860555586497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363.17735999999985</v>
      </c>
      <c r="AK99" s="13">
        <f t="shared" si="89"/>
        <v>84.27000267272912</v>
      </c>
      <c r="AL99" s="20">
        <f t="shared" si="58"/>
        <v>779.30415665500288</v>
      </c>
      <c r="AM99" s="59">
        <f t="shared" si="59"/>
        <v>1072.6374899883363</v>
      </c>
      <c r="AN99" s="59">
        <f ca="1">AVERAGE(OFFSET($AM$3,0,0,'Données projet'!$E$10+1,1))-AVERAGE(OFFSET($H$3,0,0,'Données projet'!$E$10+1,1))</f>
        <v>550.66682372933292</v>
      </c>
      <c r="AO99" s="59">
        <f t="shared" si="90"/>
        <v>387.28615589698444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0.77539093392558489</v>
      </c>
      <c r="AV99" s="21">
        <f>EXP(-LN(2)/25)*AV98+(1-EXP(-LN(2)/25))/(LN(2)/25)*Calculateur!AQ99*Calculateur!AS99*VLOOKUP('Données projet'!$B$10,Paramètres!$A$1:$I$89,3,0)*0.475*44/12</f>
        <v>2.153374206804378</v>
      </c>
      <c r="AW99" s="21">
        <f>EXP(-LN(2)/2)*AW98+(1-EXP(-LN(2)/2))/(LN(2)/2)*AQ99*AT99*VLOOKUP('Données projet'!$B$10,Paramètres!$A$1:$I$89,3,0)*0.475*44/12</f>
        <v>2.9850097578126375E-9</v>
      </c>
      <c r="AX99" s="21">
        <f t="shared" si="60"/>
        <v>2.9287651437149727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1.7053025658242404E-13</v>
      </c>
      <c r="BE99" s="13">
        <f>BD99*VLOOKUP('Données projet'!$B$11,Paramètres!$A$1:$I$89,3,0)*VLOOKUP('Données projet'!$B$11,Paramètres!$A$1:$I$89,5,0)</f>
        <v>1.3301360013429075E-13</v>
      </c>
      <c r="BF99" s="13">
        <f t="shared" si="91"/>
        <v>1.9329766731057041E-12</v>
      </c>
      <c r="BG99" s="20">
        <f t="shared" si="61"/>
        <v>3.5982663925596575E-12</v>
      </c>
      <c r="BH99" s="59">
        <f t="shared" si="62"/>
        <v>293.3333333333369</v>
      </c>
      <c r="BI99" s="59">
        <f ca="1">AVERAGE(OFFSET($BH$3,0,0,'Données projet'!$E$11+1,1))-AVERAGE(OFFSET($H$3,0,0,'Données projet'!$E$11+1,1))</f>
        <v>376.33792692771908</v>
      </c>
      <c r="BJ99" s="59">
        <f t="shared" si="92"/>
        <v>367.92889258044698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0.39130753653076888</v>
      </c>
      <c r="BQ99" s="21">
        <f>EXP(-LN(2)/25)*BQ98+(1-EXP(-LN(2)/25))/(LN(2)/25)*Calculateur!BL99*Calculateur!BN99*VLOOKUP('Données projet'!$B$11,Paramètres!$A$1:$I$89,3,0)*0.475*44/12</f>
        <v>1.3429002596571618</v>
      </c>
      <c r="BR99" s="21">
        <f>EXP(-LN(2)/2)*BR98+(1-EXP(-LN(2)/2))/(LN(2)/2)*BL99*BO99*VLOOKUP('Données projet'!$B$11,Paramètres!$A$1:$I$89,3,0)*0.475*44/12</f>
        <v>1.5216855794077082E-9</v>
      </c>
      <c r="BS99" s="22">
        <f t="shared" si="63"/>
        <v>1.7342077977096164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256.42032000000029</v>
      </c>
      <c r="CA99" s="13">
        <f t="shared" si="93"/>
        <v>61.958720258016967</v>
      </c>
      <c r="CB99" s="20">
        <f t="shared" si="64"/>
        <v>554.51016178271334</v>
      </c>
      <c r="CC99" s="59">
        <f t="shared" si="65"/>
        <v>847.8434951160466</v>
      </c>
      <c r="CD99" s="59">
        <f ca="1">AVERAGE(OFFSET($CC$3,0,0,'Données projet'!$E$12+1,1))-AVERAGE(OFFSET($H$3,0,0,'Données projet'!$E$12+1,1))</f>
        <v>388.50131600273431</v>
      </c>
      <c r="CE99" s="59">
        <f t="shared" si="94"/>
        <v>247.01165577562955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0.49828018585034406</v>
      </c>
      <c r="CM99" s="21">
        <f>EXP(-LN(2)/2)*CM98+(1-EXP(-LN(2)/2))/(LN(2)/2)*CG99*CJ99*VLOOKUP('Données projet'!$B$12,Paramètres!$A$1:$I$89,3,0)*0.475*44/12</f>
        <v>7.2053492237213385E-10</v>
      </c>
      <c r="CN99" s="22">
        <f t="shared" si="66"/>
        <v>0.49828018657087897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4.9000000000000004</v>
      </c>
      <c r="CT99" s="12">
        <f>IF('Données projet'!$A$140&gt;35,CT98+CS99-DB98,IF(A99&lt;'Données projet'!$A$140,$CQ$205^A99,IF(A99='Données projet'!$A$140,'Données projet'!$B$140,CT98+CS99-DB98)))</f>
        <v>283.40000000000032</v>
      </c>
      <c r="CU99" s="17">
        <f>CT99*VLOOKUP('Données projet'!$B$13,Paramètres!$A$1:$I$89,3,0)*VLOOKUP('Données projet'!$B$13,Paramètres!$A$1:$I$89,5,0)</f>
        <v>305.05176000000029</v>
      </c>
      <c r="CV99" s="13">
        <f t="shared" si="95"/>
        <v>72.234474952582318</v>
      </c>
      <c r="CW99" s="20">
        <f t="shared" si="67"/>
        <v>657.10685920908134</v>
      </c>
      <c r="CX99" s="59">
        <f t="shared" si="68"/>
        <v>950.44019254241471</v>
      </c>
      <c r="CY99" s="59">
        <f ca="1">AVERAGE(OFFSET($CX$3,0,0,'Données projet'!$E$13+1,1))-AVERAGE(OFFSET($H$3,0,0,'Données projet'!$E$13+1,1))</f>
        <v>454.43000549907373</v>
      </c>
      <c r="CZ99" s="59">
        <f t="shared" si="96"/>
        <v>285.83623046025156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0.59278160040816796</v>
      </c>
      <c r="DH99" s="21">
        <f>EXP(-LN(2)/2)*DH98+(1-EXP(-LN(2)/2))/(LN(2)/2)*DB99*DE99*VLOOKUP('Données projet'!$B$13,Paramètres!$A$1:$I$89,3,0)*0.475*44/12</f>
        <v>8.5718809730478141E-10</v>
      </c>
      <c r="DI99" s="22">
        <f t="shared" si="69"/>
        <v>0.59278160126535606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1.7053025658242404E-13</v>
      </c>
      <c r="DP99" s="17">
        <f>DO99*VLOOKUP('Données projet'!$B$14,Paramètres!$A$1:$I$89,3,0)*VLOOKUP('Données projet'!$B$14,Paramètres!$A$1:$I$89,5,0)</f>
        <v>1.3301360013429075E-13</v>
      </c>
      <c r="DQ99" s="13">
        <f t="shared" si="97"/>
        <v>1.9329766731057041E-12</v>
      </c>
      <c r="DR99" s="20">
        <f t="shared" si="70"/>
        <v>3.5982663925596575E-12</v>
      </c>
      <c r="DS99" s="59">
        <f t="shared" si="71"/>
        <v>293.3333333333369</v>
      </c>
      <c r="DT99" s="59">
        <f ca="1">AVERAGE(OFFSET($DS$3,0,0,'Données projet'!$E$14+1,1))-AVERAGE(OFFSET($H$3,0,0,'Données projet'!$E$14+1,1))</f>
        <v>376.33792692771908</v>
      </c>
      <c r="DU99" s="59">
        <f t="shared" si="98"/>
        <v>367.92889258044698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0.39130753653076888</v>
      </c>
      <c r="EB99" s="21">
        <f>EXP(-LN(2)/25)*EB98+(1-EXP(-LN(2)/25))/(LN(2)/25)*Calculateur!DW99*Calculateur!DY99*VLOOKUP('Données projet'!$B$14,Paramètres!$A$1:$I$89,3,0)*0.475*44/12</f>
        <v>1.3429002596571618</v>
      </c>
      <c r="EC99" s="21">
        <f>EXP(-LN(2)/2)*EC98+(1-EXP(-LN(2)/2))/(LN(2)/2)*DW99*DZ99*VLOOKUP('Données projet'!$B$14,Paramètres!$A$1:$I$89,3,0)*0.475*44/12</f>
        <v>1.5216855794077082E-9</v>
      </c>
      <c r="ED99" s="22">
        <f t="shared" si="72"/>
        <v>1.7342077977096164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310.61783999999983</v>
      </c>
      <c r="P100" s="13">
        <f t="shared" si="87"/>
        <v>73.397844798859666</v>
      </c>
      <c r="Q100" s="20">
        <f t="shared" si="107"/>
        <v>668.82731769134693</v>
      </c>
      <c r="R100" s="59">
        <f t="shared" si="55"/>
        <v>962.16065102468019</v>
      </c>
      <c r="S100" s="59">
        <f ca="1">AVERAGE(OFFSET($R$3,0,0,'Données projet'!$E$9+1,1))-AVERAGE(OFFSET($H$3,0,0,'Données projet'!$E$9+1,1))</f>
        <v>469.68830256438338</v>
      </c>
      <c r="T100" s="59">
        <f t="shared" si="88"/>
        <v>332.61387922152159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0.6389969196793962</v>
      </c>
      <c r="AA100" s="21">
        <f>EXP(-LN(2)/25)*AA99+(1-EXP(-LN(2)/25))/(LN(2)/25)*Calculateur!V100*Calculateur!X100*VLOOKUP('Données projet'!$B$9,Paramètres!$A$1:$I$89,3,0)*0.475*44/12</f>
        <v>1.7605858608831937</v>
      </c>
      <c r="AB100" s="21">
        <f>EXP(-LN(2)/2)*AB99+(1-EXP(-LN(2)/2))/(LN(2)/2)*V100*Y100*VLOOKUP('Données projet'!$B$9,Paramètres!$A$1:$I$89,3,0)*0.475*44/12</f>
        <v>1.7742289451612418E-9</v>
      </c>
      <c r="AC100" s="22">
        <f t="shared" si="57"/>
        <v>2.3995827823368185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369.52811999999983</v>
      </c>
      <c r="AK100" s="13">
        <f t="shared" si="89"/>
        <v>85.570760009536031</v>
      </c>
      <c r="AL100" s="20">
        <f t="shared" si="58"/>
        <v>792.63054934994159</v>
      </c>
      <c r="AM100" s="59">
        <f t="shared" si="59"/>
        <v>1085.963882683275</v>
      </c>
      <c r="AN100" s="59">
        <f ca="1">AVERAGE(OFFSET($AM$3,0,0,'Données projet'!$E$10+1,1))-AVERAGE(OFFSET($H$3,0,0,'Données projet'!$E$10+1,1))</f>
        <v>550.66682372933292</v>
      </c>
      <c r="AO100" s="59">
        <f t="shared" si="90"/>
        <v>387.28615589698444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0.76018599065307479</v>
      </c>
      <c r="AV100" s="21">
        <f>EXP(-LN(2)/25)*AV99+(1-EXP(-LN(2)/25))/(LN(2)/25)*Calculateur!AQ100*Calculateur!AS100*VLOOKUP('Données projet'!$B$10,Paramètres!$A$1:$I$89,3,0)*0.475*44/12</f>
        <v>2.0944900758782845</v>
      </c>
      <c r="AW100" s="21">
        <f>EXP(-LN(2)/2)*AW99+(1-EXP(-LN(2)/2))/(LN(2)/2)*AQ100*AT100*VLOOKUP('Données projet'!$B$10,Paramètres!$A$1:$I$89,3,0)*0.475*44/12</f>
        <v>2.1107206416573299E-9</v>
      </c>
      <c r="AX100" s="21">
        <f t="shared" si="60"/>
        <v>2.85467606864208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1.7053025658242404E-13</v>
      </c>
      <c r="BE100" s="13">
        <f>BD100*VLOOKUP('Données projet'!$B$11,Paramètres!$A$1:$I$89,3,0)*VLOOKUP('Données projet'!$B$11,Paramètres!$A$1:$I$89,5,0)</f>
        <v>1.3301360013429075E-13</v>
      </c>
      <c r="BF100" s="13">
        <f t="shared" si="91"/>
        <v>1.9329766731057041E-12</v>
      </c>
      <c r="BG100" s="20">
        <f t="shared" si="61"/>
        <v>3.5982663925596575E-12</v>
      </c>
      <c r="BH100" s="59">
        <f t="shared" si="62"/>
        <v>293.3333333333369</v>
      </c>
      <c r="BI100" s="59">
        <f ca="1">AVERAGE(OFFSET($BH$3,0,0,'Données projet'!$E$11+1,1))-AVERAGE(OFFSET($H$3,0,0,'Données projet'!$E$11+1,1))</f>
        <v>376.33792692771908</v>
      </c>
      <c r="BJ100" s="59">
        <f t="shared" si="92"/>
        <v>367.92889258044698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0.3836342344134307</v>
      </c>
      <c r="BQ100" s="21">
        <f>EXP(-LN(2)/25)*BQ99+(1-EXP(-LN(2)/25))/(LN(2)/25)*Calculateur!BL100*Calculateur!BN100*VLOOKUP('Données projet'!$B$11,Paramètres!$A$1:$I$89,3,0)*0.475*44/12</f>
        <v>1.3061785814367812</v>
      </c>
      <c r="BR100" s="21">
        <f>EXP(-LN(2)/2)*BR99+(1-EXP(-LN(2)/2))/(LN(2)/2)*BL100*BO100*VLOOKUP('Données projet'!$B$11,Paramètres!$A$1:$I$89,3,0)*0.475*44/12</f>
        <v>1.0759941920329711E-9</v>
      </c>
      <c r="BS100" s="22">
        <f t="shared" si="63"/>
        <v>1.6898128169262061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260.85384000000028</v>
      </c>
      <c r="CA100" s="13">
        <f t="shared" si="93"/>
        <v>62.90434739590382</v>
      </c>
      <c r="CB100" s="20">
        <f t="shared" si="64"/>
        <v>563.87884304786633</v>
      </c>
      <c r="CC100" s="59">
        <f t="shared" si="65"/>
        <v>857.2121763811997</v>
      </c>
      <c r="CD100" s="59">
        <f ca="1">AVERAGE(OFFSET($CC$3,0,0,'Données projet'!$E$12+1,1))-AVERAGE(OFFSET($H$3,0,0,'Données projet'!$E$12+1,1))</f>
        <v>388.50131600273431</v>
      </c>
      <c r="CE100" s="59">
        <f t="shared" si="94"/>
        <v>247.01165577562955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0.48465468796485028</v>
      </c>
      <c r="CM100" s="21">
        <f>EXP(-LN(2)/2)*CM99+(1-EXP(-LN(2)/2))/(LN(2)/2)*CG100*CJ100*VLOOKUP('Données projet'!$B$12,Paramètres!$A$1:$I$89,3,0)*0.475*44/12</f>
        <v>5.0949512969105845E-10</v>
      </c>
      <c r="CN100" s="22">
        <f t="shared" si="66"/>
        <v>0.4846546884743454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4.9000000000000004</v>
      </c>
      <c r="CT100" s="12">
        <f>IF('Données projet'!$A$140&gt;35,CT99+CS100-DB99,IF(A100&lt;'Données projet'!$A$140,$CQ$205^A100,IF(A100='Données projet'!$A$140,'Données projet'!$B$140,CT99+CS100-DB99)))</f>
        <v>288.3000000000003</v>
      </c>
      <c r="CU100" s="17">
        <f>CT100*VLOOKUP('Données projet'!$B$13,Paramètres!$A$1:$I$89,3,0)*VLOOKUP('Données projet'!$B$13,Paramètres!$A$1:$I$89,5,0)</f>
        <v>310.32612000000029</v>
      </c>
      <c r="CV100" s="13">
        <f t="shared" si="95"/>
        <v>73.336932839409428</v>
      </c>
      <c r="CW100" s="20">
        <f t="shared" si="67"/>
        <v>668.213150361972</v>
      </c>
      <c r="CX100" s="59">
        <f t="shared" si="68"/>
        <v>961.54648369530537</v>
      </c>
      <c r="CY100" s="59">
        <f ca="1">AVERAGE(OFFSET($CX$3,0,0,'Données projet'!$E$13+1,1))-AVERAGE(OFFSET($H$3,0,0,'Données projet'!$E$13+1,1))</f>
        <v>454.43000549907373</v>
      </c>
      <c r="CZ100" s="59">
        <f t="shared" si="96"/>
        <v>285.83623046025156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0.57657195637197711</v>
      </c>
      <c r="DH100" s="21">
        <f>EXP(-LN(2)/2)*DH99+(1-EXP(-LN(2)/2))/(LN(2)/2)*DB100*DE100*VLOOKUP('Données projet'!$B$13,Paramètres!$A$1:$I$89,3,0)*0.475*44/12</f>
        <v>6.0612351635660507E-10</v>
      </c>
      <c r="DI100" s="22">
        <f t="shared" si="69"/>
        <v>0.5765719569781006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1.7053025658242404E-13</v>
      </c>
      <c r="DP100" s="17">
        <f>DO100*VLOOKUP('Données projet'!$B$14,Paramètres!$A$1:$I$89,3,0)*VLOOKUP('Données projet'!$B$14,Paramètres!$A$1:$I$89,5,0)</f>
        <v>1.3301360013429075E-13</v>
      </c>
      <c r="DQ100" s="13">
        <f t="shared" si="97"/>
        <v>1.9329766731057041E-12</v>
      </c>
      <c r="DR100" s="20">
        <f t="shared" si="70"/>
        <v>3.5982663925596575E-12</v>
      </c>
      <c r="DS100" s="59">
        <f t="shared" si="71"/>
        <v>293.3333333333369</v>
      </c>
      <c r="DT100" s="59">
        <f ca="1">AVERAGE(OFFSET($DS$3,0,0,'Données projet'!$E$14+1,1))-AVERAGE(OFFSET($H$3,0,0,'Données projet'!$E$14+1,1))</f>
        <v>376.33792692771908</v>
      </c>
      <c r="DU100" s="59">
        <f t="shared" si="98"/>
        <v>367.92889258044698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0.3836342344134307</v>
      </c>
      <c r="EB100" s="21">
        <f>EXP(-LN(2)/25)*EB99+(1-EXP(-LN(2)/25))/(LN(2)/25)*Calculateur!DW100*Calculateur!DY100*VLOOKUP('Données projet'!$B$14,Paramètres!$A$1:$I$89,3,0)*0.475*44/12</f>
        <v>1.3061785814367812</v>
      </c>
      <c r="EC100" s="21">
        <f>EXP(-LN(2)/2)*EC99+(1-EXP(-LN(2)/2))/(LN(2)/2)*DW100*DZ100*VLOOKUP('Données projet'!$B$14,Paramètres!$A$1:$I$89,3,0)*0.475*44/12</f>
        <v>1.0759941920329711E-9</v>
      </c>
      <c r="ED100" s="22">
        <f t="shared" si="72"/>
        <v>1.6898128169262061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315.95615999999984</v>
      </c>
      <c r="P101" s="13">
        <f t="shared" si="87"/>
        <v>74.511332350300975</v>
      </c>
      <c r="Q101" s="20">
        <f t="shared" si="107"/>
        <v>680.06421584344059</v>
      </c>
      <c r="R101" s="59">
        <f t="shared" si="55"/>
        <v>973.39754917677396</v>
      </c>
      <c r="S101" s="59">
        <f ca="1">AVERAGE(OFFSET($R$3,0,0,'Données projet'!$E$9+1,1))-AVERAGE(OFFSET($H$3,0,0,'Données projet'!$E$9+1,1))</f>
        <v>469.68830256438338</v>
      </c>
      <c r="T101" s="59">
        <f t="shared" si="88"/>
        <v>332.61387922152159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0.62646657983411969</v>
      </c>
      <c r="AA101" s="21">
        <f>EXP(-LN(2)/25)*AA100+(1-EXP(-LN(2)/25))/(LN(2)/25)*Calculateur!V101*Calculateur!X101*VLOOKUP('Données projet'!$B$9,Paramètres!$A$1:$I$89,3,0)*0.475*44/12</f>
        <v>1.7124425479321561</v>
      </c>
      <c r="AB101" s="21">
        <f>EXP(-LN(2)/2)*AB100+(1-EXP(-LN(2)/2))/(LN(2)/2)*V101*Y101*VLOOKUP('Données projet'!$B$9,Paramètres!$A$1:$I$89,3,0)*0.475*44/12</f>
        <v>1.2545693185009692E-9</v>
      </c>
      <c r="AC101" s="22">
        <f t="shared" si="57"/>
        <v>2.3389091290208452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375.87887999999981</v>
      </c>
      <c r="AK101" s="13">
        <f t="shared" si="89"/>
        <v>86.868917691128757</v>
      </c>
      <c r="AL101" s="20">
        <f t="shared" si="58"/>
        <v>805.95241431204886</v>
      </c>
      <c r="AM101" s="59">
        <f t="shared" si="59"/>
        <v>1099.2857476453821</v>
      </c>
      <c r="AN101" s="59">
        <f ca="1">AVERAGE(OFFSET($AM$3,0,0,'Données projet'!$E$10+1,1))-AVERAGE(OFFSET($H$3,0,0,'Données projet'!$E$10+1,1))</f>
        <v>550.66682372933292</v>
      </c>
      <c r="AO101" s="59">
        <f t="shared" si="90"/>
        <v>387.28615589698444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0.74527920704403894</v>
      </c>
      <c r="AV101" s="21">
        <f>EXP(-LN(2)/25)*AV100+(1-EXP(-LN(2)/25))/(LN(2)/25)*Calculateur!AQ101*Calculateur!AS101*VLOOKUP('Données projet'!$B$10,Paramètres!$A$1:$I$89,3,0)*0.475*44/12</f>
        <v>2.0372161346089466</v>
      </c>
      <c r="AW101" s="21">
        <f>EXP(-LN(2)/2)*AW100+(1-EXP(-LN(2)/2))/(LN(2)/2)*AQ101*AT101*VLOOKUP('Données projet'!$B$10,Paramètres!$A$1:$I$89,3,0)*0.475*44/12</f>
        <v>1.4925048789063187E-9</v>
      </c>
      <c r="AX101" s="21">
        <f t="shared" si="60"/>
        <v>2.7824953431454902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1.7053025658242404E-13</v>
      </c>
      <c r="BE101" s="13">
        <f>BD101*VLOOKUP('Données projet'!$B$11,Paramètres!$A$1:$I$89,3,0)*VLOOKUP('Données projet'!$B$11,Paramètres!$A$1:$I$89,5,0)</f>
        <v>1.3301360013429075E-13</v>
      </c>
      <c r="BF101" s="13">
        <f t="shared" si="91"/>
        <v>1.9329766731057041E-12</v>
      </c>
      <c r="BG101" s="20">
        <f t="shared" si="61"/>
        <v>3.5982663925596575E-12</v>
      </c>
      <c r="BH101" s="59">
        <f t="shared" si="62"/>
        <v>293.3333333333369</v>
      </c>
      <c r="BI101" s="59">
        <f ca="1">AVERAGE(OFFSET($BH$3,0,0,'Données projet'!$E$11+1,1))-AVERAGE(OFFSET($H$3,0,0,'Données projet'!$E$11+1,1))</f>
        <v>376.33792692771908</v>
      </c>
      <c r="BJ101" s="59">
        <f t="shared" si="92"/>
        <v>367.92889258044698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0.37611140107036134</v>
      </c>
      <c r="BQ101" s="21">
        <f>EXP(-LN(2)/25)*BQ100+(1-EXP(-LN(2)/25))/(LN(2)/25)*Calculateur!BL101*Calculateur!BN101*VLOOKUP('Données projet'!$B$11,Paramètres!$A$1:$I$89,3,0)*0.475*44/12</f>
        <v>1.2704610594384462</v>
      </c>
      <c r="BR101" s="21">
        <f>EXP(-LN(2)/2)*BR100+(1-EXP(-LN(2)/2))/(LN(2)/2)*BL101*BO101*VLOOKUP('Données projet'!$B$11,Paramètres!$A$1:$I$89,3,0)*0.475*44/12</f>
        <v>7.6084278970385409E-10</v>
      </c>
      <c r="BS101" s="22">
        <f t="shared" si="63"/>
        <v>1.6465724612696502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265.28736000000026</v>
      </c>
      <c r="CA101" s="13">
        <f t="shared" si="93"/>
        <v>63.848105500970064</v>
      </c>
      <c r="CB101" s="20">
        <f t="shared" si="64"/>
        <v>573.24426908085661</v>
      </c>
      <c r="CC101" s="59">
        <f t="shared" si="65"/>
        <v>866.57760241418987</v>
      </c>
      <c r="CD101" s="59">
        <f ca="1">AVERAGE(OFFSET($CC$3,0,0,'Données projet'!$E$12+1,1))-AVERAGE(OFFSET($H$3,0,0,'Données projet'!$E$12+1,1))</f>
        <v>388.50131600273431</v>
      </c>
      <c r="CE101" s="59">
        <f t="shared" si="94"/>
        <v>247.01165577562955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0.4714017800355691</v>
      </c>
      <c r="CM101" s="21">
        <f>EXP(-LN(2)/2)*CM100+(1-EXP(-LN(2)/2))/(LN(2)/2)*CG101*CJ101*VLOOKUP('Données projet'!$B$12,Paramètres!$A$1:$I$89,3,0)*0.475*44/12</f>
        <v>3.6026746118606693E-10</v>
      </c>
      <c r="CN101" s="22">
        <f t="shared" si="66"/>
        <v>0.47140178039583658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4.9000000000000004</v>
      </c>
      <c r="CT101" s="12">
        <f>IF('Données projet'!$A$140&gt;35,CT100+CS101-DB100,IF(A101&lt;'Données projet'!$A$140,$CQ$205^A101,IF(A101='Données projet'!$A$140,'Données projet'!$B$140,CT100+CS101-DB100)))</f>
        <v>293.20000000000027</v>
      </c>
      <c r="CU101" s="17">
        <f>CT101*VLOOKUP('Données projet'!$B$13,Paramètres!$A$1:$I$89,3,0)*VLOOKUP('Données projet'!$B$13,Paramètres!$A$1:$I$89,5,0)</f>
        <v>315.60048000000029</v>
      </c>
      <c r="CV101" s="13">
        <f t="shared" si="95"/>
        <v>74.43721171731093</v>
      </c>
      <c r="CW101" s="20">
        <f t="shared" si="67"/>
        <v>679.31564640765021</v>
      </c>
      <c r="CX101" s="59">
        <f t="shared" si="68"/>
        <v>972.64897974098358</v>
      </c>
      <c r="CY101" s="59">
        <f ca="1">AVERAGE(OFFSET($CX$3,0,0,'Données projet'!$E$13+1,1))-AVERAGE(OFFSET($H$3,0,0,'Données projet'!$E$13+1,1))</f>
        <v>454.43000549907373</v>
      </c>
      <c r="CZ101" s="59">
        <f t="shared" si="96"/>
        <v>285.83623046025156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0.56080556590438402</v>
      </c>
      <c r="DH101" s="21">
        <f>EXP(-LN(2)/2)*DH100+(1-EXP(-LN(2)/2))/(LN(2)/2)*DB101*DE101*VLOOKUP('Données projet'!$B$13,Paramètres!$A$1:$I$89,3,0)*0.475*44/12</f>
        <v>4.2859404865239071E-10</v>
      </c>
      <c r="DI101" s="22">
        <f t="shared" si="69"/>
        <v>0.56080556633297807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1.7053025658242404E-13</v>
      </c>
      <c r="DP101" s="17">
        <f>DO101*VLOOKUP('Données projet'!$B$14,Paramètres!$A$1:$I$89,3,0)*VLOOKUP('Données projet'!$B$14,Paramètres!$A$1:$I$89,5,0)</f>
        <v>1.3301360013429075E-13</v>
      </c>
      <c r="DQ101" s="13">
        <f t="shared" si="97"/>
        <v>1.9329766731057041E-12</v>
      </c>
      <c r="DR101" s="20">
        <f t="shared" si="70"/>
        <v>3.5982663925596575E-12</v>
      </c>
      <c r="DS101" s="59">
        <f t="shared" si="71"/>
        <v>293.3333333333369</v>
      </c>
      <c r="DT101" s="59">
        <f ca="1">AVERAGE(OFFSET($DS$3,0,0,'Données projet'!$E$14+1,1))-AVERAGE(OFFSET($H$3,0,0,'Données projet'!$E$14+1,1))</f>
        <v>376.33792692771908</v>
      </c>
      <c r="DU101" s="59">
        <f t="shared" si="98"/>
        <v>367.92889258044698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0.37611140107036134</v>
      </c>
      <c r="EB101" s="21">
        <f>EXP(-LN(2)/25)*EB100+(1-EXP(-LN(2)/25))/(LN(2)/25)*Calculateur!DW101*Calculateur!DY101*VLOOKUP('Données projet'!$B$14,Paramètres!$A$1:$I$89,3,0)*0.475*44/12</f>
        <v>1.2704610594384462</v>
      </c>
      <c r="EC101" s="21">
        <f>EXP(-LN(2)/2)*EC100+(1-EXP(-LN(2)/2))/(LN(2)/2)*DW101*DZ101*VLOOKUP('Données projet'!$B$14,Paramètres!$A$1:$I$89,3,0)*0.475*44/12</f>
        <v>7.6084278970385409E-10</v>
      </c>
      <c r="ED101" s="22">
        <f t="shared" si="72"/>
        <v>1.6465724612696502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321.29447999999979</v>
      </c>
      <c r="P102" s="13">
        <f t="shared" si="87"/>
        <v>75.6226320847924</v>
      </c>
      <c r="Q102" s="20">
        <f t="shared" si="107"/>
        <v>691.29730354767969</v>
      </c>
      <c r="R102" s="59">
        <f t="shared" si="55"/>
        <v>984.63063688101306</v>
      </c>
      <c r="S102" s="59">
        <f ca="1">AVERAGE(OFFSET($R$3,0,0,'Données projet'!$E$9+1,1))-AVERAGE(OFFSET($H$3,0,0,'Données projet'!$E$9+1,1))</f>
        <v>469.68830256438338</v>
      </c>
      <c r="T102" s="59">
        <f t="shared" si="88"/>
        <v>332.61387922152159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0.61418195231045636</v>
      </c>
      <c r="AA102" s="21">
        <f>EXP(-LN(2)/25)*AA101+(1-EXP(-LN(2)/25))/(LN(2)/25)*Calculateur!V102*Calculateur!X102*VLOOKUP('Données projet'!$B$9,Paramètres!$A$1:$I$89,3,0)*0.475*44/12</f>
        <v>1.6656157164055116</v>
      </c>
      <c r="AB102" s="21">
        <f>EXP(-LN(2)/2)*AB101+(1-EXP(-LN(2)/2))/(LN(2)/2)*V102*Y102*VLOOKUP('Données projet'!$B$9,Paramètres!$A$1:$I$89,3,0)*0.475*44/12</f>
        <v>8.8711447258062092E-10</v>
      </c>
      <c r="AC102" s="22">
        <f t="shared" si="57"/>
        <v>2.2797976696030826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382.22963999999973</v>
      </c>
      <c r="AK102" s="13">
        <f t="shared" si="89"/>
        <v>88.164524709828427</v>
      </c>
      <c r="AL102" s="20">
        <f t="shared" si="58"/>
        <v>819.26983686961739</v>
      </c>
      <c r="AM102" s="59">
        <f t="shared" si="59"/>
        <v>1112.6031702029507</v>
      </c>
      <c r="AN102" s="59">
        <f ca="1">AVERAGE(OFFSET($AM$3,0,0,'Données projet'!$E$10+1,1))-AVERAGE(OFFSET($H$3,0,0,'Données projet'!$E$10+1,1))</f>
        <v>550.66682372933292</v>
      </c>
      <c r="AO102" s="59">
        <f t="shared" si="90"/>
        <v>387.28615589698444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0.73066473636933604</v>
      </c>
      <c r="AV102" s="21">
        <f>EXP(-LN(2)/25)*AV101+(1-EXP(-LN(2)/25))/(LN(2)/25)*Calculateur!AQ102*Calculateur!AS102*VLOOKUP('Données projet'!$B$10,Paramètres!$A$1:$I$89,3,0)*0.475*44/12</f>
        <v>1.9815083522755246</v>
      </c>
      <c r="AW102" s="21">
        <f>EXP(-LN(2)/2)*AW101+(1-EXP(-LN(2)/2))/(LN(2)/2)*AQ102*AT102*VLOOKUP('Données projet'!$B$10,Paramètres!$A$1:$I$89,3,0)*0.475*44/12</f>
        <v>1.0553603208286649E-9</v>
      </c>
      <c r="AX102" s="21">
        <f t="shared" si="60"/>
        <v>2.712173089700221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1.7053025658242404E-13</v>
      </c>
      <c r="BE102" s="13">
        <f>BD102*VLOOKUP('Données projet'!$B$11,Paramètres!$A$1:$I$89,3,0)*VLOOKUP('Données projet'!$B$11,Paramètres!$A$1:$I$89,5,0)</f>
        <v>1.3301360013429075E-13</v>
      </c>
      <c r="BF102" s="13">
        <f t="shared" si="91"/>
        <v>1.9329766731057041E-12</v>
      </c>
      <c r="BG102" s="20">
        <f t="shared" si="61"/>
        <v>3.5982663925596575E-12</v>
      </c>
      <c r="BH102" s="59">
        <f t="shared" si="62"/>
        <v>293.3333333333369</v>
      </c>
      <c r="BI102" s="59">
        <f ca="1">AVERAGE(OFFSET($BH$3,0,0,'Données projet'!$E$11+1,1))-AVERAGE(OFFSET($H$3,0,0,'Données projet'!$E$11+1,1))</f>
        <v>376.33792692771908</v>
      </c>
      <c r="BJ102" s="59">
        <f t="shared" si="92"/>
        <v>367.92889258044698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0.3687360859006743</v>
      </c>
      <c r="BQ102" s="21">
        <f>EXP(-LN(2)/25)*BQ101+(1-EXP(-LN(2)/25))/(LN(2)/25)*Calculateur!BL102*Calculateur!BN102*VLOOKUP('Données projet'!$B$11,Paramètres!$A$1:$I$89,3,0)*0.475*44/12</f>
        <v>1.2357202349574585</v>
      </c>
      <c r="BR102" s="21">
        <f>EXP(-LN(2)/2)*BR101+(1-EXP(-LN(2)/2))/(LN(2)/2)*BL102*BO102*VLOOKUP('Données projet'!$B$11,Paramètres!$A$1:$I$89,3,0)*0.475*44/12</f>
        <v>5.3799709601648554E-10</v>
      </c>
      <c r="BS102" s="22">
        <f t="shared" si="63"/>
        <v>1.60445632139613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269.72088000000025</v>
      </c>
      <c r="CA102" s="13">
        <f t="shared" si="93"/>
        <v>64.790029413947011</v>
      </c>
      <c r="CB102" s="20">
        <f t="shared" si="64"/>
        <v>582.60650056262477</v>
      </c>
      <c r="CC102" s="59">
        <f t="shared" si="65"/>
        <v>875.93983389595815</v>
      </c>
      <c r="CD102" s="59">
        <f ca="1">AVERAGE(OFFSET($CC$3,0,0,'Données projet'!$E$12+1,1))-AVERAGE(OFFSET($H$3,0,0,'Données projet'!$E$12+1,1))</f>
        <v>388.50131600273431</v>
      </c>
      <c r="CE102" s="59">
        <f t="shared" si="94"/>
        <v>247.01165577562955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0.45851127357055427</v>
      </c>
      <c r="CM102" s="21">
        <f>EXP(-LN(2)/2)*CM101+(1-EXP(-LN(2)/2))/(LN(2)/2)*CG102*CJ102*VLOOKUP('Données projet'!$B$12,Paramètres!$A$1:$I$89,3,0)*0.475*44/12</f>
        <v>2.5474756484552923E-10</v>
      </c>
      <c r="CN102" s="22">
        <f t="shared" si="66"/>
        <v>0.45851127382530182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4.9000000000000004</v>
      </c>
      <c r="CT102" s="12">
        <f>IF('Données projet'!$A$140&gt;35,CT101+CS102-DB101,IF(A102&lt;'Données projet'!$A$140,$CQ$205^A102,IF(A102='Données projet'!$A$140,'Données projet'!$B$140,CT101+CS102-DB101)))</f>
        <v>298.10000000000025</v>
      </c>
      <c r="CU102" s="17">
        <f>CT102*VLOOKUP('Données projet'!$B$13,Paramètres!$A$1:$I$89,3,0)*VLOOKUP('Données projet'!$B$13,Paramètres!$A$1:$I$89,5,0)</f>
        <v>320.87484000000029</v>
      </c>
      <c r="CV102" s="13">
        <f t="shared" si="95"/>
        <v>75.535352205297713</v>
      </c>
      <c r="CW102" s="20">
        <f t="shared" si="67"/>
        <v>690.41441809089395</v>
      </c>
      <c r="CX102" s="59">
        <f t="shared" si="68"/>
        <v>983.74775142422732</v>
      </c>
      <c r="CY102" s="59">
        <f ca="1">AVERAGE(OFFSET($CX$3,0,0,'Données projet'!$E$13+1,1))-AVERAGE(OFFSET($H$3,0,0,'Données projet'!$E$13+1,1))</f>
        <v>454.43000549907373</v>
      </c>
      <c r="CZ102" s="59">
        <f t="shared" si="96"/>
        <v>285.83623046025156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0.54547030821324571</v>
      </c>
      <c r="DH102" s="21">
        <f>EXP(-LN(2)/2)*DH101+(1-EXP(-LN(2)/2))/(LN(2)/2)*DB102*DE102*VLOOKUP('Données projet'!$B$13,Paramètres!$A$1:$I$89,3,0)*0.475*44/12</f>
        <v>3.0306175817830253E-10</v>
      </c>
      <c r="DI102" s="22">
        <f t="shared" si="69"/>
        <v>0.54547030851630751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1.7053025658242404E-13</v>
      </c>
      <c r="DP102" s="17">
        <f>DO102*VLOOKUP('Données projet'!$B$14,Paramètres!$A$1:$I$89,3,0)*VLOOKUP('Données projet'!$B$14,Paramètres!$A$1:$I$89,5,0)</f>
        <v>1.3301360013429075E-13</v>
      </c>
      <c r="DQ102" s="13">
        <f t="shared" si="97"/>
        <v>1.9329766731057041E-12</v>
      </c>
      <c r="DR102" s="20">
        <f t="shared" si="70"/>
        <v>3.5982663925596575E-12</v>
      </c>
      <c r="DS102" s="59">
        <f t="shared" si="71"/>
        <v>293.3333333333369</v>
      </c>
      <c r="DT102" s="59">
        <f ca="1">AVERAGE(OFFSET($DS$3,0,0,'Données projet'!$E$14+1,1))-AVERAGE(OFFSET($H$3,0,0,'Données projet'!$E$14+1,1))</f>
        <v>376.33792692771908</v>
      </c>
      <c r="DU102" s="59">
        <f t="shared" si="98"/>
        <v>367.92889258044698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0.3687360859006743</v>
      </c>
      <c r="EB102" s="21">
        <f>EXP(-LN(2)/25)*EB101+(1-EXP(-LN(2)/25))/(LN(2)/25)*Calculateur!DW102*Calculateur!DY102*VLOOKUP('Données projet'!$B$14,Paramètres!$A$1:$I$89,3,0)*0.475*44/12</f>
        <v>1.2357202349574585</v>
      </c>
      <c r="EC102" s="21">
        <f>EXP(-LN(2)/2)*EC101+(1-EXP(-LN(2)/2))/(LN(2)/2)*DW102*DZ102*VLOOKUP('Données projet'!$B$14,Paramètres!$A$1:$I$89,3,0)*0.475*44/12</f>
        <v>5.3799709601648554E-10</v>
      </c>
      <c r="ED102" s="22">
        <f t="shared" si="72"/>
        <v>1.60445632139613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326.6327999999998</v>
      </c>
      <c r="P103" s="13">
        <f t="shared" si="87"/>
        <v>76.731784548754774</v>
      </c>
      <c r="Q103" s="20">
        <f t="shared" si="107"/>
        <v>702.52665142241415</v>
      </c>
      <c r="R103" s="59">
        <f t="shared" si="55"/>
        <v>995.85998475574752</v>
      </c>
      <c r="S103" s="59">
        <f ca="1">AVERAGE(OFFSET($R$3,0,0,'Données projet'!$E$9+1,1))-AVERAGE(OFFSET($H$3,0,0,'Données projet'!$E$9+1,1))</f>
        <v>469.68830256438338</v>
      </c>
      <c r="T103" s="59">
        <f t="shared" si="88"/>
        <v>332.61387922152159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0.60213821883964913</v>
      </c>
      <c r="AA103" s="21">
        <f>EXP(-LN(2)/25)*AA102+(1-EXP(-LN(2)/25))/(LN(2)/25)*Calculateur!V103*Calculateur!X103*VLOOKUP('Données projet'!$B$9,Paramètres!$A$1:$I$89,3,0)*0.475*44/12</f>
        <v>1.6200693670494792</v>
      </c>
      <c r="AB103" s="21">
        <f>EXP(-LN(2)/2)*AB102+(1-EXP(-LN(2)/2))/(LN(2)/2)*V103*Y103*VLOOKUP('Données projet'!$B$9,Paramètres!$A$1:$I$89,3,0)*0.475*44/12</f>
        <v>6.2728465925048462E-10</v>
      </c>
      <c r="AC103" s="22">
        <f t="shared" si="57"/>
        <v>2.2222075865164128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388.58039999999977</v>
      </c>
      <c r="AK103" s="13">
        <f t="shared" si="89"/>
        <v>89.457628336614817</v>
      </c>
      <c r="AL103" s="20">
        <f t="shared" si="58"/>
        <v>832.58289935293715</v>
      </c>
      <c r="AM103" s="59">
        <f t="shared" si="59"/>
        <v>1125.9162326862704</v>
      </c>
      <c r="AN103" s="59">
        <f ca="1">AVERAGE(OFFSET($AM$3,0,0,'Données projet'!$E$10+1,1))-AVERAGE(OFFSET($H$3,0,0,'Données projet'!$E$10+1,1))</f>
        <v>550.66682372933292</v>
      </c>
      <c r="AO103" s="59">
        <f t="shared" si="90"/>
        <v>387.28615589698444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0.71633684655061713</v>
      </c>
      <c r="AV103" s="21">
        <f>EXP(-LN(2)/25)*AV102+(1-EXP(-LN(2)/25))/(LN(2)/25)*Calculateur!AQ103*Calculateur!AS103*VLOOKUP('Données projet'!$B$10,Paramètres!$A$1:$I$89,3,0)*0.475*44/12</f>
        <v>1.927323902179555</v>
      </c>
      <c r="AW103" s="21">
        <f>EXP(-LN(2)/2)*AW102+(1-EXP(-LN(2)/2))/(LN(2)/2)*AQ103*AT103*VLOOKUP('Données projet'!$B$10,Paramètres!$A$1:$I$89,3,0)*0.475*44/12</f>
        <v>7.4625243945315937E-10</v>
      </c>
      <c r="AX103" s="21">
        <f t="shared" si="60"/>
        <v>2.6436607494764246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1.7053025658242404E-13</v>
      </c>
      <c r="BE103" s="13">
        <f>BD103*VLOOKUP('Données projet'!$B$11,Paramètres!$A$1:$I$89,3,0)*VLOOKUP('Données projet'!$B$11,Paramètres!$A$1:$I$89,5,0)</f>
        <v>1.3301360013429075E-13</v>
      </c>
      <c r="BF103" s="13">
        <f t="shared" si="91"/>
        <v>1.9329766731057041E-12</v>
      </c>
      <c r="BG103" s="20">
        <f t="shared" si="61"/>
        <v>3.5982663925596575E-12</v>
      </c>
      <c r="BH103" s="59">
        <f t="shared" si="62"/>
        <v>293.3333333333369</v>
      </c>
      <c r="BI103" s="59">
        <f ca="1">AVERAGE(OFFSET($BH$3,0,0,'Données projet'!$E$11+1,1))-AVERAGE(OFFSET($H$3,0,0,'Données projet'!$E$11+1,1))</f>
        <v>376.33792692771908</v>
      </c>
      <c r="BJ103" s="59">
        <f t="shared" si="92"/>
        <v>367.92889258044698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0.36150539616296679</v>
      </c>
      <c r="BQ103" s="21">
        <f>EXP(-LN(2)/25)*BQ102+(1-EXP(-LN(2)/25))/(LN(2)/25)*Calculateur!BL103*Calculateur!BN103*VLOOKUP('Données projet'!$B$11,Paramètres!$A$1:$I$89,3,0)*0.475*44/12</f>
        <v>1.2019294001488439</v>
      </c>
      <c r="BR103" s="21">
        <f>EXP(-LN(2)/2)*BR102+(1-EXP(-LN(2)/2))/(LN(2)/2)*BL103*BO103*VLOOKUP('Données projet'!$B$11,Paramètres!$A$1:$I$89,3,0)*0.475*44/12</f>
        <v>3.8042139485192705E-10</v>
      </c>
      <c r="BS103" s="22">
        <f t="shared" si="63"/>
        <v>1.5634347966922322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274.15440000000018</v>
      </c>
      <c r="CA103" s="13">
        <f t="shared" si="93"/>
        <v>65.730152764515836</v>
      </c>
      <c r="CB103" s="20">
        <f t="shared" si="64"/>
        <v>591.96559606486528</v>
      </c>
      <c r="CC103" s="59">
        <f t="shared" si="65"/>
        <v>885.29892939819865</v>
      </c>
      <c r="CD103" s="59">
        <f ca="1">AVERAGE(OFFSET($CC$3,0,0,'Données projet'!$E$12+1,1))-AVERAGE(OFFSET($H$3,0,0,'Données projet'!$E$12+1,1))</f>
        <v>388.50131600273431</v>
      </c>
      <c r="CE103" s="59">
        <f t="shared" si="94"/>
        <v>247.01165577562955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0.44597325868270754</v>
      </c>
      <c r="CM103" s="21">
        <f>EXP(-LN(2)/2)*CM102+(1-EXP(-LN(2)/2))/(LN(2)/2)*CG103*CJ103*VLOOKUP('Données projet'!$B$12,Paramètres!$A$1:$I$89,3,0)*0.475*44/12</f>
        <v>1.8013373059303346E-10</v>
      </c>
      <c r="CN103" s="22">
        <f t="shared" si="66"/>
        <v>0.44597325886284128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303</v>
      </c>
      <c r="CR103" s="12">
        <f>VLOOKUP(A103,'Données projet'!$A$139:$I$159,9,0)</f>
        <v>4.9000000000000004</v>
      </c>
      <c r="CS103" s="12">
        <f t="array" ref="CS103">INDEX(CR:CR,MIN(IF(ISNUMBER(CR103:CR299),ROW(CR103:CR299),"")))</f>
        <v>4.9000000000000004</v>
      </c>
      <c r="CT103" s="12">
        <f>IF('Données projet'!$A$140&gt;35,CT102+CS103-DB102,IF(A103&lt;'Données projet'!$A$140,$CQ$205^A103,IF(A103='Données projet'!$A$140,'Données projet'!$B$140,CT102+CS103-DB102)))</f>
        <v>303.00000000000023</v>
      </c>
      <c r="CU103" s="17">
        <f>CT103*VLOOKUP('Données projet'!$B$13,Paramètres!$A$1:$I$89,3,0)*VLOOKUP('Données projet'!$B$13,Paramètres!$A$1:$I$89,5,0)</f>
        <v>326.14920000000023</v>
      </c>
      <c r="CV103" s="13">
        <f t="shared" si="95"/>
        <v>76.631393510479697</v>
      </c>
      <c r="CW103" s="20">
        <f t="shared" si="67"/>
        <v>701.50953369741922</v>
      </c>
      <c r="CX103" s="59">
        <f t="shared" si="68"/>
        <v>994.84286703075259</v>
      </c>
      <c r="CY103" s="59">
        <f ca="1">AVERAGE(OFFSET($CX$3,0,0,'Données projet'!$E$13+1,1))-AVERAGE(OFFSET($H$3,0,0,'Données projet'!$E$13+1,1))</f>
        <v>454.43000549907373</v>
      </c>
      <c r="CZ103" s="59">
        <f t="shared" si="96"/>
        <v>285.83623046025156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42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0.53055439395011772</v>
      </c>
      <c r="DH103" s="21">
        <f>EXP(-LN(2)/2)*DH102+(1-EXP(-LN(2)/2))/(LN(2)/2)*DB103*DE103*VLOOKUP('Données projet'!$B$13,Paramètres!$A$1:$I$89,3,0)*0.475*44/12</f>
        <v>2.1429702432619535E-10</v>
      </c>
      <c r="DI103" s="22">
        <f t="shared" si="69"/>
        <v>0.53055439416441474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1.7053025658242404E-13</v>
      </c>
      <c r="DP103" s="17">
        <f>DO103*VLOOKUP('Données projet'!$B$14,Paramètres!$A$1:$I$89,3,0)*VLOOKUP('Données projet'!$B$14,Paramètres!$A$1:$I$89,5,0)</f>
        <v>1.3301360013429075E-13</v>
      </c>
      <c r="DQ103" s="13">
        <f t="shared" si="97"/>
        <v>1.9329766731057041E-12</v>
      </c>
      <c r="DR103" s="20">
        <f t="shared" si="70"/>
        <v>3.5982663925596575E-12</v>
      </c>
      <c r="DS103" s="59">
        <f t="shared" si="71"/>
        <v>293.3333333333369</v>
      </c>
      <c r="DT103" s="59">
        <f ca="1">AVERAGE(OFFSET($DS$3,0,0,'Données projet'!$E$14+1,1))-AVERAGE(OFFSET($H$3,0,0,'Données projet'!$E$14+1,1))</f>
        <v>376.33792692771908</v>
      </c>
      <c r="DU103" s="59">
        <f t="shared" si="98"/>
        <v>367.92889258044698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0.36150539616296679</v>
      </c>
      <c r="EB103" s="21">
        <f>EXP(-LN(2)/25)*EB102+(1-EXP(-LN(2)/25))/(LN(2)/25)*Calculateur!DW103*Calculateur!DY103*VLOOKUP('Données projet'!$B$14,Paramètres!$A$1:$I$89,3,0)*0.475*44/12</f>
        <v>1.2019294001488439</v>
      </c>
      <c r="EC103" s="21">
        <f>EXP(-LN(2)/2)*EC102+(1-EXP(-LN(2)/2))/(LN(2)/2)*DW103*DZ103*VLOOKUP('Données projet'!$B$14,Paramètres!$A$1:$I$89,3,0)*0.475*44/12</f>
        <v>3.8042139485192705E-10</v>
      </c>
      <c r="ED103" s="22">
        <f t="shared" si="72"/>
        <v>1.5634347966922322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281.57375999999977</v>
      </c>
      <c r="P104" s="13">
        <f t="shared" si="87"/>
        <v>67.299481043334993</v>
      </c>
      <c r="Q104" s="20">
        <f t="shared" si="107"/>
        <v>607.62089481714133</v>
      </c>
      <c r="R104" s="59">
        <f t="shared" si="55"/>
        <v>900.95422815047459</v>
      </c>
      <c r="S104" s="59">
        <f ca="1">AVERAGE(OFFSET($R$3,0,0,'Données projet'!$E$9+1,1))-AVERAGE(OFFSET($H$3,0,0,'Données projet'!$E$9+1,1))</f>
        <v>469.68830256438338</v>
      </c>
      <c r="T104" s="59">
        <f t="shared" si="88"/>
        <v>332.61387922152159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0.59033065563625242</v>
      </c>
      <c r="AA104" s="21">
        <f>EXP(-LN(2)/25)*AA103+(1-EXP(-LN(2)/25))/(LN(2)/25)*Calculateur!V104*Calculateur!X104*VLOOKUP('Données projet'!$B$9,Paramètres!$A$1:$I$89,3,0)*0.475*44/12</f>
        <v>1.5757684850117659</v>
      </c>
      <c r="AB104" s="21">
        <f>EXP(-LN(2)/2)*AB103+(1-EXP(-LN(2)/2))/(LN(2)/2)*V104*Y104*VLOOKUP('Données projet'!$B$9,Paramètres!$A$1:$I$89,3,0)*0.475*44/12</f>
        <v>4.4355723629031046E-10</v>
      </c>
      <c r="AC104" s="22">
        <f t="shared" si="57"/>
        <v>2.1660991410915758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334.97567999999973</v>
      </c>
      <c r="AK104" s="13">
        <f t="shared" si="89"/>
        <v>78.46099237528307</v>
      </c>
      <c r="AL104" s="20">
        <f t="shared" si="58"/>
        <v>720.0688710536175</v>
      </c>
      <c r="AM104" s="59">
        <f t="shared" si="59"/>
        <v>1013.4022043869509</v>
      </c>
      <c r="AN104" s="59">
        <f ca="1">AVERAGE(OFFSET($AM$3,0,0,'Données projet'!$E$10+1,1))-AVERAGE(OFFSET($H$3,0,0,'Données projet'!$E$10+1,1))</f>
        <v>550.66682372933292</v>
      </c>
      <c r="AO104" s="59">
        <f t="shared" si="90"/>
        <v>387.28615589698444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0.70228991791209339</v>
      </c>
      <c r="AV104" s="21">
        <f>EXP(-LN(2)/25)*AV103+(1-EXP(-LN(2)/25))/(LN(2)/25)*Calculateur!AQ104*Calculateur!AS104*VLOOKUP('Données projet'!$B$10,Paramètres!$A$1:$I$89,3,0)*0.475*44/12</f>
        <v>1.874621128720896</v>
      </c>
      <c r="AW104" s="21">
        <f>EXP(-LN(2)/2)*AW103+(1-EXP(-LN(2)/2))/(LN(2)/2)*AQ104*AT104*VLOOKUP('Données projet'!$B$10,Paramètres!$A$1:$I$89,3,0)*0.475*44/12</f>
        <v>5.2768016041433246E-10</v>
      </c>
      <c r="AX104" s="21">
        <f t="shared" si="60"/>
        <v>2.5769110471606695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1.7053025658242404E-13</v>
      </c>
      <c r="BE104" s="13">
        <f>BD104*VLOOKUP('Données projet'!$B$11,Paramètres!$A$1:$I$89,3,0)*VLOOKUP('Données projet'!$B$11,Paramètres!$A$1:$I$89,5,0)</f>
        <v>1.3301360013429075E-13</v>
      </c>
      <c r="BF104" s="13">
        <f t="shared" si="91"/>
        <v>1.9329766731057041E-12</v>
      </c>
      <c r="BG104" s="20">
        <f t="shared" si="61"/>
        <v>3.5982663925596575E-12</v>
      </c>
      <c r="BH104" s="59">
        <f t="shared" si="62"/>
        <v>293.3333333333369</v>
      </c>
      <c r="BI104" s="59">
        <f ca="1">AVERAGE(OFFSET($BH$3,0,0,'Données projet'!$E$11+1,1))-AVERAGE(OFFSET($H$3,0,0,'Données projet'!$E$11+1,1))</f>
        <v>376.33792692771908</v>
      </c>
      <c r="BJ104" s="59">
        <f t="shared" si="92"/>
        <v>367.92889258044698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0.35441649584073043</v>
      </c>
      <c r="BQ104" s="21">
        <f>EXP(-LN(2)/25)*BQ103+(1-EXP(-LN(2)/25))/(LN(2)/25)*Calculateur!BL104*Calculateur!BN104*VLOOKUP('Données projet'!$B$11,Paramètres!$A$1:$I$89,3,0)*0.475*44/12</f>
        <v>1.1690625774950536</v>
      </c>
      <c r="BR104" s="21">
        <f>EXP(-LN(2)/2)*BR103+(1-EXP(-LN(2)/2))/(LN(2)/2)*BL104*BO104*VLOOKUP('Données projet'!$B$11,Paramètres!$A$1:$I$89,3,0)*0.475*44/12</f>
        <v>2.6899854800824277E-10</v>
      </c>
      <c r="BS104" s="22">
        <f t="shared" si="63"/>
        <v>1.5234790736047827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240.13392000000016</v>
      </c>
      <c r="CA104" s="13">
        <f t="shared" si="93"/>
        <v>58.468343087048616</v>
      </c>
      <c r="CB104" s="20">
        <f t="shared" si="64"/>
        <v>520.06560820994321</v>
      </c>
      <c r="CC104" s="59">
        <f t="shared" si="65"/>
        <v>813.39894154327658</v>
      </c>
      <c r="CD104" s="59">
        <f ca="1">AVERAGE(OFFSET($CC$3,0,0,'Données projet'!$E$12+1,1))-AVERAGE(OFFSET($H$3,0,0,'Données projet'!$E$12+1,1))</f>
        <v>388.50131600273431</v>
      </c>
      <c r="CE104" s="59">
        <f t="shared" si="94"/>
        <v>247.01165577562955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0.43377809647131449</v>
      </c>
      <c r="CM104" s="21">
        <f>EXP(-LN(2)/2)*CM103+(1-EXP(-LN(2)/2))/(LN(2)/2)*CG104*CJ104*VLOOKUP('Données projet'!$B$12,Paramètres!$A$1:$I$89,3,0)*0.475*44/12</f>
        <v>1.2737378242276461E-10</v>
      </c>
      <c r="CN104" s="22">
        <f t="shared" si="66"/>
        <v>0.43377809659868827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4.4000000000000004</v>
      </c>
      <c r="CT104" s="12">
        <f>IF('Données projet'!$A$140&gt;35,CT103+CS104-DB103,IF(A104&lt;'Données projet'!$A$140,$CQ$205^A104,IF(A104='Données projet'!$A$140,'Données projet'!$B$140,CT103+CS104-DB103)))</f>
        <v>265.4000000000002</v>
      </c>
      <c r="CU104" s="17">
        <f>CT104*VLOOKUP('Données projet'!$B$13,Paramètres!$A$1:$I$89,3,0)*VLOOKUP('Données projet'!$B$13,Paramètres!$A$1:$I$89,5,0)</f>
        <v>285.67656000000022</v>
      </c>
      <c r="CV104" s="13">
        <f t="shared" si="95"/>
        <v>68.16522430825907</v>
      </c>
      <c r="CW104" s="20">
        <f t="shared" si="67"/>
        <v>616.2744410035516</v>
      </c>
      <c r="CX104" s="59">
        <f t="shared" si="68"/>
        <v>909.60777433688486</v>
      </c>
      <c r="CY104" s="59">
        <f ca="1">AVERAGE(OFFSET($CX$3,0,0,'Données projet'!$E$13+1,1))-AVERAGE(OFFSET($H$3,0,0,'Données projet'!$E$13+1,1))</f>
        <v>454.43000549907373</v>
      </c>
      <c r="CZ104" s="59">
        <f t="shared" si="96"/>
        <v>285.83623046025156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0.51604635614690875</v>
      </c>
      <c r="DH104" s="21">
        <f>EXP(-LN(2)/2)*DH103+(1-EXP(-LN(2)/2))/(LN(2)/2)*DB104*DE104*VLOOKUP('Données projet'!$B$13,Paramètres!$A$1:$I$89,3,0)*0.475*44/12</f>
        <v>1.5153087908915127E-10</v>
      </c>
      <c r="DI104" s="22">
        <f t="shared" si="69"/>
        <v>0.51604635629843965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1.7053025658242404E-13</v>
      </c>
      <c r="DP104" s="17">
        <f>DO104*VLOOKUP('Données projet'!$B$14,Paramètres!$A$1:$I$89,3,0)*VLOOKUP('Données projet'!$B$14,Paramètres!$A$1:$I$89,5,0)</f>
        <v>1.3301360013429075E-13</v>
      </c>
      <c r="DQ104" s="13">
        <f t="shared" si="97"/>
        <v>1.9329766731057041E-12</v>
      </c>
      <c r="DR104" s="20">
        <f t="shared" si="70"/>
        <v>3.5982663925596575E-12</v>
      </c>
      <c r="DS104" s="59">
        <f t="shared" si="71"/>
        <v>293.3333333333369</v>
      </c>
      <c r="DT104" s="59">
        <f ca="1">AVERAGE(OFFSET($DS$3,0,0,'Données projet'!$E$14+1,1))-AVERAGE(OFFSET($H$3,0,0,'Données projet'!$E$14+1,1))</f>
        <v>376.33792692771908</v>
      </c>
      <c r="DU104" s="59">
        <f t="shared" si="98"/>
        <v>367.92889258044698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0.35441649584073043</v>
      </c>
      <c r="EB104" s="21">
        <f>EXP(-LN(2)/25)*EB103+(1-EXP(-LN(2)/25))/(LN(2)/25)*Calculateur!DW104*Calculateur!DY104*VLOOKUP('Données projet'!$B$14,Paramètres!$A$1:$I$89,3,0)*0.475*44/12</f>
        <v>1.1690625774950536</v>
      </c>
      <c r="EC104" s="21">
        <f>EXP(-LN(2)/2)*EC103+(1-EXP(-LN(2)/2))/(LN(2)/2)*DW104*DZ104*VLOOKUP('Données projet'!$B$14,Paramètres!$A$1:$I$89,3,0)*0.475*44/12</f>
        <v>2.6899854800824277E-10</v>
      </c>
      <c r="ED104" s="22">
        <f t="shared" si="72"/>
        <v>1.5234790736047827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286.27871999999974</v>
      </c>
      <c r="P105" s="13">
        <f t="shared" si="87"/>
        <v>68.292165517667542</v>
      </c>
      <c r="Q105" s="20">
        <f t="shared" si="107"/>
        <v>617.54429227660387</v>
      </c>
      <c r="R105" s="59">
        <f t="shared" si="55"/>
        <v>910.87762560993724</v>
      </c>
      <c r="S105" s="59">
        <f ca="1">AVERAGE(OFFSET($R$3,0,0,'Données projet'!$E$9+1,1))-AVERAGE(OFFSET($H$3,0,0,'Données projet'!$E$9+1,1))</f>
        <v>469.68830256438338</v>
      </c>
      <c r="T105" s="59">
        <f t="shared" si="88"/>
        <v>332.61387922152159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0.57875463154537188</v>
      </c>
      <c r="AA105" s="21">
        <f>EXP(-LN(2)/25)*AA104+(1-EXP(-LN(2)/25))/(LN(2)/25)*Calculateur!V105*Calculateur!X105*VLOOKUP('Données projet'!$B$9,Paramètres!$A$1:$I$89,3,0)*0.475*44/12</f>
        <v>1.5326790129230561</v>
      </c>
      <c r="AB105" s="21">
        <f>EXP(-LN(2)/2)*AB104+(1-EXP(-LN(2)/2))/(LN(2)/2)*V105*Y105*VLOOKUP('Données projet'!$B$9,Paramètres!$A$1:$I$89,3,0)*0.475*44/12</f>
        <v>3.1364232962524231E-10</v>
      </c>
      <c r="AC105" s="22">
        <f t="shared" si="57"/>
        <v>2.1114336447820703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340.57295999999968</v>
      </c>
      <c r="AK105" s="13">
        <f t="shared" si="89"/>
        <v>79.618311982569722</v>
      </c>
      <c r="AL105" s="20">
        <f t="shared" si="58"/>
        <v>731.83313203630826</v>
      </c>
      <c r="AM105" s="59">
        <f t="shared" si="59"/>
        <v>1025.1664653696416</v>
      </c>
      <c r="AN105" s="59">
        <f ca="1">AVERAGE(OFFSET($AM$3,0,0,'Données projet'!$E$10+1,1))-AVERAGE(OFFSET($H$3,0,0,'Données projet'!$E$10+1,1))</f>
        <v>550.66682372933292</v>
      </c>
      <c r="AO105" s="59">
        <f t="shared" si="90"/>
        <v>387.28615589698444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0.6885184409763907</v>
      </c>
      <c r="AV105" s="21">
        <f>EXP(-LN(2)/25)*AV104+(1-EXP(-LN(2)/25))/(LN(2)/25)*Calculateur!AQ105*Calculateur!AS105*VLOOKUP('Données projet'!$B$10,Paramètres!$A$1:$I$89,3,0)*0.475*44/12</f>
        <v>1.8233595153739826</v>
      </c>
      <c r="AW105" s="21">
        <f>EXP(-LN(2)/2)*AW104+(1-EXP(-LN(2)/2))/(LN(2)/2)*AQ105*AT105*VLOOKUP('Données projet'!$B$10,Paramètres!$A$1:$I$89,3,0)*0.475*44/12</f>
        <v>3.7312621972657969E-10</v>
      </c>
      <c r="AX105" s="21">
        <f t="shared" si="60"/>
        <v>2.5118779567234997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1.7053025658242404E-13</v>
      </c>
      <c r="BE105" s="13">
        <f>BD105*VLOOKUP('Données projet'!$B$11,Paramètres!$A$1:$I$89,3,0)*VLOOKUP('Données projet'!$B$11,Paramètres!$A$1:$I$89,5,0)</f>
        <v>1.3301360013429075E-13</v>
      </c>
      <c r="BF105" s="13">
        <f t="shared" si="91"/>
        <v>1.9329766731057041E-12</v>
      </c>
      <c r="BG105" s="20">
        <f t="shared" si="61"/>
        <v>3.5982663925596575E-12</v>
      </c>
      <c r="BH105" s="59">
        <f t="shared" si="62"/>
        <v>293.3333333333369</v>
      </c>
      <c r="BI105" s="59">
        <f ca="1">AVERAGE(OFFSET($BH$3,0,0,'Données projet'!$E$11+1,1))-AVERAGE(OFFSET($H$3,0,0,'Données projet'!$E$11+1,1))</f>
        <v>376.33792692771908</v>
      </c>
      <c r="BJ105" s="59">
        <f t="shared" si="92"/>
        <v>367.92889258044698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0.34746660453001088</v>
      </c>
      <c r="BQ105" s="21">
        <f>EXP(-LN(2)/25)*BQ104+(1-EXP(-LN(2)/25))/(LN(2)/25)*Calculateur!BL105*Calculateur!BN105*VLOOKUP('Données projet'!$B$11,Paramètres!$A$1:$I$89,3,0)*0.475*44/12</f>
        <v>1.1370944998351222</v>
      </c>
      <c r="BR105" s="21">
        <f>EXP(-LN(2)/2)*BR104+(1-EXP(-LN(2)/2))/(LN(2)/2)*BL105*BO105*VLOOKUP('Données projet'!$B$11,Paramètres!$A$1:$I$89,3,0)*0.475*44/12</f>
        <v>1.9021069742596352E-10</v>
      </c>
      <c r="BS105" s="22">
        <f t="shared" si="63"/>
        <v>1.484561104555344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244.11504000000016</v>
      </c>
      <c r="CA105" s="13">
        <f t="shared" si="93"/>
        <v>59.324023461759062</v>
      </c>
      <c r="CB105" s="20">
        <f t="shared" si="64"/>
        <v>528.48970219589739</v>
      </c>
      <c r="CC105" s="59">
        <f t="shared" si="65"/>
        <v>821.82303552923076</v>
      </c>
      <c r="CD105" s="59">
        <f ca="1">AVERAGE(OFFSET($CC$3,0,0,'Données projet'!$E$12+1,1))-AVERAGE(OFFSET($H$3,0,0,'Données projet'!$E$12+1,1))</f>
        <v>388.50131600273431</v>
      </c>
      <c r="CE105" s="59">
        <f t="shared" si="94"/>
        <v>247.01165577562955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0.42191641161190774</v>
      </c>
      <c r="CM105" s="21">
        <f>EXP(-LN(2)/2)*CM104+(1-EXP(-LN(2)/2))/(LN(2)/2)*CG105*CJ105*VLOOKUP('Données projet'!$B$12,Paramètres!$A$1:$I$89,3,0)*0.475*44/12</f>
        <v>9.0066865296516732E-11</v>
      </c>
      <c r="CN105" s="22">
        <f t="shared" si="66"/>
        <v>0.42191641170197458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4.4000000000000004</v>
      </c>
      <c r="CT105" s="12">
        <f>IF('Données projet'!$A$140&gt;35,CT104+CS105-DB104,IF(A105&lt;'Données projet'!$A$140,$CQ$205^A105,IF(A105='Données projet'!$A$140,'Données projet'!$B$140,CT104+CS105-DB104)))</f>
        <v>269.80000000000018</v>
      </c>
      <c r="CU105" s="17">
        <f>CT105*VLOOKUP('Données projet'!$B$13,Paramètres!$A$1:$I$89,3,0)*VLOOKUP('Données projet'!$B$13,Paramètres!$A$1:$I$89,5,0)</f>
        <v>290.41272000000021</v>
      </c>
      <c r="CV105" s="13">
        <f t="shared" si="95"/>
        <v>69.162817905044847</v>
      </c>
      <c r="CW105" s="20">
        <f t="shared" si="67"/>
        <v>626.26072851795345</v>
      </c>
      <c r="CX105" s="59">
        <f t="shared" si="68"/>
        <v>919.59406185128682</v>
      </c>
      <c r="CY105" s="59">
        <f ca="1">AVERAGE(OFFSET($CX$3,0,0,'Données projet'!$E$13+1,1))-AVERAGE(OFFSET($H$3,0,0,'Données projet'!$E$13+1,1))</f>
        <v>454.43000549907373</v>
      </c>
      <c r="CZ105" s="59">
        <f t="shared" si="96"/>
        <v>285.83623046025156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0.50193504140037315</v>
      </c>
      <c r="DH105" s="21">
        <f>EXP(-LN(2)/2)*DH104+(1-EXP(-LN(2)/2))/(LN(2)/2)*DB105*DE105*VLOOKUP('Données projet'!$B$13,Paramètres!$A$1:$I$89,3,0)*0.475*44/12</f>
        <v>1.0714851216309768E-10</v>
      </c>
      <c r="DI105" s="22">
        <f t="shared" si="69"/>
        <v>0.50193504150752166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1.7053025658242404E-13</v>
      </c>
      <c r="DP105" s="17">
        <f>DO105*VLOOKUP('Données projet'!$B$14,Paramètres!$A$1:$I$89,3,0)*VLOOKUP('Données projet'!$B$14,Paramètres!$A$1:$I$89,5,0)</f>
        <v>1.3301360013429075E-13</v>
      </c>
      <c r="DQ105" s="13">
        <f t="shared" si="97"/>
        <v>1.9329766731057041E-12</v>
      </c>
      <c r="DR105" s="20">
        <f t="shared" si="70"/>
        <v>3.5982663925596575E-12</v>
      </c>
      <c r="DS105" s="59">
        <f t="shared" si="71"/>
        <v>293.3333333333369</v>
      </c>
      <c r="DT105" s="59">
        <f ca="1">AVERAGE(OFFSET($DS$3,0,0,'Données projet'!$E$14+1,1))-AVERAGE(OFFSET($H$3,0,0,'Données projet'!$E$14+1,1))</f>
        <v>376.33792692771908</v>
      </c>
      <c r="DU105" s="59">
        <f t="shared" si="98"/>
        <v>367.92889258044698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0.34746660453001088</v>
      </c>
      <c r="EB105" s="21">
        <f>EXP(-LN(2)/25)*EB104+(1-EXP(-LN(2)/25))/(LN(2)/25)*Calculateur!DW105*Calculateur!DY105*VLOOKUP('Données projet'!$B$14,Paramètres!$A$1:$I$89,3,0)*0.475*44/12</f>
        <v>1.1370944998351222</v>
      </c>
      <c r="EC105" s="21">
        <f>EXP(-LN(2)/2)*EC104+(1-EXP(-LN(2)/2))/(LN(2)/2)*DW105*DZ105*VLOOKUP('Données projet'!$B$14,Paramètres!$A$1:$I$89,3,0)*0.475*44/12</f>
        <v>1.9021069742596352E-10</v>
      </c>
      <c r="ED105" s="22">
        <f t="shared" si="72"/>
        <v>1.484561104555344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290.98367999999977</v>
      </c>
      <c r="P106" s="13">
        <f t="shared" si="87"/>
        <v>69.282952690245352</v>
      </c>
      <c r="Q106" s="20">
        <f t="shared" si="107"/>
        <v>627.46438526884356</v>
      </c>
      <c r="R106" s="59">
        <f t="shared" si="55"/>
        <v>920.79771860217693</v>
      </c>
      <c r="S106" s="59">
        <f ca="1">AVERAGE(OFFSET($R$3,0,0,'Données projet'!$E$9+1,1))-AVERAGE(OFFSET($H$3,0,0,'Données projet'!$E$9+1,1))</f>
        <v>469.68830256438338</v>
      </c>
      <c r="T106" s="59">
        <f t="shared" si="88"/>
        <v>332.61387922152159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0.56740560622623604</v>
      </c>
      <c r="AA106" s="21">
        <f>EXP(-LN(2)/25)*AA105+(1-EXP(-LN(2)/25))/(LN(2)/25)*Calculateur!V106*Calculateur!X106*VLOOKUP('Données projet'!$B$9,Paramètres!$A$1:$I$89,3,0)*0.475*44/12</f>
        <v>1.4907678247145888</v>
      </c>
      <c r="AB106" s="21">
        <f>EXP(-LN(2)/2)*AB105+(1-EXP(-LN(2)/2))/(LN(2)/2)*V106*Y106*VLOOKUP('Données projet'!$B$9,Paramètres!$A$1:$I$89,3,0)*0.475*44/12</f>
        <v>2.2177861814515523E-10</v>
      </c>
      <c r="AC106" s="22">
        <f t="shared" si="57"/>
        <v>2.0581734311626034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346.17023999999969</v>
      </c>
      <c r="AK106" s="13">
        <f t="shared" si="89"/>
        <v>80.773419623639043</v>
      </c>
      <c r="AL106" s="20">
        <f t="shared" si="58"/>
        <v>743.59354051117077</v>
      </c>
      <c r="AM106" s="59">
        <f t="shared" si="59"/>
        <v>1036.9268738445041</v>
      </c>
      <c r="AN106" s="59">
        <f ca="1">AVERAGE(OFFSET($AM$3,0,0,'Données projet'!$E$10+1,1))-AVERAGE(OFFSET($H$3,0,0,'Données projet'!$E$10+1,1))</f>
        <v>550.66682372933292</v>
      </c>
      <c r="AO106" s="59">
        <f t="shared" si="90"/>
        <v>387.28615589698444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0.6750170143036256</v>
      </c>
      <c r="AV106" s="21">
        <f>EXP(-LN(2)/25)*AV105+(1-EXP(-LN(2)/25))/(LN(2)/25)*Calculateur!AQ106*Calculateur!AS106*VLOOKUP('Données projet'!$B$10,Paramètres!$A$1:$I$89,3,0)*0.475*44/12</f>
        <v>1.7734996535397713</v>
      </c>
      <c r="AW106" s="21">
        <f>EXP(-LN(2)/2)*AW105+(1-EXP(-LN(2)/2))/(LN(2)/2)*AQ106*AT106*VLOOKUP('Données projet'!$B$10,Paramètres!$A$1:$I$89,3,0)*0.475*44/12</f>
        <v>2.6384008020716623E-10</v>
      </c>
      <c r="AX106" s="21">
        <f t="shared" si="60"/>
        <v>2.4485166681072372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1.7053025658242404E-13</v>
      </c>
      <c r="BE106" s="13">
        <f>BD106*VLOOKUP('Données projet'!$B$11,Paramètres!$A$1:$I$89,3,0)*VLOOKUP('Données projet'!$B$11,Paramètres!$A$1:$I$89,5,0)</f>
        <v>1.3301360013429075E-13</v>
      </c>
      <c r="BF106" s="13">
        <f t="shared" si="91"/>
        <v>1.9329766731057041E-12</v>
      </c>
      <c r="BG106" s="20">
        <f t="shared" si="61"/>
        <v>3.5982663925596575E-12</v>
      </c>
      <c r="BH106" s="59">
        <f t="shared" si="62"/>
        <v>293.3333333333369</v>
      </c>
      <c r="BI106" s="59">
        <f ca="1">AVERAGE(OFFSET($BH$3,0,0,'Données projet'!$E$11+1,1))-AVERAGE(OFFSET($H$3,0,0,'Données projet'!$E$11+1,1))</f>
        <v>376.33792692771908</v>
      </c>
      <c r="BJ106" s="59">
        <f t="shared" si="92"/>
        <v>367.92889258044698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0.34065299634887941</v>
      </c>
      <c r="BQ106" s="21">
        <f>EXP(-LN(2)/25)*BQ105+(1-EXP(-LN(2)/25))/(LN(2)/25)*Calculateur!BL106*Calculateur!BN106*VLOOKUP('Données projet'!$B$11,Paramètres!$A$1:$I$89,3,0)*0.475*44/12</f>
        <v>1.10600059093993</v>
      </c>
      <c r="BR106" s="21">
        <f>EXP(-LN(2)/2)*BR105+(1-EXP(-LN(2)/2))/(LN(2)/2)*BL106*BO106*VLOOKUP('Données projet'!$B$11,Paramètres!$A$1:$I$89,3,0)*0.475*44/12</f>
        <v>1.3449927400412138E-10</v>
      </c>
      <c r="BS106" s="22">
        <f t="shared" si="63"/>
        <v>1.4466535874233086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248.09616000000014</v>
      </c>
      <c r="CA106" s="13">
        <f t="shared" si="93"/>
        <v>60.178080967364686</v>
      </c>
      <c r="CB106" s="20">
        <f t="shared" si="64"/>
        <v>536.91096968482714</v>
      </c>
      <c r="CC106" s="59">
        <f t="shared" si="65"/>
        <v>830.24430301816051</v>
      </c>
      <c r="CD106" s="59">
        <f ca="1">AVERAGE(OFFSET($CC$3,0,0,'Données projet'!$E$12+1,1))-AVERAGE(OFFSET($H$3,0,0,'Données projet'!$E$12+1,1))</f>
        <v>388.50131600273431</v>
      </c>
      <c r="CE106" s="59">
        <f t="shared" si="94"/>
        <v>247.01165577562955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0.41037908514876031</v>
      </c>
      <c r="CM106" s="21">
        <f>EXP(-LN(2)/2)*CM105+(1-EXP(-LN(2)/2))/(LN(2)/2)*CG106*CJ106*VLOOKUP('Données projet'!$B$12,Paramètres!$A$1:$I$89,3,0)*0.475*44/12</f>
        <v>6.3686891211382306E-11</v>
      </c>
      <c r="CN106" s="22">
        <f t="shared" si="66"/>
        <v>0.4103790852124472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4.4000000000000004</v>
      </c>
      <c r="CT106" s="12">
        <f>IF('Données projet'!$A$140&gt;35,CT105+CS106-DB105,IF(A106&lt;'Données projet'!$A$140,$CQ$205^A106,IF(A106='Données projet'!$A$140,'Données projet'!$B$140,CT105+CS106-DB105)))</f>
        <v>274.20000000000016</v>
      </c>
      <c r="CU106" s="17">
        <f>CT106*VLOOKUP('Données projet'!$B$13,Paramètres!$A$1:$I$89,3,0)*VLOOKUP('Données projet'!$B$13,Paramètres!$A$1:$I$89,5,0)</f>
        <v>295.14888000000013</v>
      </c>
      <c r="CV106" s="13">
        <f t="shared" si="95"/>
        <v>70.158519482479406</v>
      </c>
      <c r="CW106" s="20">
        <f t="shared" si="67"/>
        <v>636.24372076531847</v>
      </c>
      <c r="CX106" s="59">
        <f t="shared" si="68"/>
        <v>929.57705409865184</v>
      </c>
      <c r="CY106" s="59">
        <f ca="1">AVERAGE(OFFSET($CX$3,0,0,'Données projet'!$E$13+1,1))-AVERAGE(OFFSET($H$3,0,0,'Données projet'!$E$13+1,1))</f>
        <v>454.43000549907373</v>
      </c>
      <c r="CZ106" s="59">
        <f t="shared" si="96"/>
        <v>285.83623046025156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0.48820960129766333</v>
      </c>
      <c r="DH106" s="21">
        <f>EXP(-LN(2)/2)*DH105+(1-EXP(-LN(2)/2))/(LN(2)/2)*DB106*DE106*VLOOKUP('Données projet'!$B$13,Paramètres!$A$1:$I$89,3,0)*0.475*44/12</f>
        <v>7.5765439544575634E-11</v>
      </c>
      <c r="DI106" s="22">
        <f t="shared" si="69"/>
        <v>0.48820960137342878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1.7053025658242404E-13</v>
      </c>
      <c r="DP106" s="17">
        <f>DO106*VLOOKUP('Données projet'!$B$14,Paramètres!$A$1:$I$89,3,0)*VLOOKUP('Données projet'!$B$14,Paramètres!$A$1:$I$89,5,0)</f>
        <v>1.3301360013429075E-13</v>
      </c>
      <c r="DQ106" s="13">
        <f t="shared" si="97"/>
        <v>1.9329766731057041E-12</v>
      </c>
      <c r="DR106" s="20">
        <f t="shared" si="70"/>
        <v>3.5982663925596575E-12</v>
      </c>
      <c r="DS106" s="59">
        <f t="shared" si="71"/>
        <v>293.3333333333369</v>
      </c>
      <c r="DT106" s="59">
        <f ca="1">AVERAGE(OFFSET($DS$3,0,0,'Données projet'!$E$14+1,1))-AVERAGE(OFFSET($H$3,0,0,'Données projet'!$E$14+1,1))</f>
        <v>376.33792692771908</v>
      </c>
      <c r="DU106" s="59">
        <f t="shared" si="98"/>
        <v>367.92889258044698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0.34065299634887941</v>
      </c>
      <c r="EB106" s="21">
        <f>EXP(-LN(2)/25)*EB105+(1-EXP(-LN(2)/25))/(LN(2)/25)*Calculateur!DW106*Calculateur!DY106*VLOOKUP('Données projet'!$B$14,Paramètres!$A$1:$I$89,3,0)*0.475*44/12</f>
        <v>1.10600059093993</v>
      </c>
      <c r="EC106" s="21">
        <f>EXP(-LN(2)/2)*EC105+(1-EXP(-LN(2)/2))/(LN(2)/2)*DW106*DZ106*VLOOKUP('Données projet'!$B$14,Paramètres!$A$1:$I$89,3,0)*0.475*44/12</f>
        <v>1.3449927400412138E-10</v>
      </c>
      <c r="ED106" s="22">
        <f t="shared" si="72"/>
        <v>1.4466535874233086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295.68863999999974</v>
      </c>
      <c r="P107" s="13">
        <f t="shared" si="87"/>
        <v>70.271876780519676</v>
      </c>
      <c r="Q107" s="20">
        <f t="shared" si="107"/>
        <v>637.38123339273795</v>
      </c>
      <c r="R107" s="59">
        <f t="shared" si="55"/>
        <v>930.71456672607133</v>
      </c>
      <c r="S107" s="59">
        <f ca="1">AVERAGE(OFFSET($R$3,0,0,'Données projet'!$E$9+1,1))-AVERAGE(OFFSET($H$3,0,0,'Données projet'!$E$9+1,1))</f>
        <v>469.68830256438338</v>
      </c>
      <c r="T107" s="59">
        <f t="shared" si="88"/>
        <v>332.61387922152159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0.55627912837138649</v>
      </c>
      <c r="AA107" s="21">
        <f>EXP(-LN(2)/25)*AA106+(1-EXP(-LN(2)/25))/(LN(2)/25)*Calculateur!V107*Calculateur!X107*VLOOKUP('Données projet'!$B$9,Paramètres!$A$1:$I$89,3,0)*0.475*44/12</f>
        <v>1.4500027001516957</v>
      </c>
      <c r="AB107" s="21">
        <f>EXP(-LN(2)/2)*AB106+(1-EXP(-LN(2)/2))/(LN(2)/2)*V107*Y107*VLOOKUP('Données projet'!$B$9,Paramètres!$A$1:$I$89,3,0)*0.475*44/12</f>
        <v>1.5682116481262116E-10</v>
      </c>
      <c r="AC107" s="22">
        <f t="shared" si="57"/>
        <v>2.0062818286799033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351.76751999999971</v>
      </c>
      <c r="AK107" s="13">
        <f t="shared" si="89"/>
        <v>81.926355193183539</v>
      </c>
      <c r="AL107" s="20">
        <f t="shared" si="58"/>
        <v>755.35016596146079</v>
      </c>
      <c r="AM107" s="59">
        <f t="shared" si="59"/>
        <v>1048.683499294794</v>
      </c>
      <c r="AN107" s="59">
        <f ca="1">AVERAGE(OFFSET($AM$3,0,0,'Données projet'!$E$10+1,1))-AVERAGE(OFFSET($H$3,0,0,'Données projet'!$E$10+1,1))</f>
        <v>550.66682372933292</v>
      </c>
      <c r="AO107" s="59">
        <f t="shared" si="90"/>
        <v>387.28615589698444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0.66178034237285632</v>
      </c>
      <c r="AV107" s="21">
        <f>EXP(-LN(2)/25)*AV106+(1-EXP(-LN(2)/25))/(LN(2)/25)*Calculateur!AQ107*Calculateur!AS107*VLOOKUP('Données projet'!$B$10,Paramètres!$A$1:$I$89,3,0)*0.475*44/12</f>
        <v>1.725003212249433</v>
      </c>
      <c r="AW107" s="21">
        <f>EXP(-LN(2)/2)*AW106+(1-EXP(-LN(2)/2))/(LN(2)/2)*AQ107*AT107*VLOOKUP('Données projet'!$B$10,Paramètres!$A$1:$I$89,3,0)*0.475*44/12</f>
        <v>1.8656310986328984E-10</v>
      </c>
      <c r="AX107" s="21">
        <f t="shared" si="60"/>
        <v>2.3867835548088525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1.7053025658242404E-13</v>
      </c>
      <c r="BE107" s="13">
        <f>BD107*VLOOKUP('Données projet'!$B$11,Paramètres!$A$1:$I$89,3,0)*VLOOKUP('Données projet'!$B$11,Paramètres!$A$1:$I$89,5,0)</f>
        <v>1.3301360013429075E-13</v>
      </c>
      <c r="BF107" s="13">
        <f t="shared" si="91"/>
        <v>1.9329766731057041E-12</v>
      </c>
      <c r="BG107" s="20">
        <f t="shared" si="61"/>
        <v>3.5982663925596575E-12</v>
      </c>
      <c r="BH107" s="59">
        <f t="shared" si="62"/>
        <v>293.3333333333369</v>
      </c>
      <c r="BI107" s="59">
        <f ca="1">AVERAGE(OFFSET($BH$3,0,0,'Données projet'!$E$11+1,1))-AVERAGE(OFFSET($H$3,0,0,'Données projet'!$E$11+1,1))</f>
        <v>376.33792692771908</v>
      </c>
      <c r="BJ107" s="59">
        <f t="shared" si="92"/>
        <v>367.92889258044698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0.33397299886828929</v>
      </c>
      <c r="BQ107" s="21">
        <f>EXP(-LN(2)/25)*BQ106+(1-EXP(-LN(2)/25))/(LN(2)/25)*Calculateur!BL107*Calculateur!BN107*VLOOKUP('Données projet'!$B$11,Paramètres!$A$1:$I$89,3,0)*0.475*44/12</f>
        <v>1.0757569466186343</v>
      </c>
      <c r="BR107" s="21">
        <f>EXP(-LN(2)/2)*BR106+(1-EXP(-LN(2)/2))/(LN(2)/2)*BL107*BO107*VLOOKUP('Données projet'!$B$11,Paramètres!$A$1:$I$89,3,0)*0.475*44/12</f>
        <v>9.5105348712981761E-11</v>
      </c>
      <c r="BS107" s="22">
        <f t="shared" si="63"/>
        <v>1.4097299455820289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252.07728000000014</v>
      </c>
      <c r="CA107" s="13">
        <f t="shared" si="93"/>
        <v>61.030544652155044</v>
      </c>
      <c r="CB107" s="20">
        <f t="shared" si="64"/>
        <v>545.32946126917022</v>
      </c>
      <c r="CC107" s="59">
        <f t="shared" si="65"/>
        <v>838.66279460250348</v>
      </c>
      <c r="CD107" s="59">
        <f ca="1">AVERAGE(OFFSET($CC$3,0,0,'Données projet'!$E$12+1,1))-AVERAGE(OFFSET($H$3,0,0,'Données projet'!$E$12+1,1))</f>
        <v>388.50131600273431</v>
      </c>
      <c r="CE107" s="59">
        <f t="shared" si="94"/>
        <v>247.01165577562955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0.39915724748446929</v>
      </c>
      <c r="CM107" s="21">
        <f>EXP(-LN(2)/2)*CM106+(1-EXP(-LN(2)/2))/(LN(2)/2)*CG107*CJ107*VLOOKUP('Données projet'!$B$12,Paramètres!$A$1:$I$89,3,0)*0.475*44/12</f>
        <v>4.5033432648258366E-11</v>
      </c>
      <c r="CN107" s="22">
        <f t="shared" si="66"/>
        <v>0.39915724752950271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4.4000000000000004</v>
      </c>
      <c r="CT107" s="12">
        <f>IF('Données projet'!$A$140&gt;35,CT106+CS107-DB106,IF(A107&lt;'Données projet'!$A$140,$CQ$205^A107,IF(A107='Données projet'!$A$140,'Données projet'!$B$140,CT106+CS107-DB106)))</f>
        <v>278.60000000000014</v>
      </c>
      <c r="CU107" s="17">
        <f>CT107*VLOOKUP('Données projet'!$B$13,Paramètres!$A$1:$I$89,3,0)*VLOOKUP('Données projet'!$B$13,Paramètres!$A$1:$I$89,5,0)</f>
        <v>299.88504000000012</v>
      </c>
      <c r="CV107" s="13">
        <f t="shared" si="95"/>
        <v>71.152362906464646</v>
      </c>
      <c r="CW107" s="20">
        <f t="shared" si="67"/>
        <v>646.22347672875947</v>
      </c>
      <c r="CX107" s="59">
        <f t="shared" si="68"/>
        <v>939.55681006209284</v>
      </c>
      <c r="CY107" s="59">
        <f ca="1">AVERAGE(OFFSET($CX$3,0,0,'Données projet'!$E$13+1,1))-AVERAGE(OFFSET($H$3,0,0,'Données projet'!$E$13+1,1))</f>
        <v>454.43000549907373</v>
      </c>
      <c r="CZ107" s="59">
        <f t="shared" si="96"/>
        <v>285.83623046025156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0.47485948407635159</v>
      </c>
      <c r="DH107" s="21">
        <f>EXP(-LN(2)/2)*DH106+(1-EXP(-LN(2)/2))/(LN(2)/2)*DB107*DE107*VLOOKUP('Données projet'!$B$13,Paramètres!$A$1:$I$89,3,0)*0.475*44/12</f>
        <v>5.3574256081548838E-11</v>
      </c>
      <c r="DI107" s="22">
        <f t="shared" si="69"/>
        <v>0.47485948412992585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1.7053025658242404E-13</v>
      </c>
      <c r="DP107" s="17">
        <f>DO107*VLOOKUP('Données projet'!$B$14,Paramètres!$A$1:$I$89,3,0)*VLOOKUP('Données projet'!$B$14,Paramètres!$A$1:$I$89,5,0)</f>
        <v>1.3301360013429075E-13</v>
      </c>
      <c r="DQ107" s="13">
        <f t="shared" si="97"/>
        <v>1.9329766731057041E-12</v>
      </c>
      <c r="DR107" s="20">
        <f t="shared" si="70"/>
        <v>3.5982663925596575E-12</v>
      </c>
      <c r="DS107" s="59">
        <f t="shared" si="71"/>
        <v>293.3333333333369</v>
      </c>
      <c r="DT107" s="59">
        <f ca="1">AVERAGE(OFFSET($DS$3,0,0,'Données projet'!$E$14+1,1))-AVERAGE(OFFSET($H$3,0,0,'Données projet'!$E$14+1,1))</f>
        <v>376.33792692771908</v>
      </c>
      <c r="DU107" s="59">
        <f t="shared" si="98"/>
        <v>367.92889258044698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0.33397299886828929</v>
      </c>
      <c r="EB107" s="21">
        <f>EXP(-LN(2)/25)*EB106+(1-EXP(-LN(2)/25))/(LN(2)/25)*Calculateur!DW107*Calculateur!DY107*VLOOKUP('Données projet'!$B$14,Paramètres!$A$1:$I$89,3,0)*0.475*44/12</f>
        <v>1.0757569466186343</v>
      </c>
      <c r="EC107" s="21">
        <f>EXP(-LN(2)/2)*EC106+(1-EXP(-LN(2)/2))/(LN(2)/2)*DW107*DZ107*VLOOKUP('Données projet'!$B$14,Paramètres!$A$1:$I$89,3,0)*0.475*44/12</f>
        <v>9.5105348712981761E-11</v>
      </c>
      <c r="ED107" s="22">
        <f t="shared" si="72"/>
        <v>1.4097299455820289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300.39359999999976</v>
      </c>
      <c r="P108" s="13">
        <f t="shared" si="87"/>
        <v>71.258970856492667</v>
      </c>
      <c r="Q108" s="20">
        <f t="shared" si="107"/>
        <v>647.29489424172436</v>
      </c>
      <c r="R108" s="59">
        <f t="shared" si="55"/>
        <v>940.62822757505774</v>
      </c>
      <c r="S108" s="59">
        <f ca="1">AVERAGE(OFFSET($R$3,0,0,'Données projet'!$E$9+1,1))-AVERAGE(OFFSET($H$3,0,0,'Données projet'!$E$9+1,1))</f>
        <v>469.68830256438338</v>
      </c>
      <c r="T108" s="59">
        <f t="shared" si="88"/>
        <v>332.61387922152159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0.54537083396078911</v>
      </c>
      <c r="AA108" s="21">
        <f>EXP(-LN(2)/25)*AA107+(1-EXP(-LN(2)/25))/(LN(2)/25)*Calculateur!V108*Calculateur!X108*VLOOKUP('Données projet'!$B$9,Paramètres!$A$1:$I$89,3,0)*0.475*44/12</f>
        <v>1.4103523000637197</v>
      </c>
      <c r="AB108" s="21">
        <f>EXP(-LN(2)/2)*AB107+(1-EXP(-LN(2)/2))/(LN(2)/2)*V108*Y108*VLOOKUP('Données projet'!$B$9,Paramètres!$A$1:$I$89,3,0)*0.475*44/12</f>
        <v>1.1088930907257761E-10</v>
      </c>
      <c r="AC108" s="22">
        <f t="shared" si="57"/>
        <v>1.955723134135398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357.36479999999966</v>
      </c>
      <c r="AK108" s="13">
        <f t="shared" si="89"/>
        <v>83.077157243480698</v>
      </c>
      <c r="AL108" s="20">
        <f t="shared" si="58"/>
        <v>767.10307553239488</v>
      </c>
      <c r="AM108" s="59">
        <f t="shared" si="59"/>
        <v>1060.4364088657283</v>
      </c>
      <c r="AN108" s="59">
        <f ca="1">AVERAGE(OFFSET($AM$3,0,0,'Données projet'!$E$10+1,1))-AVERAGE(OFFSET($H$3,0,0,'Données projet'!$E$10+1,1))</f>
        <v>550.66682372933292</v>
      </c>
      <c r="AO108" s="59">
        <f t="shared" si="90"/>
        <v>387.28615589698444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0.64880323350507674</v>
      </c>
      <c r="AV108" s="21">
        <f>EXP(-LN(2)/25)*AV107+(1-EXP(-LN(2)/25))/(LN(2)/25)*Calculateur!AQ108*Calculateur!AS108*VLOOKUP('Données projet'!$B$10,Paramètres!$A$1:$I$89,3,0)*0.475*44/12</f>
        <v>1.6778329086964958</v>
      </c>
      <c r="AW108" s="21">
        <f>EXP(-LN(2)/2)*AW107+(1-EXP(-LN(2)/2))/(LN(2)/2)*AQ108*AT108*VLOOKUP('Données projet'!$B$10,Paramètres!$A$1:$I$89,3,0)*0.475*44/12</f>
        <v>1.3192004010358312E-10</v>
      </c>
      <c r="AX108" s="21">
        <f t="shared" si="60"/>
        <v>2.3266361423334927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1.7053025658242404E-13</v>
      </c>
      <c r="BE108" s="13">
        <f>BD108*VLOOKUP('Données projet'!$B$11,Paramètres!$A$1:$I$89,3,0)*VLOOKUP('Données projet'!$B$11,Paramètres!$A$1:$I$89,5,0)</f>
        <v>1.3301360013429075E-13</v>
      </c>
      <c r="BF108" s="13">
        <f t="shared" si="91"/>
        <v>1.9329766731057041E-12</v>
      </c>
      <c r="BG108" s="20">
        <f t="shared" si="61"/>
        <v>3.5982663925596575E-12</v>
      </c>
      <c r="BH108" s="59">
        <f t="shared" si="62"/>
        <v>293.3333333333369</v>
      </c>
      <c r="BI108" s="59">
        <f ca="1">AVERAGE(OFFSET($BH$3,0,0,'Données projet'!$E$11+1,1))-AVERAGE(OFFSET($H$3,0,0,'Données projet'!$E$11+1,1))</f>
        <v>376.33792692771908</v>
      </c>
      <c r="BJ108" s="59">
        <f t="shared" si="92"/>
        <v>367.92889258044698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0.32742399206389738</v>
      </c>
      <c r="BQ108" s="21">
        <f>EXP(-LN(2)/25)*BQ107+(1-EXP(-LN(2)/25))/(LN(2)/25)*Calculateur!BL108*Calculateur!BN108*VLOOKUP('Données projet'!$B$11,Paramètres!$A$1:$I$89,3,0)*0.475*44/12</f>
        <v>1.0463403163417486</v>
      </c>
      <c r="BR108" s="21">
        <f>EXP(-LN(2)/2)*BR107+(1-EXP(-LN(2)/2))/(LN(2)/2)*BL108*BO108*VLOOKUP('Données projet'!$B$11,Paramètres!$A$1:$I$89,3,0)*0.475*44/12</f>
        <v>6.7249637002060692E-11</v>
      </c>
      <c r="BS108" s="22">
        <f t="shared" si="63"/>
        <v>1.3737643084728954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256.05840000000006</v>
      </c>
      <c r="CA108" s="13">
        <f t="shared" si="93"/>
        <v>61.881442594256484</v>
      </c>
      <c r="CB108" s="20">
        <f t="shared" si="64"/>
        <v>553.74522585166358</v>
      </c>
      <c r="CC108" s="59">
        <f t="shared" si="65"/>
        <v>847.07855918499695</v>
      </c>
      <c r="CD108" s="59">
        <f ca="1">AVERAGE(OFFSET($CC$3,0,0,'Données projet'!$E$12+1,1))-AVERAGE(OFFSET($H$3,0,0,'Données projet'!$E$12+1,1))</f>
        <v>388.50131600273431</v>
      </c>
      <c r="CE108" s="59">
        <f t="shared" si="94"/>
        <v>247.01165577562955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0.38824227156123914</v>
      </c>
      <c r="CM108" s="21">
        <f>EXP(-LN(2)/2)*CM107+(1-EXP(-LN(2)/2))/(LN(2)/2)*CG108*CJ108*VLOOKUP('Données projet'!$B$12,Paramètres!$A$1:$I$89,3,0)*0.475*44/12</f>
        <v>3.1843445605691153E-11</v>
      </c>
      <c r="CN108" s="22">
        <f t="shared" si="66"/>
        <v>0.38824227159308261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4.4000000000000004</v>
      </c>
      <c r="CT108" s="12">
        <f>IF('Données projet'!$A$140&gt;35,CT107+CS108-DB107,IF(A108&lt;'Données projet'!$A$140,$CQ$205^A108,IF(A108='Données projet'!$A$140,'Données projet'!$B$140,CT107+CS108-DB107)))</f>
        <v>283.00000000000011</v>
      </c>
      <c r="CU108" s="17">
        <f>CT108*VLOOKUP('Données projet'!$B$13,Paramètres!$A$1:$I$89,3,0)*VLOOKUP('Données projet'!$B$13,Paramètres!$A$1:$I$89,5,0)</f>
        <v>304.6212000000001</v>
      </c>
      <c r="CV108" s="13">
        <f t="shared" si="95"/>
        <v>72.144380911839463</v>
      </c>
      <c r="CW108" s="20">
        <f t="shared" si="67"/>
        <v>656.20005342145384</v>
      </c>
      <c r="CX108" s="59">
        <f t="shared" si="68"/>
        <v>949.53338675478722</v>
      </c>
      <c r="CY108" s="59">
        <f ca="1">AVERAGE(OFFSET($CX$3,0,0,'Données projet'!$E$13+1,1))-AVERAGE(OFFSET($H$3,0,0,'Données projet'!$E$13+1,1))</f>
        <v>454.43000549907373</v>
      </c>
      <c r="CZ108" s="59">
        <f t="shared" si="96"/>
        <v>285.83623046025156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0.46187442651250882</v>
      </c>
      <c r="DH108" s="21">
        <f>EXP(-LN(2)/2)*DH107+(1-EXP(-LN(2)/2))/(LN(2)/2)*DB108*DE108*VLOOKUP('Données projet'!$B$13,Paramètres!$A$1:$I$89,3,0)*0.475*44/12</f>
        <v>3.7882719772287817E-11</v>
      </c>
      <c r="DI108" s="22">
        <f t="shared" si="69"/>
        <v>0.46187442655039151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1.7053025658242404E-13</v>
      </c>
      <c r="DP108" s="17">
        <f>DO108*VLOOKUP('Données projet'!$B$14,Paramètres!$A$1:$I$89,3,0)*VLOOKUP('Données projet'!$B$14,Paramètres!$A$1:$I$89,5,0)</f>
        <v>1.3301360013429075E-13</v>
      </c>
      <c r="DQ108" s="13">
        <f t="shared" si="97"/>
        <v>1.9329766731057041E-12</v>
      </c>
      <c r="DR108" s="20">
        <f t="shared" si="70"/>
        <v>3.5982663925596575E-12</v>
      </c>
      <c r="DS108" s="59">
        <f t="shared" si="71"/>
        <v>293.3333333333369</v>
      </c>
      <c r="DT108" s="59">
        <f ca="1">AVERAGE(OFFSET($DS$3,0,0,'Données projet'!$E$14+1,1))-AVERAGE(OFFSET($H$3,0,0,'Données projet'!$E$14+1,1))</f>
        <v>376.33792692771908</v>
      </c>
      <c r="DU108" s="59">
        <f t="shared" si="98"/>
        <v>367.92889258044698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0.32742399206389738</v>
      </c>
      <c r="EB108" s="21">
        <f>EXP(-LN(2)/25)*EB107+(1-EXP(-LN(2)/25))/(LN(2)/25)*Calculateur!DW108*Calculateur!DY108*VLOOKUP('Données projet'!$B$14,Paramètres!$A$1:$I$89,3,0)*0.475*44/12</f>
        <v>1.0463403163417486</v>
      </c>
      <c r="EC108" s="21">
        <f>EXP(-LN(2)/2)*EC107+(1-EXP(-LN(2)/2))/(LN(2)/2)*DW108*DZ108*VLOOKUP('Données projet'!$B$14,Paramètres!$A$1:$I$89,3,0)*0.475*44/12</f>
        <v>6.7249637002060692E-11</v>
      </c>
      <c r="ED108" s="22">
        <f t="shared" si="72"/>
        <v>1.3737643084728954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305.09855999999974</v>
      </c>
      <c r="P109" s="13">
        <f t="shared" si="87"/>
        <v>72.244266890878734</v>
      </c>
      <c r="Q109" s="20">
        <f t="shared" si="107"/>
        <v>657.20542350161338</v>
      </c>
      <c r="R109" s="59">
        <f t="shared" si="55"/>
        <v>950.53875683494675</v>
      </c>
      <c r="S109" s="59">
        <f ca="1">AVERAGE(OFFSET($R$3,0,0,'Données projet'!$E$9+1,1))-AVERAGE(OFFSET($H$3,0,0,'Données projet'!$E$9+1,1))</f>
        <v>469.68830256438338</v>
      </c>
      <c r="T109" s="59">
        <f t="shared" si="88"/>
        <v>332.61387922152159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0.53467644455018093</v>
      </c>
      <c r="AA109" s="21">
        <f>EXP(-LN(2)/25)*AA108+(1-EXP(-LN(2)/25))/(LN(2)/25)*Calculateur!V109*Calculateur!X109*VLOOKUP('Données projet'!$B$9,Paramètres!$A$1:$I$89,3,0)*0.475*44/12</f>
        <v>1.3717861422512732</v>
      </c>
      <c r="AB109" s="21">
        <f>EXP(-LN(2)/2)*AB108+(1-EXP(-LN(2)/2))/(LN(2)/2)*V109*Y109*VLOOKUP('Données projet'!$B$9,Paramètres!$A$1:$I$89,3,0)*0.475*44/12</f>
        <v>7.8410582406310578E-11</v>
      </c>
      <c r="AC109" s="22">
        <f t="shared" si="57"/>
        <v>1.9064625868798646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362.96207999999967</v>
      </c>
      <c r="AK109" s="13">
        <f t="shared" si="89"/>
        <v>84.225863049868522</v>
      </c>
      <c r="AL109" s="20">
        <f t="shared" si="58"/>
        <v>778.852334145187</v>
      </c>
      <c r="AM109" s="59">
        <f t="shared" si="59"/>
        <v>1072.1856674785204</v>
      </c>
      <c r="AN109" s="59">
        <f ca="1">AVERAGE(OFFSET($AM$3,0,0,'Données projet'!$E$10+1,1))-AVERAGE(OFFSET($H$3,0,0,'Données projet'!$E$10+1,1))</f>
        <v>550.66682372933292</v>
      </c>
      <c r="AO109" s="59">
        <f t="shared" si="90"/>
        <v>387.28615589698444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0.63608059782693949</v>
      </c>
      <c r="AV109" s="21">
        <f>EXP(-LN(2)/25)*AV108+(1-EXP(-LN(2)/25))/(LN(2)/25)*Calculateur!AQ109*Calculateur!AS109*VLOOKUP('Données projet'!$B$10,Paramètres!$A$1:$I$89,3,0)*0.475*44/12</f>
        <v>1.6319524795747922</v>
      </c>
      <c r="AW109" s="21">
        <f>EXP(-LN(2)/2)*AW108+(1-EXP(-LN(2)/2))/(LN(2)/2)*AQ109*AT109*VLOOKUP('Données projet'!$B$10,Paramètres!$A$1:$I$89,3,0)*0.475*44/12</f>
        <v>9.3281554931644921E-11</v>
      </c>
      <c r="AX109" s="21">
        <f t="shared" si="60"/>
        <v>2.268033077495013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1.7053025658242404E-13</v>
      </c>
      <c r="BE109" s="13">
        <f>BD109*VLOOKUP('Données projet'!$B$11,Paramètres!$A$1:$I$89,3,0)*VLOOKUP('Données projet'!$B$11,Paramètres!$A$1:$I$89,5,0)</f>
        <v>1.3301360013429075E-13</v>
      </c>
      <c r="BF109" s="13">
        <f t="shared" si="91"/>
        <v>1.9329766731057041E-12</v>
      </c>
      <c r="BG109" s="20">
        <f t="shared" si="61"/>
        <v>3.5982663925596575E-12</v>
      </c>
      <c r="BH109" s="59">
        <f t="shared" si="62"/>
        <v>293.3333333333369</v>
      </c>
      <c r="BI109" s="59">
        <f ca="1">AVERAGE(OFFSET($BH$3,0,0,'Données projet'!$E$11+1,1))-AVERAGE(OFFSET($H$3,0,0,'Données projet'!$E$11+1,1))</f>
        <v>376.33792692771908</v>
      </c>
      <c r="BJ109" s="59">
        <f t="shared" si="92"/>
        <v>367.92889258044698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0.3210034072884399</v>
      </c>
      <c r="BQ109" s="21">
        <f>EXP(-LN(2)/25)*BQ108+(1-EXP(-LN(2)/25))/(LN(2)/25)*Calculateur!BL109*Calculateur!BN109*VLOOKUP('Données projet'!$B$11,Paramètres!$A$1:$I$89,3,0)*0.475*44/12</f>
        <v>1.0177280853667376</v>
      </c>
      <c r="BR109" s="21">
        <f>EXP(-LN(2)/2)*BR108+(1-EXP(-LN(2)/2))/(LN(2)/2)*BL109*BO109*VLOOKUP('Données projet'!$B$11,Paramètres!$A$1:$I$89,3,0)*0.475*44/12</f>
        <v>4.7552674356490881E-11</v>
      </c>
      <c r="BS109" s="22">
        <f t="shared" si="63"/>
        <v>1.3387314927027303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260.03952000000004</v>
      </c>
      <c r="CA109" s="13">
        <f t="shared" si="93"/>
        <v>62.730801948604871</v>
      </c>
      <c r="CB109" s="20">
        <f t="shared" si="64"/>
        <v>562.15831072715355</v>
      </c>
      <c r="CC109" s="59">
        <f t="shared" si="65"/>
        <v>855.49164406048681</v>
      </c>
      <c r="CD109" s="59">
        <f ca="1">AVERAGE(OFFSET($CC$3,0,0,'Données projet'!$E$12+1,1))-AVERAGE(OFFSET($H$3,0,0,'Données projet'!$E$12+1,1))</f>
        <v>388.50131600273431</v>
      </c>
      <c r="CE109" s="59">
        <f t="shared" si="94"/>
        <v>247.01165577562955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0.37762576622862332</v>
      </c>
      <c r="CM109" s="21">
        <f>EXP(-LN(2)/2)*CM108+(1-EXP(-LN(2)/2))/(LN(2)/2)*CG109*CJ109*VLOOKUP('Données projet'!$B$12,Paramètres!$A$1:$I$89,3,0)*0.475*44/12</f>
        <v>2.2516716324129183E-11</v>
      </c>
      <c r="CN109" s="22">
        <f t="shared" si="66"/>
        <v>0.37762576625114003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4.4000000000000004</v>
      </c>
      <c r="CT109" s="12">
        <f>IF('Données projet'!$A$140&gt;35,CT108+CS109-DB108,IF(A109&lt;'Données projet'!$A$140,$CQ$205^A109,IF(A109='Données projet'!$A$140,'Données projet'!$B$140,CT108+CS109-DB108)))</f>
        <v>287.40000000000009</v>
      </c>
      <c r="CU109" s="17">
        <f>CT109*VLOOKUP('Données projet'!$B$13,Paramètres!$A$1:$I$89,3,0)*VLOOKUP('Données projet'!$B$13,Paramètres!$A$1:$I$89,5,0)</f>
        <v>309.35736000000009</v>
      </c>
      <c r="CV109" s="13">
        <f t="shared" si="95"/>
        <v>73.134605157142232</v>
      </c>
      <c r="CW109" s="20">
        <f t="shared" si="67"/>
        <v>666.17350598202279</v>
      </c>
      <c r="CX109" s="59">
        <f t="shared" si="68"/>
        <v>959.50683931535605</v>
      </c>
      <c r="CY109" s="59">
        <f ca="1">AVERAGE(OFFSET($CX$3,0,0,'Données projet'!$E$13+1,1))-AVERAGE(OFFSET($H$3,0,0,'Données projet'!$E$13+1,1))</f>
        <v>454.43000549907373</v>
      </c>
      <c r="CZ109" s="59">
        <f t="shared" si="96"/>
        <v>285.83623046025156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0.44924444603060382</v>
      </c>
      <c r="DH109" s="21">
        <f>EXP(-LN(2)/2)*DH108+(1-EXP(-LN(2)/2))/(LN(2)/2)*DB109*DE109*VLOOKUP('Données projet'!$B$13,Paramètres!$A$1:$I$89,3,0)*0.475*44/12</f>
        <v>2.6787128040774419E-11</v>
      </c>
      <c r="DI109" s="22">
        <f t="shared" si="69"/>
        <v>0.44924444605739094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1.7053025658242404E-13</v>
      </c>
      <c r="DP109" s="17">
        <f>DO109*VLOOKUP('Données projet'!$B$14,Paramètres!$A$1:$I$89,3,0)*VLOOKUP('Données projet'!$B$14,Paramètres!$A$1:$I$89,5,0)</f>
        <v>1.3301360013429075E-13</v>
      </c>
      <c r="DQ109" s="13">
        <f t="shared" si="97"/>
        <v>1.9329766731057041E-12</v>
      </c>
      <c r="DR109" s="20">
        <f t="shared" si="70"/>
        <v>3.5982663925596575E-12</v>
      </c>
      <c r="DS109" s="59">
        <f t="shared" si="71"/>
        <v>293.3333333333369</v>
      </c>
      <c r="DT109" s="59">
        <f ca="1">AVERAGE(OFFSET($DS$3,0,0,'Données projet'!$E$14+1,1))-AVERAGE(OFFSET($H$3,0,0,'Données projet'!$E$14+1,1))</f>
        <v>376.33792692771908</v>
      </c>
      <c r="DU109" s="59">
        <f t="shared" si="98"/>
        <v>367.92889258044698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0.3210034072884399</v>
      </c>
      <c r="EB109" s="21">
        <f>EXP(-LN(2)/25)*EB108+(1-EXP(-LN(2)/25))/(LN(2)/25)*Calculateur!DW109*Calculateur!DY109*VLOOKUP('Données projet'!$B$14,Paramètres!$A$1:$I$89,3,0)*0.475*44/12</f>
        <v>1.0177280853667376</v>
      </c>
      <c r="EC109" s="21">
        <f>EXP(-LN(2)/2)*EC108+(1-EXP(-LN(2)/2))/(LN(2)/2)*DW109*DZ109*VLOOKUP('Données projet'!$B$14,Paramètres!$A$1:$I$89,3,0)*0.475*44/12</f>
        <v>4.7552674356490881E-11</v>
      </c>
      <c r="ED109" s="22">
        <f t="shared" si="72"/>
        <v>1.3387314927027303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309.80351999999971</v>
      </c>
      <c r="P110" s="13">
        <f t="shared" si="87"/>
        <v>73.227795813703693</v>
      </c>
      <c r="Q110" s="20">
        <f t="shared" si="107"/>
        <v>667.11287504220002</v>
      </c>
      <c r="R110" s="59">
        <f t="shared" si="55"/>
        <v>960.44620837553339</v>
      </c>
      <c r="S110" s="59">
        <f ca="1">AVERAGE(OFFSET($R$3,0,0,'Données projet'!$E$9+1,1))-AVERAGE(OFFSET($H$3,0,0,'Données projet'!$E$9+1,1))</f>
        <v>469.68830256438338</v>
      </c>
      <c r="T110" s="59">
        <f t="shared" si="88"/>
        <v>332.61387922152159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0.52419176559298131</v>
      </c>
      <c r="AA110" s="21">
        <f>EXP(-LN(2)/25)*AA109+(1-EXP(-LN(2)/25))/(LN(2)/25)*Calculateur!V110*Calculateur!X110*VLOOKUP('Données projet'!$B$9,Paramètres!$A$1:$I$89,3,0)*0.475*44/12</f>
        <v>1.3342745780523142</v>
      </c>
      <c r="AB110" s="21">
        <f>EXP(-LN(2)/2)*AB109+(1-EXP(-LN(2)/2))/(LN(2)/2)*V110*Y110*VLOOKUP('Données projet'!$B$9,Paramètres!$A$1:$I$89,3,0)*0.475*44/12</f>
        <v>5.5444654536288807E-11</v>
      </c>
      <c r="AC110" s="22">
        <f t="shared" si="57"/>
        <v>1.8584663437007403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368.55935999999969</v>
      </c>
      <c r="AK110" s="13">
        <f t="shared" si="89"/>
        <v>85.372508672068051</v>
      </c>
      <c r="AL110" s="20">
        <f t="shared" si="58"/>
        <v>790.59800460385122</v>
      </c>
      <c r="AM110" s="59">
        <f t="shared" si="59"/>
        <v>1083.9313379371845</v>
      </c>
      <c r="AN110" s="59">
        <f ca="1">AVERAGE(OFFSET($AM$3,0,0,'Données projet'!$E$10+1,1))-AVERAGE(OFFSET($H$3,0,0,'Données projet'!$E$10+1,1))</f>
        <v>550.66682372933292</v>
      </c>
      <c r="AO110" s="59">
        <f t="shared" si="90"/>
        <v>387.28615589698444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0.62360744527440892</v>
      </c>
      <c r="AV110" s="21">
        <f>EXP(-LN(2)/25)*AV109+(1-EXP(-LN(2)/25))/(LN(2)/25)*Calculateur!AQ110*Calculateur!AS110*VLOOKUP('Données projet'!$B$10,Paramètres!$A$1:$I$89,3,0)*0.475*44/12</f>
        <v>1.5873266532001684</v>
      </c>
      <c r="AW110" s="21">
        <f>EXP(-LN(2)/2)*AW109+(1-EXP(-LN(2)/2))/(LN(2)/2)*AQ110*AT110*VLOOKUP('Données projet'!$B$10,Paramètres!$A$1:$I$89,3,0)*0.475*44/12</f>
        <v>6.5960020051791558E-11</v>
      </c>
      <c r="AX110" s="21">
        <f t="shared" si="60"/>
        <v>2.2109340985405375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1.7053025658242404E-13</v>
      </c>
      <c r="BE110" s="13">
        <f>BD110*VLOOKUP('Données projet'!$B$11,Paramètres!$A$1:$I$89,3,0)*VLOOKUP('Données projet'!$B$11,Paramètres!$A$1:$I$89,5,0)</f>
        <v>1.3301360013429075E-13</v>
      </c>
      <c r="BF110" s="13">
        <f t="shared" si="91"/>
        <v>1.9329766731057041E-12</v>
      </c>
      <c r="BG110" s="20">
        <f t="shared" si="61"/>
        <v>3.5982663925596575E-12</v>
      </c>
      <c r="BH110" s="59">
        <f t="shared" si="62"/>
        <v>293.3333333333369</v>
      </c>
      <c r="BI110" s="59">
        <f ca="1">AVERAGE(OFFSET($BH$3,0,0,'Données projet'!$E$11+1,1))-AVERAGE(OFFSET($H$3,0,0,'Données projet'!$E$11+1,1))</f>
        <v>376.33792692771908</v>
      </c>
      <c r="BJ110" s="59">
        <f t="shared" si="92"/>
        <v>367.92889258044698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0.31470872626425911</v>
      </c>
      <c r="BQ110" s="21">
        <f>EXP(-LN(2)/25)*BQ109+(1-EXP(-LN(2)/25))/(LN(2)/25)*Calculateur!BL110*Calculateur!BN110*VLOOKUP('Données projet'!$B$11,Paramètres!$A$1:$I$89,3,0)*0.475*44/12</f>
        <v>0.98989825735239023</v>
      </c>
      <c r="BR110" s="21">
        <f>EXP(-LN(2)/2)*BR109+(1-EXP(-LN(2)/2))/(LN(2)/2)*BL110*BO110*VLOOKUP('Données projet'!$B$11,Paramètres!$A$1:$I$89,3,0)*0.475*44/12</f>
        <v>3.3624818501030346E-11</v>
      </c>
      <c r="BS110" s="22">
        <f t="shared" si="63"/>
        <v>1.3046069836502743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264.02064000000007</v>
      </c>
      <c r="CA110" s="13">
        <f t="shared" si="93"/>
        <v>63.578648990959174</v>
      </c>
      <c r="CB110" s="20">
        <f t="shared" si="64"/>
        <v>570.56876165925394</v>
      </c>
      <c r="CC110" s="59">
        <f t="shared" si="65"/>
        <v>863.90209499258731</v>
      </c>
      <c r="CD110" s="59">
        <f ca="1">AVERAGE(OFFSET($CC$3,0,0,'Données projet'!$E$12+1,1))-AVERAGE(OFFSET($H$3,0,0,'Données projet'!$E$12+1,1))</f>
        <v>388.50131600273431</v>
      </c>
      <c r="CE110" s="59">
        <f t="shared" si="94"/>
        <v>247.01165577562955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0.36729956979262562</v>
      </c>
      <c r="CM110" s="21">
        <f>EXP(-LN(2)/2)*CM109+(1-EXP(-LN(2)/2))/(LN(2)/2)*CG110*CJ110*VLOOKUP('Données projet'!$B$12,Paramètres!$A$1:$I$89,3,0)*0.475*44/12</f>
        <v>1.5921722802845577E-11</v>
      </c>
      <c r="CN110" s="22">
        <f t="shared" si="66"/>
        <v>0.36729956980854733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4.4000000000000004</v>
      </c>
      <c r="CT110" s="12">
        <f>IF('Données projet'!$A$140&gt;35,CT109+CS110-DB109,IF(A110&lt;'Données projet'!$A$140,$CQ$205^A110,IF(A110='Données projet'!$A$140,'Données projet'!$B$140,CT109+CS110-DB109)))</f>
        <v>291.80000000000007</v>
      </c>
      <c r="CU110" s="17">
        <f>CT110*VLOOKUP('Données projet'!$B$13,Paramètres!$A$1:$I$89,3,0)*VLOOKUP('Données projet'!$B$13,Paramètres!$A$1:$I$89,5,0)</f>
        <v>314.09352000000007</v>
      </c>
      <c r="CV110" s="13">
        <f t="shared" si="95"/>
        <v>74.123066275924515</v>
      </c>
      <c r="CW110" s="20">
        <f t="shared" si="67"/>
        <v>676.14388776390194</v>
      </c>
      <c r="CX110" s="59">
        <f t="shared" si="68"/>
        <v>969.47722109723532</v>
      </c>
      <c r="CY110" s="59">
        <f ca="1">AVERAGE(OFFSET($CX$3,0,0,'Données projet'!$E$13+1,1))-AVERAGE(OFFSET($H$3,0,0,'Données projet'!$E$13+1,1))</f>
        <v>454.43000549907373</v>
      </c>
      <c r="CZ110" s="59">
        <f t="shared" si="96"/>
        <v>285.83623046025156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0.43695983302915831</v>
      </c>
      <c r="DH110" s="21">
        <f>EXP(-LN(2)/2)*DH109+(1-EXP(-LN(2)/2))/(LN(2)/2)*DB110*DE110*VLOOKUP('Données projet'!$B$13,Paramètres!$A$1:$I$89,3,0)*0.475*44/12</f>
        <v>1.8941359886143908E-11</v>
      </c>
      <c r="DI110" s="22">
        <f t="shared" si="69"/>
        <v>0.43695983304809966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1.7053025658242404E-13</v>
      </c>
      <c r="DP110" s="17">
        <f>DO110*VLOOKUP('Données projet'!$B$14,Paramètres!$A$1:$I$89,3,0)*VLOOKUP('Données projet'!$B$14,Paramètres!$A$1:$I$89,5,0)</f>
        <v>1.3301360013429075E-13</v>
      </c>
      <c r="DQ110" s="13">
        <f t="shared" si="97"/>
        <v>1.9329766731057041E-12</v>
      </c>
      <c r="DR110" s="20">
        <f t="shared" si="70"/>
        <v>3.5982663925596575E-12</v>
      </c>
      <c r="DS110" s="59">
        <f t="shared" si="71"/>
        <v>293.3333333333369</v>
      </c>
      <c r="DT110" s="59">
        <f ca="1">AVERAGE(OFFSET($DS$3,0,0,'Données projet'!$E$14+1,1))-AVERAGE(OFFSET($H$3,0,0,'Données projet'!$E$14+1,1))</f>
        <v>376.33792692771908</v>
      </c>
      <c r="DU110" s="59">
        <f t="shared" si="98"/>
        <v>367.92889258044698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0.31470872626425911</v>
      </c>
      <c r="EB110" s="21">
        <f>EXP(-LN(2)/25)*EB109+(1-EXP(-LN(2)/25))/(LN(2)/25)*Calculateur!DW110*Calculateur!DY110*VLOOKUP('Données projet'!$B$14,Paramètres!$A$1:$I$89,3,0)*0.475*44/12</f>
        <v>0.98989825735239023</v>
      </c>
      <c r="EC110" s="21">
        <f>EXP(-LN(2)/2)*EC109+(1-EXP(-LN(2)/2))/(LN(2)/2)*DW110*DZ110*VLOOKUP('Données projet'!$B$14,Paramètres!$A$1:$I$89,3,0)*0.475*44/12</f>
        <v>3.3624818501030346E-11</v>
      </c>
      <c r="ED110" s="22">
        <f t="shared" si="72"/>
        <v>1.3046069836502743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314.50847999999968</v>
      </c>
      <c r="P111" s="13">
        <f t="shared" si="87"/>
        <v>74.209587561617383</v>
      </c>
      <c r="Q111" s="20">
        <f t="shared" si="107"/>
        <v>677.01730100314978</v>
      </c>
      <c r="R111" s="59">
        <f t="shared" si="55"/>
        <v>970.35063433648315</v>
      </c>
      <c r="S111" s="59">
        <f ca="1">AVERAGE(OFFSET($R$3,0,0,'Données projet'!$E$9+1,1))-AVERAGE(OFFSET($H$3,0,0,'Données projet'!$E$9+1,1))</f>
        <v>469.68830256438338</v>
      </c>
      <c r="T111" s="59">
        <f t="shared" si="88"/>
        <v>332.61387922152159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0.51391268479510965</v>
      </c>
      <c r="AA111" s="21">
        <f>EXP(-LN(2)/25)*AA110+(1-EXP(-LN(2)/25))/(LN(2)/25)*Calculateur!V111*Calculateur!X111*VLOOKUP('Données projet'!$B$9,Paramètres!$A$1:$I$89,3,0)*0.475*44/12</f>
        <v>1.2977887695490231</v>
      </c>
      <c r="AB111" s="21">
        <f>EXP(-LN(2)/2)*AB110+(1-EXP(-LN(2)/2))/(LN(2)/2)*V111*Y111*VLOOKUP('Données projet'!$B$9,Paramètres!$A$1:$I$89,3,0)*0.475*44/12</f>
        <v>3.9205291203155289E-11</v>
      </c>
      <c r="AC111" s="22">
        <f t="shared" si="57"/>
        <v>1.8117014543833381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374.15663999999964</v>
      </c>
      <c r="AK111" s="13">
        <f t="shared" si="89"/>
        <v>86.517129011674584</v>
      </c>
      <c r="AL111" s="20">
        <f t="shared" si="58"/>
        <v>802.34014769533258</v>
      </c>
      <c r="AM111" s="59">
        <f t="shared" si="59"/>
        <v>1095.6734810286659</v>
      </c>
      <c r="AN111" s="59">
        <f ca="1">AVERAGE(OFFSET($AM$3,0,0,'Données projet'!$E$10+1,1))-AVERAGE(OFFSET($H$3,0,0,'Données projet'!$E$10+1,1))</f>
        <v>550.66682372933292</v>
      </c>
      <c r="AO111" s="59">
        <f t="shared" si="90"/>
        <v>387.28615589698444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0.6113788836355617</v>
      </c>
      <c r="AV111" s="21">
        <f>EXP(-LN(2)/25)*AV110+(1-EXP(-LN(2)/25))/(LN(2)/25)*Calculateur!AQ111*Calculateur!AS111*VLOOKUP('Données projet'!$B$10,Paramètres!$A$1:$I$89,3,0)*0.475*44/12</f>
        <v>1.5439211223945291</v>
      </c>
      <c r="AW111" s="21">
        <f>EXP(-LN(2)/2)*AW110+(1-EXP(-LN(2)/2))/(LN(2)/2)*AQ111*AT111*VLOOKUP('Données projet'!$B$10,Paramètres!$A$1:$I$89,3,0)*0.475*44/12</f>
        <v>4.6640777465822461E-11</v>
      </c>
      <c r="AX111" s="21">
        <f t="shared" si="60"/>
        <v>2.1553000060767316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1.7053025658242404E-13</v>
      </c>
      <c r="BE111" s="13">
        <f>BD111*VLOOKUP('Données projet'!$B$11,Paramètres!$A$1:$I$89,3,0)*VLOOKUP('Données projet'!$B$11,Paramètres!$A$1:$I$89,5,0)</f>
        <v>1.3301360013429075E-13</v>
      </c>
      <c r="BF111" s="13">
        <f t="shared" si="91"/>
        <v>1.9329766731057041E-12</v>
      </c>
      <c r="BG111" s="20">
        <f t="shared" si="61"/>
        <v>3.5982663925596575E-12</v>
      </c>
      <c r="BH111" s="59">
        <f t="shared" si="62"/>
        <v>293.3333333333369</v>
      </c>
      <c r="BI111" s="59">
        <f ca="1">AVERAGE(OFFSET($BH$3,0,0,'Données projet'!$E$11+1,1))-AVERAGE(OFFSET($H$3,0,0,'Données projet'!$E$11+1,1))</f>
        <v>376.33792692771908</v>
      </c>
      <c r="BJ111" s="59">
        <f t="shared" si="92"/>
        <v>367.92889258044698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0.30853748009558618</v>
      </c>
      <c r="BQ111" s="21">
        <f>EXP(-LN(2)/25)*BQ110+(1-EXP(-LN(2)/25))/(LN(2)/25)*Calculateur!BL111*Calculateur!BN111*VLOOKUP('Données projet'!$B$11,Paramètres!$A$1:$I$89,3,0)*0.475*44/12</f>
        <v>0.96282943744860217</v>
      </c>
      <c r="BR111" s="21">
        <f>EXP(-LN(2)/2)*BR110+(1-EXP(-LN(2)/2))/(LN(2)/2)*BL111*BO111*VLOOKUP('Données projet'!$B$11,Paramètres!$A$1:$I$89,3,0)*0.475*44/12</f>
        <v>2.377633717824544E-11</v>
      </c>
      <c r="BS111" s="22">
        <f t="shared" si="63"/>
        <v>1.2713669175679647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268.00176000000005</v>
      </c>
      <c r="CA111" s="13">
        <f t="shared" si="93"/>
        <v>64.425009159185578</v>
      </c>
      <c r="CB111" s="20">
        <f t="shared" si="64"/>
        <v>578.97662295224825</v>
      </c>
      <c r="CC111" s="59">
        <f t="shared" si="65"/>
        <v>872.30995628558162</v>
      </c>
      <c r="CD111" s="59">
        <f ca="1">AVERAGE(OFFSET($CC$3,0,0,'Données projet'!$E$12+1,1))-AVERAGE(OFFSET($H$3,0,0,'Données projet'!$E$12+1,1))</f>
        <v>388.50131600273431</v>
      </c>
      <c r="CE111" s="59">
        <f t="shared" si="94"/>
        <v>247.01165577562955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0.35725574374120139</v>
      </c>
      <c r="CM111" s="21">
        <f>EXP(-LN(2)/2)*CM110+(1-EXP(-LN(2)/2))/(LN(2)/2)*CG111*CJ111*VLOOKUP('Données projet'!$B$12,Paramètres!$A$1:$I$89,3,0)*0.475*44/12</f>
        <v>1.1258358162064591E-11</v>
      </c>
      <c r="CN111" s="22">
        <f t="shared" si="66"/>
        <v>0.35725574375245978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4.4000000000000004</v>
      </c>
      <c r="CT111" s="12">
        <f>IF('Données projet'!$A$140&gt;35,CT110+CS111-DB110,IF(A111&lt;'Données projet'!$A$140,$CQ$205^A111,IF(A111='Données projet'!$A$140,'Données projet'!$B$140,CT110+CS111-DB110)))</f>
        <v>296.20000000000005</v>
      </c>
      <c r="CU111" s="17">
        <f>CT111*VLOOKUP('Données projet'!$B$13,Paramètres!$A$1:$I$89,3,0)*VLOOKUP('Données projet'!$B$13,Paramètres!$A$1:$I$89,5,0)</f>
        <v>318.82968000000005</v>
      </c>
      <c r="CV111" s="13">
        <f t="shared" si="95"/>
        <v>75.109793924882169</v>
      </c>
      <c r="CW111" s="20">
        <f t="shared" si="67"/>
        <v>686.11125041916978</v>
      </c>
      <c r="CX111" s="59">
        <f t="shared" si="68"/>
        <v>979.44458375250315</v>
      </c>
      <c r="CY111" s="59">
        <f ca="1">AVERAGE(OFFSET($CX$3,0,0,'Données projet'!$E$13+1,1))-AVERAGE(OFFSET($H$3,0,0,'Données projet'!$E$13+1,1))</f>
        <v>454.43000549907373</v>
      </c>
      <c r="CZ111" s="59">
        <f t="shared" si="96"/>
        <v>285.83623046025156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0.42501114341625706</v>
      </c>
      <c r="DH111" s="21">
        <f>EXP(-LN(2)/2)*DH110+(1-EXP(-LN(2)/2))/(LN(2)/2)*DB111*DE111*VLOOKUP('Données projet'!$B$13,Paramètres!$A$1:$I$89,3,0)*0.475*44/12</f>
        <v>1.339356402038721E-11</v>
      </c>
      <c r="DI111" s="22">
        <f t="shared" si="69"/>
        <v>0.42501114342965063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1.7053025658242404E-13</v>
      </c>
      <c r="DP111" s="17">
        <f>DO111*VLOOKUP('Données projet'!$B$14,Paramètres!$A$1:$I$89,3,0)*VLOOKUP('Données projet'!$B$14,Paramètres!$A$1:$I$89,5,0)</f>
        <v>1.3301360013429075E-13</v>
      </c>
      <c r="DQ111" s="13">
        <f t="shared" si="97"/>
        <v>1.9329766731057041E-12</v>
      </c>
      <c r="DR111" s="20">
        <f t="shared" si="70"/>
        <v>3.5982663925596575E-12</v>
      </c>
      <c r="DS111" s="59">
        <f t="shared" si="71"/>
        <v>293.3333333333369</v>
      </c>
      <c r="DT111" s="59">
        <f ca="1">AVERAGE(OFFSET($DS$3,0,0,'Données projet'!$E$14+1,1))-AVERAGE(OFFSET($H$3,0,0,'Données projet'!$E$14+1,1))</f>
        <v>376.33792692771908</v>
      </c>
      <c r="DU111" s="59">
        <f t="shared" si="98"/>
        <v>367.92889258044698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0.30853748009558618</v>
      </c>
      <c r="EB111" s="21">
        <f>EXP(-LN(2)/25)*EB110+(1-EXP(-LN(2)/25))/(LN(2)/25)*Calculateur!DW111*Calculateur!DY111*VLOOKUP('Données projet'!$B$14,Paramètres!$A$1:$I$89,3,0)*0.475*44/12</f>
        <v>0.96282943744860217</v>
      </c>
      <c r="EC111" s="21">
        <f>EXP(-LN(2)/2)*EC110+(1-EXP(-LN(2)/2))/(LN(2)/2)*DW111*DZ111*VLOOKUP('Données projet'!$B$14,Paramètres!$A$1:$I$89,3,0)*0.475*44/12</f>
        <v>2.377633717824544E-11</v>
      </c>
      <c r="ED111" s="22">
        <f t="shared" si="72"/>
        <v>1.2713669175679647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319.21343999999971</v>
      </c>
      <c r="P112" s="13">
        <f t="shared" si="87"/>
        <v>75.189671124171639</v>
      </c>
      <c r="Q112" s="20">
        <f t="shared" si="107"/>
        <v>686.91875187459846</v>
      </c>
      <c r="R112" s="59">
        <f t="shared" si="55"/>
        <v>980.25208520793171</v>
      </c>
      <c r="S112" s="59">
        <f ca="1">AVERAGE(OFFSET($R$3,0,0,'Données projet'!$E$9+1,1))-AVERAGE(OFFSET($H$3,0,0,'Données projet'!$E$9+1,1))</f>
        <v>469.68830256438338</v>
      </c>
      <c r="T112" s="59">
        <f t="shared" si="88"/>
        <v>332.61387922152159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0.50383517050206406</v>
      </c>
      <c r="AA112" s="21">
        <f>EXP(-LN(2)/25)*AA111+(1-EXP(-LN(2)/25))/(LN(2)/25)*Calculateur!V112*Calculateur!X112*VLOOKUP('Données projet'!$B$9,Paramètres!$A$1:$I$89,3,0)*0.475*44/12</f>
        <v>1.2623006673979598</v>
      </c>
      <c r="AB112" s="21">
        <f>EXP(-LN(2)/2)*AB111+(1-EXP(-LN(2)/2))/(LN(2)/2)*V112*Y112*VLOOKUP('Données projet'!$B$9,Paramètres!$A$1:$I$89,3,0)*0.475*44/12</f>
        <v>2.7722327268144404E-11</v>
      </c>
      <c r="AC112" s="22">
        <f t="shared" si="57"/>
        <v>1.7661358379277461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379.75391999999965</v>
      </c>
      <c r="AK112" s="13">
        <f t="shared" si="89"/>
        <v>87.659757866110994</v>
      </c>
      <c r="AL112" s="20">
        <f t="shared" si="58"/>
        <v>814.07882228347592</v>
      </c>
      <c r="AM112" s="59">
        <f t="shared" si="59"/>
        <v>1107.4121556168093</v>
      </c>
      <c r="AN112" s="59">
        <f ca="1">AVERAGE(OFFSET($AM$3,0,0,'Données projet'!$E$10+1,1))-AVERAGE(OFFSET($H$3,0,0,'Données projet'!$E$10+1,1))</f>
        <v>550.66682372933292</v>
      </c>
      <c r="AO112" s="59">
        <f t="shared" si="90"/>
        <v>387.28615589698444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0.59939011663176611</v>
      </c>
      <c r="AV112" s="21">
        <f>EXP(-LN(2)/25)*AV111+(1-EXP(-LN(2)/25))/(LN(2)/25)*Calculateur!AQ112*Calculateur!AS112*VLOOKUP('Données projet'!$B$10,Paramètres!$A$1:$I$89,3,0)*0.475*44/12</f>
        <v>1.5017025181113675</v>
      </c>
      <c r="AW112" s="21">
        <f>EXP(-LN(2)/2)*AW111+(1-EXP(-LN(2)/2))/(LN(2)/2)*AQ112*AT112*VLOOKUP('Données projet'!$B$10,Paramètres!$A$1:$I$89,3,0)*0.475*44/12</f>
        <v>3.2980010025895779E-11</v>
      </c>
      <c r="AX112" s="21">
        <f t="shared" si="60"/>
        <v>2.1010926347761134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1.7053025658242404E-13</v>
      </c>
      <c r="BE112" s="13">
        <f>BD112*VLOOKUP('Données projet'!$B$11,Paramètres!$A$1:$I$89,3,0)*VLOOKUP('Données projet'!$B$11,Paramètres!$A$1:$I$89,5,0)</f>
        <v>1.3301360013429075E-13</v>
      </c>
      <c r="BF112" s="13">
        <f t="shared" si="91"/>
        <v>1.9329766731057041E-12</v>
      </c>
      <c r="BG112" s="20">
        <f t="shared" si="61"/>
        <v>3.5982663925596575E-12</v>
      </c>
      <c r="BH112" s="59">
        <f t="shared" si="62"/>
        <v>293.3333333333369</v>
      </c>
      <c r="BI112" s="59">
        <f ca="1">AVERAGE(OFFSET($BH$3,0,0,'Données projet'!$E$11+1,1))-AVERAGE(OFFSET($H$3,0,0,'Données projet'!$E$11+1,1))</f>
        <v>376.33792692771908</v>
      </c>
      <c r="BJ112" s="59">
        <f t="shared" si="92"/>
        <v>367.92889258044698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0.30248724830019247</v>
      </c>
      <c r="BQ112" s="21">
        <f>EXP(-LN(2)/25)*BQ111+(1-EXP(-LN(2)/25))/(LN(2)/25)*Calculateur!BL112*Calculateur!BN112*VLOOKUP('Données projet'!$B$11,Paramètres!$A$1:$I$89,3,0)*0.475*44/12</f>
        <v>0.93650081584857059</v>
      </c>
      <c r="BR112" s="21">
        <f>EXP(-LN(2)/2)*BR111+(1-EXP(-LN(2)/2))/(LN(2)/2)*BL112*BO112*VLOOKUP('Données projet'!$B$11,Paramètres!$A$1:$I$89,3,0)*0.475*44/12</f>
        <v>1.6812409250515173E-11</v>
      </c>
      <c r="BS112" s="22">
        <f t="shared" si="63"/>
        <v>1.2389880641655755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271.98288000000002</v>
      </c>
      <c r="CA112" s="13">
        <f t="shared" si="93"/>
        <v>65.269907092018755</v>
      </c>
      <c r="CB112" s="20">
        <f t="shared" si="64"/>
        <v>587.38193751859933</v>
      </c>
      <c r="CC112" s="59">
        <f t="shared" si="65"/>
        <v>880.7152708519327</v>
      </c>
      <c r="CD112" s="59">
        <f ca="1">AVERAGE(OFFSET($CC$3,0,0,'Données projet'!$E$12+1,1))-AVERAGE(OFFSET($H$3,0,0,'Données projet'!$E$12+1,1))</f>
        <v>388.50131600273431</v>
      </c>
      <c r="CE112" s="59">
        <f t="shared" si="94"/>
        <v>247.01165577562955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0.3474865666413352</v>
      </c>
      <c r="CM112" s="21">
        <f>EXP(-LN(2)/2)*CM111+(1-EXP(-LN(2)/2))/(LN(2)/2)*CG112*CJ112*VLOOKUP('Données projet'!$B$12,Paramètres!$A$1:$I$89,3,0)*0.475*44/12</f>
        <v>7.9608614014227883E-12</v>
      </c>
      <c r="CN112" s="22">
        <f t="shared" si="66"/>
        <v>0.34748656664929606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4.4000000000000004</v>
      </c>
      <c r="CT112" s="12">
        <f>IF('Données projet'!$A$140&gt;35,CT111+CS112-DB111,IF(A112&lt;'Données projet'!$A$140,$CQ$205^A112,IF(A112='Données projet'!$A$140,'Données projet'!$B$140,CT111+CS112-DB111)))</f>
        <v>300.60000000000002</v>
      </c>
      <c r="CU112" s="17">
        <f>CT112*VLOOKUP('Données projet'!$B$13,Paramètres!$A$1:$I$89,3,0)*VLOOKUP('Données projet'!$B$13,Paramètres!$A$1:$I$89,5,0)</f>
        <v>323.56583999999998</v>
      </c>
      <c r="CV112" s="13">
        <f t="shared" si="95"/>
        <v>76.09481682904439</v>
      </c>
      <c r="CW112" s="20">
        <f t="shared" si="67"/>
        <v>696.07564397725218</v>
      </c>
      <c r="CX112" s="59">
        <f t="shared" si="68"/>
        <v>989.40897731058544</v>
      </c>
      <c r="CY112" s="59">
        <f ca="1">AVERAGE(OFFSET($CX$3,0,0,'Données projet'!$E$13+1,1))-AVERAGE(OFFSET($H$3,0,0,'Données projet'!$E$13+1,1))</f>
        <v>454.43000549907373</v>
      </c>
      <c r="CZ112" s="59">
        <f t="shared" si="96"/>
        <v>285.83623046025156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0.41338919134917484</v>
      </c>
      <c r="DH112" s="21">
        <f>EXP(-LN(2)/2)*DH111+(1-EXP(-LN(2)/2))/(LN(2)/2)*DB112*DE112*VLOOKUP('Données projet'!$B$13,Paramètres!$A$1:$I$89,3,0)*0.475*44/12</f>
        <v>9.4706799430719542E-12</v>
      </c>
      <c r="DI112" s="22">
        <f t="shared" si="69"/>
        <v>0.41338919135864555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1.7053025658242404E-13</v>
      </c>
      <c r="DP112" s="17">
        <f>DO112*VLOOKUP('Données projet'!$B$14,Paramètres!$A$1:$I$89,3,0)*VLOOKUP('Données projet'!$B$14,Paramètres!$A$1:$I$89,5,0)</f>
        <v>1.3301360013429075E-13</v>
      </c>
      <c r="DQ112" s="13">
        <f t="shared" si="97"/>
        <v>1.9329766731057041E-12</v>
      </c>
      <c r="DR112" s="20">
        <f t="shared" si="70"/>
        <v>3.5982663925596575E-12</v>
      </c>
      <c r="DS112" s="59">
        <f t="shared" si="71"/>
        <v>293.3333333333369</v>
      </c>
      <c r="DT112" s="59">
        <f ca="1">AVERAGE(OFFSET($DS$3,0,0,'Données projet'!$E$14+1,1))-AVERAGE(OFFSET($H$3,0,0,'Données projet'!$E$14+1,1))</f>
        <v>376.33792692771908</v>
      </c>
      <c r="DU112" s="59">
        <f t="shared" si="98"/>
        <v>367.92889258044698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0.30248724830019247</v>
      </c>
      <c r="EB112" s="21">
        <f>EXP(-LN(2)/25)*EB111+(1-EXP(-LN(2)/25))/(LN(2)/25)*Calculateur!DW112*Calculateur!DY112*VLOOKUP('Données projet'!$B$14,Paramètres!$A$1:$I$89,3,0)*0.475*44/12</f>
        <v>0.93650081584857059</v>
      </c>
      <c r="EC112" s="21">
        <f>EXP(-LN(2)/2)*EC111+(1-EXP(-LN(2)/2))/(LN(2)/2)*DW112*DZ112*VLOOKUP('Données projet'!$B$14,Paramètres!$A$1:$I$89,3,0)*0.475*44/12</f>
        <v>1.6812409250515173E-11</v>
      </c>
      <c r="ED112" s="22">
        <f t="shared" si="72"/>
        <v>1.2389880641655755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323.91839999999968</v>
      </c>
      <c r="P113" s="13">
        <f t="shared" si="87"/>
        <v>76.168074587293034</v>
      </c>
      <c r="Q113" s="20">
        <f t="shared" si="107"/>
        <v>696.8172765728682</v>
      </c>
      <c r="R113" s="59">
        <f t="shared" si="55"/>
        <v>990.15060990620145</v>
      </c>
      <c r="S113" s="59">
        <f ca="1">AVERAGE(OFFSET($R$3,0,0,'Données projet'!$E$9+1,1))-AVERAGE(OFFSET($H$3,0,0,'Données projet'!$E$9+1,1))</f>
        <v>469.68830256438338</v>
      </c>
      <c r="T113" s="59">
        <f t="shared" si="88"/>
        <v>332.61387922152159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0.49395527011762835</v>
      </c>
      <c r="AA113" s="21">
        <f>EXP(-LN(2)/25)*AA112+(1-EXP(-LN(2)/25))/(LN(2)/25)*Calculateur!V113*Calculateur!X113*VLOOKUP('Données projet'!$B$9,Paramètres!$A$1:$I$89,3,0)*0.475*44/12</f>
        <v>1.2277829892664556</v>
      </c>
      <c r="AB113" s="21">
        <f>EXP(-LN(2)/2)*AB112+(1-EXP(-LN(2)/2))/(LN(2)/2)*V113*Y113*VLOOKUP('Données projet'!$B$9,Paramètres!$A$1:$I$89,3,0)*0.475*44/12</f>
        <v>1.9602645601577644E-11</v>
      </c>
      <c r="AC113" s="22">
        <f t="shared" si="57"/>
        <v>1.7217382594036865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385.35119999999961</v>
      </c>
      <c r="AK113" s="13">
        <f t="shared" si="89"/>
        <v>88.800427979309731</v>
      </c>
      <c r="AL113" s="20">
        <f t="shared" si="58"/>
        <v>825.81408539729716</v>
      </c>
      <c r="AM113" s="59">
        <f t="shared" si="59"/>
        <v>1119.1474187306305</v>
      </c>
      <c r="AN113" s="59">
        <f ca="1">AVERAGE(OFFSET($AM$3,0,0,'Données projet'!$E$10+1,1))-AVERAGE(OFFSET($H$3,0,0,'Données projet'!$E$10+1,1))</f>
        <v>550.66682372933292</v>
      </c>
      <c r="AO113" s="59">
        <f t="shared" si="90"/>
        <v>387.28615589698444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0.58763644203648913</v>
      </c>
      <c r="AV113" s="21">
        <f>EXP(-LN(2)/25)*AV112+(1-EXP(-LN(2)/25))/(LN(2)/25)*Calculateur!AQ113*Calculateur!AS113*VLOOKUP('Données projet'!$B$10,Paramètres!$A$1:$I$89,3,0)*0.475*44/12</f>
        <v>1.4606383837825088</v>
      </c>
      <c r="AW113" s="21">
        <f>EXP(-LN(2)/2)*AW112+(1-EXP(-LN(2)/2))/(LN(2)/2)*AQ113*AT113*VLOOKUP('Données projet'!$B$10,Paramètres!$A$1:$I$89,3,0)*0.475*44/12</f>
        <v>2.332038873291123E-11</v>
      </c>
      <c r="AX113" s="21">
        <f t="shared" si="60"/>
        <v>2.0482748258423182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1.7053025658242404E-13</v>
      </c>
      <c r="BE113" s="13">
        <f>BD113*VLOOKUP('Données projet'!$B$11,Paramètres!$A$1:$I$89,3,0)*VLOOKUP('Données projet'!$B$11,Paramètres!$A$1:$I$89,5,0)</f>
        <v>1.3301360013429075E-13</v>
      </c>
      <c r="BF113" s="13">
        <f t="shared" si="91"/>
        <v>1.9329766731057041E-12</v>
      </c>
      <c r="BG113" s="20">
        <f t="shared" si="61"/>
        <v>3.5982663925596575E-12</v>
      </c>
      <c r="BH113" s="59">
        <f t="shared" si="62"/>
        <v>293.3333333333369</v>
      </c>
      <c r="BI113" s="59">
        <f ca="1">AVERAGE(OFFSET($BH$3,0,0,'Données projet'!$E$11+1,1))-AVERAGE(OFFSET($H$3,0,0,'Données projet'!$E$11+1,1))</f>
        <v>376.33792692771908</v>
      </c>
      <c r="BJ113" s="59">
        <f t="shared" si="92"/>
        <v>367.92889258044698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0.29655565786002941</v>
      </c>
      <c r="BQ113" s="21">
        <f>EXP(-LN(2)/25)*BQ112+(1-EXP(-LN(2)/25))/(LN(2)/25)*Calculateur!BL113*Calculateur!BN113*VLOOKUP('Données projet'!$B$11,Paramètres!$A$1:$I$89,3,0)*0.475*44/12</f>
        <v>0.91089215179075389</v>
      </c>
      <c r="BR113" s="21">
        <f>EXP(-LN(2)/2)*BR112+(1-EXP(-LN(2)/2))/(LN(2)/2)*BL113*BO113*VLOOKUP('Données projet'!$B$11,Paramètres!$A$1:$I$89,3,0)*0.475*44/12</f>
        <v>1.188816858912272E-11</v>
      </c>
      <c r="BS113" s="22">
        <f t="shared" si="63"/>
        <v>1.2074478096626715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275.964</v>
      </c>
      <c r="CA113" s="13">
        <f t="shared" si="93"/>
        <v>66.113366665488911</v>
      </c>
      <c r="CB113" s="20">
        <f t="shared" si="64"/>
        <v>595.7847469423931</v>
      </c>
      <c r="CC113" s="59">
        <f t="shared" si="65"/>
        <v>889.11808027572647</v>
      </c>
      <c r="CD113" s="59">
        <f ca="1">AVERAGE(OFFSET($CC$3,0,0,'Données projet'!$E$12+1,1))-AVERAGE(OFFSET($H$3,0,0,'Données projet'!$E$12+1,1))</f>
        <v>388.50131600273431</v>
      </c>
      <c r="CE113" s="59">
        <f t="shared" si="94"/>
        <v>247.01165577562955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0.33798452820300356</v>
      </c>
      <c r="CM113" s="21">
        <f>EXP(-LN(2)/2)*CM112+(1-EXP(-LN(2)/2))/(LN(2)/2)*CG113*CJ113*VLOOKUP('Données projet'!$B$12,Paramètres!$A$1:$I$89,3,0)*0.475*44/12</f>
        <v>5.6291790810322957E-12</v>
      </c>
      <c r="CN113" s="22">
        <f t="shared" si="66"/>
        <v>0.33798452820863273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305</v>
      </c>
      <c r="CR113" s="12">
        <f>VLOOKUP(A113,'Données projet'!$A$139:$I$159,9,0)</f>
        <v>4.4000000000000004</v>
      </c>
      <c r="CS113" s="12">
        <f t="array" ref="CS113">INDEX(CR:CR,MIN(IF(ISNUMBER(CR113:CR309),ROW(CR113:CR309),"")))</f>
        <v>4.4000000000000004</v>
      </c>
      <c r="CT113" s="12">
        <f>IF('Données projet'!$A$140&gt;35,CT112+CS113-DB112,IF(A113&lt;'Données projet'!$A$140,$CQ$205^A113,IF(A113='Données projet'!$A$140,'Données projet'!$B$140,CT112+CS113-DB112)))</f>
        <v>305</v>
      </c>
      <c r="CU113" s="17">
        <f>CT113*VLOOKUP('Données projet'!$B$13,Paramètres!$A$1:$I$89,3,0)*VLOOKUP('Données projet'!$B$13,Paramètres!$A$1:$I$89,5,0)</f>
        <v>328.30200000000002</v>
      </c>
      <c r="CV113" s="13">
        <f t="shared" si="95"/>
        <v>77.078162824242838</v>
      </c>
      <c r="CW113" s="20">
        <f t="shared" si="67"/>
        <v>706.03711691888964</v>
      </c>
      <c r="CX113" s="59">
        <f t="shared" si="68"/>
        <v>999.37045025222301</v>
      </c>
      <c r="CY113" s="59">
        <f ca="1">AVERAGE(OFFSET($CX$3,0,0,'Données projet'!$E$13+1,1))-AVERAGE(OFFSET($H$3,0,0,'Données projet'!$E$13+1,1))</f>
        <v>454.43000549907373</v>
      </c>
      <c r="CZ113" s="59">
        <f t="shared" si="96"/>
        <v>285.83623046025156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39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0.40208504217253888</v>
      </c>
      <c r="DH113" s="21">
        <f>EXP(-LN(2)/2)*DH112+(1-EXP(-LN(2)/2))/(LN(2)/2)*DB113*DE113*VLOOKUP('Données projet'!$B$13,Paramètres!$A$1:$I$89,3,0)*0.475*44/12</f>
        <v>6.6967820101936048E-12</v>
      </c>
      <c r="DI113" s="22">
        <f t="shared" si="69"/>
        <v>0.40208504217923569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1.7053025658242404E-13</v>
      </c>
      <c r="DP113" s="17">
        <f>DO113*VLOOKUP('Données projet'!$B$14,Paramètres!$A$1:$I$89,3,0)*VLOOKUP('Données projet'!$B$14,Paramètres!$A$1:$I$89,5,0)</f>
        <v>1.3301360013429075E-13</v>
      </c>
      <c r="DQ113" s="13">
        <f t="shared" si="97"/>
        <v>1.9329766731057041E-12</v>
      </c>
      <c r="DR113" s="20">
        <f t="shared" si="70"/>
        <v>3.5982663925596575E-12</v>
      </c>
      <c r="DS113" s="59">
        <f t="shared" si="71"/>
        <v>293.3333333333369</v>
      </c>
      <c r="DT113" s="59">
        <f ca="1">AVERAGE(OFFSET($DS$3,0,0,'Données projet'!$E$14+1,1))-AVERAGE(OFFSET($H$3,0,0,'Données projet'!$E$14+1,1))</f>
        <v>376.33792692771908</v>
      </c>
      <c r="DU113" s="59">
        <f t="shared" si="98"/>
        <v>367.92889258044698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0.29655565786002941</v>
      </c>
      <c r="EB113" s="21">
        <f>EXP(-LN(2)/25)*EB112+(1-EXP(-LN(2)/25))/(LN(2)/25)*Calculateur!DW113*Calculateur!DY113*VLOOKUP('Données projet'!$B$14,Paramètres!$A$1:$I$89,3,0)*0.475*44/12</f>
        <v>0.91089215179075389</v>
      </c>
      <c r="EC113" s="21">
        <f>EXP(-LN(2)/2)*EC112+(1-EXP(-LN(2)/2))/(LN(2)/2)*DW113*DZ113*VLOOKUP('Données projet'!$B$14,Paramètres!$A$1:$I$89,3,0)*0.475*44/12</f>
        <v>1.188816858912272E-11</v>
      </c>
      <c r="ED113" s="22">
        <f t="shared" si="72"/>
        <v>1.2074478096626715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311.49999999999966</v>
      </c>
      <c r="O114" s="13">
        <f>N114*VLOOKUP('Données projet'!$B$9,Paramètres!$A$1:$I$89,3,0)*VLOOKUP('Données projet'!$B$9,Paramètres!$A$1:$I$89,5,0)</f>
        <v>281.84519999999969</v>
      </c>
      <c r="P114" s="13">
        <f t="shared" si="87"/>
        <v>67.356803491560427</v>
      </c>
      <c r="Q114" s="20">
        <f t="shared" si="107"/>
        <v>608.19348941446708</v>
      </c>
      <c r="R114" s="59">
        <f t="shared" si="55"/>
        <v>901.52682274780045</v>
      </c>
      <c r="S114" s="59">
        <f ca="1">AVERAGE(OFFSET($R$3,0,0,'Données projet'!$E$9+1,1))-AVERAGE(OFFSET($H$3,0,0,'Données projet'!$E$9+1,1))</f>
        <v>469.68830256438338</v>
      </c>
      <c r="T114" s="59">
        <f t="shared" si="88"/>
        <v>332.61387922152159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0.48426910855358724</v>
      </c>
      <c r="AA114" s="21">
        <f>EXP(-LN(2)/25)*AA113+(1-EXP(-LN(2)/25))/(LN(2)/25)*Calculateur!V114*Calculateur!X114*VLOOKUP('Données projet'!$B$9,Paramètres!$A$1:$I$89,3,0)*0.475*44/12</f>
        <v>1.1942091988586632</v>
      </c>
      <c r="AB114" s="21">
        <f>EXP(-LN(2)/2)*AB113+(1-EXP(-LN(2)/2))/(LN(2)/2)*V114*Y114*VLOOKUP('Données projet'!$B$9,Paramètres!$A$1:$I$89,3,0)*0.475*44/12</f>
        <v>1.3861163634072202E-11</v>
      </c>
      <c r="AC114" s="22">
        <f t="shared" si="57"/>
        <v>1.6784783074261116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311.49999999999966</v>
      </c>
      <c r="AJ114" s="13">
        <f>AI114*VLOOKUP('Données projet'!$B$10,Paramètres!$A$1:$I$89,3,0)*VLOOKUP('Données projet'!$B$10,Paramètres!$A$1:$I$89,5,0)</f>
        <v>335.29859999999962</v>
      </c>
      <c r="AK114" s="13">
        <f t="shared" si="89"/>
        <v>78.527821659898976</v>
      </c>
      <c r="AL114" s="20">
        <f t="shared" si="58"/>
        <v>720.74768439099</v>
      </c>
      <c r="AM114" s="59">
        <f t="shared" si="59"/>
        <v>1014.0810177243234</v>
      </c>
      <c r="AN114" s="59">
        <f ca="1">AVERAGE(OFFSET($AM$3,0,0,'Données projet'!$E$10+1,1))-AVERAGE(OFFSET($H$3,0,0,'Données projet'!$E$10+1,1))</f>
        <v>550.66682372933292</v>
      </c>
      <c r="AO114" s="59">
        <f t="shared" si="90"/>
        <v>387.28615589698444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0.57611324983099188</v>
      </c>
      <c r="AV114" s="21">
        <f>EXP(-LN(2)/25)*AV113+(1-EXP(-LN(2)/25))/(LN(2)/25)*Calculateur!AQ114*Calculateur!AS114*VLOOKUP('Données projet'!$B$10,Paramètres!$A$1:$I$89,3,0)*0.475*44/12</f>
        <v>1.4206971503663417</v>
      </c>
      <c r="AW114" s="21">
        <f>EXP(-LN(2)/2)*AW113+(1-EXP(-LN(2)/2))/(LN(2)/2)*AQ114*AT114*VLOOKUP('Données projet'!$B$10,Paramètres!$A$1:$I$89,3,0)*0.475*44/12</f>
        <v>1.649000501294789E-11</v>
      </c>
      <c r="AX114" s="21">
        <f t="shared" si="60"/>
        <v>1.9968104002138234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1.7053025658242404E-13</v>
      </c>
      <c r="BE114" s="13">
        <f>BD114*VLOOKUP('Données projet'!$B$11,Paramètres!$A$1:$I$89,3,0)*VLOOKUP('Données projet'!$B$11,Paramètres!$A$1:$I$89,5,0)</f>
        <v>1.3301360013429075E-13</v>
      </c>
      <c r="BF114" s="13">
        <f t="shared" si="91"/>
        <v>1.9329766731057041E-12</v>
      </c>
      <c r="BG114" s="20">
        <f t="shared" si="61"/>
        <v>3.5982663925596575E-12</v>
      </c>
      <c r="BH114" s="59">
        <f t="shared" si="62"/>
        <v>293.3333333333369</v>
      </c>
      <c r="BI114" s="59">
        <f ca="1">AVERAGE(OFFSET($BH$3,0,0,'Données projet'!$E$11+1,1))-AVERAGE(OFFSET($H$3,0,0,'Données projet'!$E$11+1,1))</f>
        <v>376.33792692771908</v>
      </c>
      <c r="BJ114" s="59">
        <f t="shared" si="92"/>
        <v>367.92889258044698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0.29074038229048499</v>
      </c>
      <c r="BQ114" s="21">
        <f>EXP(-LN(2)/25)*BQ113+(1-EXP(-LN(2)/25))/(LN(2)/25)*Calculateur!BL114*Calculateur!BN114*VLOOKUP('Données projet'!$B$11,Paramètres!$A$1:$I$89,3,0)*0.475*44/12</f>
        <v>0.88598375799829931</v>
      </c>
      <c r="BR114" s="21">
        <f>EXP(-LN(2)/2)*BR113+(1-EXP(-LN(2)/2))/(LN(2)/2)*BL114*BO114*VLOOKUP('Données projet'!$B$11,Paramètres!$A$1:$I$89,3,0)*0.475*44/12</f>
        <v>8.4062046252575865E-12</v>
      </c>
      <c r="BS114" s="22">
        <f t="shared" si="63"/>
        <v>1.1767241402971904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244.02455999999998</v>
      </c>
      <c r="CA114" s="13">
        <f t="shared" si="93"/>
        <v>59.304594314969279</v>
      </c>
      <c r="CB114" s="20">
        <f t="shared" si="64"/>
        <v>528.29827709857148</v>
      </c>
      <c r="CC114" s="59">
        <f t="shared" si="65"/>
        <v>821.63161043190485</v>
      </c>
      <c r="CD114" s="59">
        <f ca="1">AVERAGE(OFFSET($CC$3,0,0,'Données projet'!$E$12+1,1))-AVERAGE(OFFSET($H$3,0,0,'Données projet'!$E$12+1,1))</f>
        <v>388.50131600273431</v>
      </c>
      <c r="CE114" s="59">
        <f t="shared" si="94"/>
        <v>247.01165577562955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0.32874232350545857</v>
      </c>
      <c r="CM114" s="21">
        <f>EXP(-LN(2)/2)*CM113+(1-EXP(-LN(2)/2))/(LN(2)/2)*CG114*CJ114*VLOOKUP('Données projet'!$B$12,Paramètres!$A$1:$I$89,3,0)*0.475*44/12</f>
        <v>3.9804307007113941E-12</v>
      </c>
      <c r="CN114" s="22">
        <f t="shared" si="66"/>
        <v>0.32874232350943899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3.7</v>
      </c>
      <c r="CT114" s="12">
        <f>IF('Données projet'!$A$140&gt;35,CT113+CS114-DB113,IF(A114&lt;'Données projet'!$A$140,$CQ$205^A114,IF(A114='Données projet'!$A$140,'Données projet'!$B$140,CT113+CS114-DB113)))</f>
        <v>269.7</v>
      </c>
      <c r="CU114" s="17">
        <f>CT114*VLOOKUP('Données projet'!$B$13,Paramètres!$A$1:$I$89,3,0)*VLOOKUP('Données projet'!$B$13,Paramètres!$A$1:$I$89,5,0)</f>
        <v>290.30507999999998</v>
      </c>
      <c r="CV114" s="13">
        <f t="shared" si="95"/>
        <v>69.140166465323489</v>
      </c>
      <c r="CW114" s="20">
        <f t="shared" si="67"/>
        <v>626.03380426043839</v>
      </c>
      <c r="CX114" s="59">
        <f t="shared" si="68"/>
        <v>919.36713759377176</v>
      </c>
      <c r="CY114" s="59">
        <f ca="1">AVERAGE(OFFSET($CX$3,0,0,'Données projet'!$E$13+1,1))-AVERAGE(OFFSET($H$3,0,0,'Données projet'!$E$13+1,1))</f>
        <v>454.43000549907373</v>
      </c>
      <c r="CZ114" s="59">
        <f t="shared" si="96"/>
        <v>285.83623046025156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0.39109000554959739</v>
      </c>
      <c r="DH114" s="21">
        <f>EXP(-LN(2)/2)*DH113+(1-EXP(-LN(2)/2))/(LN(2)/2)*DB114*DE114*VLOOKUP('Données projet'!$B$13,Paramètres!$A$1:$I$89,3,0)*0.475*44/12</f>
        <v>4.7353399715359771E-12</v>
      </c>
      <c r="DI114" s="22">
        <f t="shared" si="69"/>
        <v>0.39109000555433271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1.7053025658242404E-13</v>
      </c>
      <c r="DP114" s="17">
        <f>DO114*VLOOKUP('Données projet'!$B$14,Paramètres!$A$1:$I$89,3,0)*VLOOKUP('Données projet'!$B$14,Paramètres!$A$1:$I$89,5,0)</f>
        <v>1.3301360013429075E-13</v>
      </c>
      <c r="DQ114" s="13">
        <f t="shared" si="97"/>
        <v>1.9329766731057041E-12</v>
      </c>
      <c r="DR114" s="20">
        <f t="shared" si="70"/>
        <v>3.5982663925596575E-12</v>
      </c>
      <c r="DS114" s="59">
        <f t="shared" si="71"/>
        <v>293.3333333333369</v>
      </c>
      <c r="DT114" s="59">
        <f ca="1">AVERAGE(OFFSET($DS$3,0,0,'Données projet'!$E$14+1,1))-AVERAGE(OFFSET($H$3,0,0,'Données projet'!$E$14+1,1))</f>
        <v>376.33792692771908</v>
      </c>
      <c r="DU114" s="59">
        <f t="shared" si="98"/>
        <v>367.92889258044698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0.29074038229048499</v>
      </c>
      <c r="EB114" s="21">
        <f>EXP(-LN(2)/25)*EB113+(1-EXP(-LN(2)/25))/(LN(2)/25)*Calculateur!DW114*Calculateur!DY114*VLOOKUP('Données projet'!$B$14,Paramètres!$A$1:$I$89,3,0)*0.475*44/12</f>
        <v>0.88598375799829931</v>
      </c>
      <c r="EC114" s="21">
        <f>EXP(-LN(2)/2)*EC113+(1-EXP(-LN(2)/2))/(LN(2)/2)*DW114*DZ114*VLOOKUP('Données projet'!$B$14,Paramètres!$A$1:$I$89,3,0)*0.475*44/12</f>
        <v>8.4062046252575865E-12</v>
      </c>
      <c r="ED114" s="22">
        <f t="shared" si="72"/>
        <v>1.1767241402971904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315.99999999999966</v>
      </c>
      <c r="O115" s="13">
        <f>N115*VLOOKUP('Données projet'!$B$9,Paramètres!$A$1:$I$89,3,0)*VLOOKUP('Données projet'!$B$9,Paramètres!$A$1:$I$89,5,0)</f>
        <v>285.91679999999968</v>
      </c>
      <c r="P115" s="13">
        <f t="shared" si="87"/>
        <v>68.215872977287475</v>
      </c>
      <c r="Q115" s="20">
        <f t="shared" si="107"/>
        <v>616.7810721021084</v>
      </c>
      <c r="R115" s="59">
        <f t="shared" si="55"/>
        <v>910.11440543544177</v>
      </c>
      <c r="S115" s="59">
        <f ca="1">AVERAGE(OFFSET($R$3,0,0,'Données projet'!$E$9+1,1))-AVERAGE(OFFSET($H$3,0,0,'Données projet'!$E$9+1,1))</f>
        <v>469.68830256438338</v>
      </c>
      <c r="T115" s="59">
        <f t="shared" si="88"/>
        <v>332.61387922152159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0.47477288670984175</v>
      </c>
      <c r="AA115" s="21">
        <f>EXP(-LN(2)/25)*AA114+(1-EXP(-LN(2)/25))/(LN(2)/25)*Calculateur!V115*Calculateur!X115*VLOOKUP('Données projet'!$B$9,Paramètres!$A$1:$I$89,3,0)*0.475*44/12</f>
        <v>1.1615534855151406</v>
      </c>
      <c r="AB115" s="21">
        <f>EXP(-LN(2)/2)*AB114+(1-EXP(-LN(2)/2))/(LN(2)/2)*V115*Y115*VLOOKUP('Données projet'!$B$9,Paramètres!$A$1:$I$89,3,0)*0.475*44/12</f>
        <v>9.8013228007888222E-12</v>
      </c>
      <c r="AC115" s="22">
        <f t="shared" si="57"/>
        <v>1.6363263722347836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315.99999999999966</v>
      </c>
      <c r="AJ115" s="13">
        <f>AI115*VLOOKUP('Données projet'!$B$10,Paramètres!$A$1:$I$89,3,0)*VLOOKUP('Données projet'!$B$10,Paramètres!$A$1:$I$89,5,0)</f>
        <v>340.14239999999961</v>
      </c>
      <c r="AK115" s="13">
        <f t="shared" si="89"/>
        <v>79.529366446344909</v>
      </c>
      <c r="AL115" s="20">
        <f t="shared" si="58"/>
        <v>730.92832656071676</v>
      </c>
      <c r="AM115" s="59">
        <f t="shared" si="59"/>
        <v>1024.2616598940501</v>
      </c>
      <c r="AN115" s="59">
        <f ca="1">AVERAGE(OFFSET($AM$3,0,0,'Données projet'!$E$10+1,1))-AVERAGE(OFFSET($H$3,0,0,'Données projet'!$E$10+1,1))</f>
        <v>550.66682372933292</v>
      </c>
      <c r="AO115" s="59">
        <f t="shared" si="90"/>
        <v>387.28615589698444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0.56481602039619117</v>
      </c>
      <c r="AV115" s="21">
        <f>EXP(-LN(2)/25)*AV114+(1-EXP(-LN(2)/25))/(LN(2)/25)*Calculateur!AQ115*Calculateur!AS115*VLOOKUP('Données projet'!$B$10,Paramètres!$A$1:$I$89,3,0)*0.475*44/12</f>
        <v>1.3818481120783579</v>
      </c>
      <c r="AW115" s="21">
        <f>EXP(-LN(2)/2)*AW114+(1-EXP(-LN(2)/2))/(LN(2)/2)*AQ115*AT115*VLOOKUP('Données projet'!$B$10,Paramètres!$A$1:$I$89,3,0)*0.475*44/12</f>
        <v>1.1660194366455615E-11</v>
      </c>
      <c r="AX115" s="21">
        <f t="shared" si="60"/>
        <v>1.9466641324862093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1.7053025658242404E-13</v>
      </c>
      <c r="BE115" s="13">
        <f>BD115*VLOOKUP('Données projet'!$B$11,Paramètres!$A$1:$I$89,3,0)*VLOOKUP('Données projet'!$B$11,Paramètres!$A$1:$I$89,5,0)</f>
        <v>1.3301360013429075E-13</v>
      </c>
      <c r="BF115" s="13">
        <f t="shared" si="91"/>
        <v>1.9329766731057041E-12</v>
      </c>
      <c r="BG115" s="20">
        <f t="shared" si="61"/>
        <v>3.5982663925596575E-12</v>
      </c>
      <c r="BH115" s="59">
        <f t="shared" si="62"/>
        <v>293.3333333333369</v>
      </c>
      <c r="BI115" s="59">
        <f ca="1">AVERAGE(OFFSET($BH$3,0,0,'Données projet'!$E$11+1,1))-AVERAGE(OFFSET($H$3,0,0,'Données projet'!$E$11+1,1))</f>
        <v>376.33792692771908</v>
      </c>
      <c r="BJ115" s="59">
        <f t="shared" si="92"/>
        <v>367.92889258044698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0.28503914072789149</v>
      </c>
      <c r="BQ115" s="21">
        <f>EXP(-LN(2)/25)*BQ114+(1-EXP(-LN(2)/25))/(LN(2)/25)*Calculateur!BL115*Calculateur!BN115*VLOOKUP('Données projet'!$B$11,Paramètres!$A$1:$I$89,3,0)*0.475*44/12</f>
        <v>0.86175648554397488</v>
      </c>
      <c r="BR115" s="21">
        <f>EXP(-LN(2)/2)*BR114+(1-EXP(-LN(2)/2))/(LN(2)/2)*BL115*BO115*VLOOKUP('Données projet'!$B$11,Paramètres!$A$1:$I$89,3,0)*0.475*44/12</f>
        <v>5.9440842945613601E-12</v>
      </c>
      <c r="BS115" s="22">
        <f t="shared" si="63"/>
        <v>1.1467956262778105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247.37231999999997</v>
      </c>
      <c r="CA115" s="13">
        <f t="shared" si="93"/>
        <v>60.022917171131049</v>
      </c>
      <c r="CB115" s="20">
        <f t="shared" si="64"/>
        <v>535.38003807305324</v>
      </c>
      <c r="CC115" s="59">
        <f t="shared" si="65"/>
        <v>828.71337140638661</v>
      </c>
      <c r="CD115" s="59">
        <f ca="1">AVERAGE(OFFSET($CC$3,0,0,'Données projet'!$E$12+1,1))-AVERAGE(OFFSET($H$3,0,0,'Données projet'!$E$12+1,1))</f>
        <v>388.50131600273431</v>
      </c>
      <c r="CE115" s="59">
        <f t="shared" si="94"/>
        <v>247.01165577562955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0.31975284738139437</v>
      </c>
      <c r="CM115" s="21">
        <f>EXP(-LN(2)/2)*CM114+(1-EXP(-LN(2)/2))/(LN(2)/2)*CG115*CJ115*VLOOKUP('Données projet'!$B$12,Paramètres!$A$1:$I$89,3,0)*0.475*44/12</f>
        <v>2.8145895405161479E-12</v>
      </c>
      <c r="CN115" s="22">
        <f t="shared" si="66"/>
        <v>0.31975284738420895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3.7</v>
      </c>
      <c r="CT115" s="12">
        <f>IF('Données projet'!$A$140&gt;35,CT114+CS115-DB114,IF(A115&lt;'Données projet'!$A$140,$CQ$205^A115,IF(A115='Données projet'!$A$140,'Données projet'!$B$140,CT114+CS115-DB114)))</f>
        <v>273.39999999999998</v>
      </c>
      <c r="CU115" s="17">
        <f>CT115*VLOOKUP('Données projet'!$B$13,Paramètres!$A$1:$I$89,3,0)*VLOOKUP('Données projet'!$B$13,Paramètres!$A$1:$I$89,5,0)</f>
        <v>294.28775999999993</v>
      </c>
      <c r="CV115" s="13">
        <f t="shared" si="95"/>
        <v>69.977622018717796</v>
      </c>
      <c r="CW115" s="20">
        <f t="shared" si="67"/>
        <v>634.42887368260006</v>
      </c>
      <c r="CX115" s="59">
        <f t="shared" si="68"/>
        <v>927.76220701593343</v>
      </c>
      <c r="CY115" s="59">
        <f ca="1">AVERAGE(OFFSET($CX$3,0,0,'Données projet'!$E$13+1,1))-AVERAGE(OFFSET($H$3,0,0,'Données projet'!$E$13+1,1))</f>
        <v>454.43000549907373</v>
      </c>
      <c r="CZ115" s="59">
        <f t="shared" si="96"/>
        <v>285.83623046025156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0.38039562878131411</v>
      </c>
      <c r="DH115" s="21">
        <f>EXP(-LN(2)/2)*DH114+(1-EXP(-LN(2)/2))/(LN(2)/2)*DB115*DE115*VLOOKUP('Données projet'!$B$13,Paramètres!$A$1:$I$89,3,0)*0.475*44/12</f>
        <v>3.3483910050968024E-12</v>
      </c>
      <c r="DI115" s="22">
        <f t="shared" si="69"/>
        <v>0.38039562878466249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1.7053025658242404E-13</v>
      </c>
      <c r="DP115" s="17">
        <f>DO115*VLOOKUP('Données projet'!$B$14,Paramètres!$A$1:$I$89,3,0)*VLOOKUP('Données projet'!$B$14,Paramètres!$A$1:$I$89,5,0)</f>
        <v>1.3301360013429075E-13</v>
      </c>
      <c r="DQ115" s="13">
        <f t="shared" si="97"/>
        <v>1.9329766731057041E-12</v>
      </c>
      <c r="DR115" s="20">
        <f t="shared" si="70"/>
        <v>3.5982663925596575E-12</v>
      </c>
      <c r="DS115" s="59">
        <f t="shared" si="71"/>
        <v>293.3333333333369</v>
      </c>
      <c r="DT115" s="59">
        <f ca="1">AVERAGE(OFFSET($DS$3,0,0,'Données projet'!$E$14+1,1))-AVERAGE(OFFSET($H$3,0,0,'Données projet'!$E$14+1,1))</f>
        <v>376.33792692771908</v>
      </c>
      <c r="DU115" s="59">
        <f t="shared" si="98"/>
        <v>367.92889258044698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0.28503914072789149</v>
      </c>
      <c r="EB115" s="21">
        <f>EXP(-LN(2)/25)*EB114+(1-EXP(-LN(2)/25))/(LN(2)/25)*Calculateur!DW115*Calculateur!DY115*VLOOKUP('Données projet'!$B$14,Paramètres!$A$1:$I$89,3,0)*0.475*44/12</f>
        <v>0.86175648554397488</v>
      </c>
      <c r="EC115" s="21">
        <f>EXP(-LN(2)/2)*EC114+(1-EXP(-LN(2)/2))/(LN(2)/2)*DW115*DZ115*VLOOKUP('Données projet'!$B$14,Paramètres!$A$1:$I$89,3,0)*0.475*44/12</f>
        <v>5.9440842945613601E-12</v>
      </c>
      <c r="ED115" s="22">
        <f t="shared" si="72"/>
        <v>1.1467956262778105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320.49999999999966</v>
      </c>
      <c r="O116" s="13">
        <f>N116*VLOOKUP('Données projet'!$B$9,Paramètres!$A$1:$I$89,3,0)*VLOOKUP('Données projet'!$B$9,Paramètres!$A$1:$I$89,5,0)</f>
        <v>289.98839999999967</v>
      </c>
      <c r="P116" s="13">
        <f t="shared" si="87"/>
        <v>69.073519602481454</v>
      </c>
      <c r="Q116" s="20">
        <f t="shared" si="107"/>
        <v>625.36617664098787</v>
      </c>
      <c r="R116" s="59">
        <f t="shared" si="55"/>
        <v>918.69950997432124</v>
      </c>
      <c r="S116" s="59">
        <f ca="1">AVERAGE(OFFSET($R$3,0,0,'Données projet'!$E$9+1,1))-AVERAGE(OFFSET($H$3,0,0,'Données projet'!$E$9+1,1))</f>
        <v>469.68830256438338</v>
      </c>
      <c r="T116" s="59">
        <f t="shared" si="88"/>
        <v>332.61387922152159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0.46546287998432873</v>
      </c>
      <c r="AA116" s="21">
        <f>EXP(-LN(2)/25)*AA115+(1-EXP(-LN(2)/25))/(LN(2)/25)*Calculateur!V116*Calculateur!X116*VLOOKUP('Données projet'!$B$9,Paramètres!$A$1:$I$89,3,0)*0.475*44/12</f>
        <v>1.1297907443702859</v>
      </c>
      <c r="AB116" s="21">
        <f>EXP(-LN(2)/2)*AB115+(1-EXP(-LN(2)/2))/(LN(2)/2)*V116*Y116*VLOOKUP('Données projet'!$B$9,Paramètres!$A$1:$I$89,3,0)*0.475*44/12</f>
        <v>6.9305818170361009E-12</v>
      </c>
      <c r="AC116" s="22">
        <f t="shared" si="57"/>
        <v>1.5952536243615454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320.49999999999966</v>
      </c>
      <c r="AJ116" s="13">
        <f>AI116*VLOOKUP('Données projet'!$B$10,Paramètres!$A$1:$I$89,3,0)*VLOOKUP('Données projet'!$B$10,Paramètres!$A$1:$I$89,5,0)</f>
        <v>344.98619999999966</v>
      </c>
      <c r="AK116" s="13">
        <f t="shared" si="89"/>
        <v>80.529252393113296</v>
      </c>
      <c r="AL116" s="20">
        <f t="shared" si="58"/>
        <v>741.10607958467165</v>
      </c>
      <c r="AM116" s="59">
        <f t="shared" si="59"/>
        <v>1034.439412918005</v>
      </c>
      <c r="AN116" s="59">
        <f ca="1">AVERAGE(OFFSET($AM$3,0,0,'Données projet'!$E$10+1,1))-AVERAGE(OFFSET($H$3,0,0,'Données projet'!$E$10+1,1))</f>
        <v>550.66682372933292</v>
      </c>
      <c r="AO116" s="59">
        <f t="shared" si="90"/>
        <v>387.28615589698444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0.55374032273997742</v>
      </c>
      <c r="AV116" s="21">
        <f>EXP(-LN(2)/25)*AV115+(1-EXP(-LN(2)/25))/(LN(2)/25)*Calculateur!AQ116*Calculateur!AS116*VLOOKUP('Données projet'!$B$10,Paramètres!$A$1:$I$89,3,0)*0.475*44/12</f>
        <v>1.3440614027853413</v>
      </c>
      <c r="AW116" s="21">
        <f>EXP(-LN(2)/2)*AW115+(1-EXP(-LN(2)/2))/(LN(2)/2)*AQ116*AT116*VLOOKUP('Données projet'!$B$10,Paramètres!$A$1:$I$89,3,0)*0.475*44/12</f>
        <v>8.2450025064739448E-12</v>
      </c>
      <c r="AX116" s="21">
        <f t="shared" si="60"/>
        <v>1.8978017255335637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1.7053025658242404E-13</v>
      </c>
      <c r="BE116" s="13">
        <f>BD116*VLOOKUP('Données projet'!$B$11,Paramètres!$A$1:$I$89,3,0)*VLOOKUP('Données projet'!$B$11,Paramètres!$A$1:$I$89,5,0)</f>
        <v>1.3301360013429075E-13</v>
      </c>
      <c r="BF116" s="13">
        <f t="shared" si="91"/>
        <v>1.9329766731057041E-12</v>
      </c>
      <c r="BG116" s="20">
        <f t="shared" si="61"/>
        <v>3.5982663925596575E-12</v>
      </c>
      <c r="BH116" s="59">
        <f t="shared" si="62"/>
        <v>293.3333333333369</v>
      </c>
      <c r="BI116" s="59">
        <f ca="1">AVERAGE(OFFSET($BH$3,0,0,'Données projet'!$E$11+1,1))-AVERAGE(OFFSET($H$3,0,0,'Données projet'!$E$11+1,1))</f>
        <v>376.33792692771908</v>
      </c>
      <c r="BJ116" s="59">
        <f t="shared" si="92"/>
        <v>367.92889258044698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0.27944969703492645</v>
      </c>
      <c r="BQ116" s="21">
        <f>EXP(-LN(2)/25)*BQ115+(1-EXP(-LN(2)/25))/(LN(2)/25)*Calculateur!BL116*Calculateur!BN116*VLOOKUP('Données projet'!$B$11,Paramètres!$A$1:$I$89,3,0)*0.475*44/12</f>
        <v>0.8381917091289709</v>
      </c>
      <c r="BR116" s="21">
        <f>EXP(-LN(2)/2)*BR115+(1-EXP(-LN(2)/2))/(LN(2)/2)*BL116*BO116*VLOOKUP('Données projet'!$B$11,Paramètres!$A$1:$I$89,3,0)*0.475*44/12</f>
        <v>4.2031023126287932E-12</v>
      </c>
      <c r="BS116" s="22">
        <f t="shared" si="63"/>
        <v>1.1176414061681004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250.72007999999994</v>
      </c>
      <c r="CA116" s="13">
        <f t="shared" si="93"/>
        <v>60.740109326032758</v>
      </c>
      <c r="CB116" s="20">
        <f t="shared" si="64"/>
        <v>542.45982974284027</v>
      </c>
      <c r="CC116" s="59">
        <f t="shared" si="65"/>
        <v>835.79316307617364</v>
      </c>
      <c r="CD116" s="59">
        <f ca="1">AVERAGE(OFFSET($CC$3,0,0,'Données projet'!$E$12+1,1))-AVERAGE(OFFSET($H$3,0,0,'Données projet'!$E$12+1,1))</f>
        <v>388.50131600273431</v>
      </c>
      <c r="CE116" s="59">
        <f t="shared" si="94"/>
        <v>247.01165577562955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0.31100918895467872</v>
      </c>
      <c r="CM116" s="21">
        <f>EXP(-LN(2)/2)*CM115+(1-EXP(-LN(2)/2))/(LN(2)/2)*CG116*CJ116*VLOOKUP('Données projet'!$B$12,Paramètres!$A$1:$I$89,3,0)*0.475*44/12</f>
        <v>1.9902153503556971E-12</v>
      </c>
      <c r="CN116" s="22">
        <f t="shared" si="66"/>
        <v>0.31100918895666896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3.7</v>
      </c>
      <c r="CT116" s="12">
        <f>IF('Données projet'!$A$140&gt;35,CT115+CS116-DB115,IF(A116&lt;'Données projet'!$A$140,$CQ$205^A116,IF(A116='Données projet'!$A$140,'Données projet'!$B$140,CT115+CS116-DB115)))</f>
        <v>277.09999999999997</v>
      </c>
      <c r="CU116" s="17">
        <f>CT116*VLOOKUP('Données projet'!$B$13,Paramètres!$A$1:$I$89,3,0)*VLOOKUP('Données projet'!$B$13,Paramètres!$A$1:$I$89,5,0)</f>
        <v>298.27043999999995</v>
      </c>
      <c r="CV116" s="13">
        <f t="shared" si="95"/>
        <v>70.813759345855971</v>
      </c>
      <c r="CW116" s="20">
        <f t="shared" si="67"/>
        <v>642.82164719403238</v>
      </c>
      <c r="CX116" s="59">
        <f t="shared" si="68"/>
        <v>936.15498052736575</v>
      </c>
      <c r="CY116" s="59">
        <f ca="1">AVERAGE(OFFSET($CX$3,0,0,'Données projet'!$E$13+1,1))-AVERAGE(OFFSET($H$3,0,0,'Données projet'!$E$13+1,1))</f>
        <v>454.43000549907373</v>
      </c>
      <c r="CZ116" s="59">
        <f t="shared" si="96"/>
        <v>285.83623046025156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0.36999369030815238</v>
      </c>
      <c r="DH116" s="21">
        <f>EXP(-LN(2)/2)*DH115+(1-EXP(-LN(2)/2))/(LN(2)/2)*DB116*DE116*VLOOKUP('Données projet'!$B$13,Paramètres!$A$1:$I$89,3,0)*0.475*44/12</f>
        <v>2.3676699857679885E-12</v>
      </c>
      <c r="DI116" s="22">
        <f t="shared" si="69"/>
        <v>0.36999369031052004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1.7053025658242404E-13</v>
      </c>
      <c r="DP116" s="17">
        <f>DO116*VLOOKUP('Données projet'!$B$14,Paramètres!$A$1:$I$89,3,0)*VLOOKUP('Données projet'!$B$14,Paramètres!$A$1:$I$89,5,0)</f>
        <v>1.3301360013429075E-13</v>
      </c>
      <c r="DQ116" s="13">
        <f t="shared" si="97"/>
        <v>1.9329766731057041E-12</v>
      </c>
      <c r="DR116" s="20">
        <f t="shared" si="70"/>
        <v>3.5982663925596575E-12</v>
      </c>
      <c r="DS116" s="59">
        <f t="shared" si="71"/>
        <v>293.3333333333369</v>
      </c>
      <c r="DT116" s="59">
        <f ca="1">AVERAGE(OFFSET($DS$3,0,0,'Données projet'!$E$14+1,1))-AVERAGE(OFFSET($H$3,0,0,'Données projet'!$E$14+1,1))</f>
        <v>376.33792692771908</v>
      </c>
      <c r="DU116" s="59">
        <f t="shared" si="98"/>
        <v>367.92889258044698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0.27944969703492645</v>
      </c>
      <c r="EB116" s="21">
        <f>EXP(-LN(2)/25)*EB115+(1-EXP(-LN(2)/25))/(LN(2)/25)*Calculateur!DW116*Calculateur!DY116*VLOOKUP('Données projet'!$B$14,Paramètres!$A$1:$I$89,3,0)*0.475*44/12</f>
        <v>0.8381917091289709</v>
      </c>
      <c r="EC116" s="21">
        <f>EXP(-LN(2)/2)*EC115+(1-EXP(-LN(2)/2))/(LN(2)/2)*DW116*DZ116*VLOOKUP('Données projet'!$B$14,Paramètres!$A$1:$I$89,3,0)*0.475*44/12</f>
        <v>4.2031023126287932E-12</v>
      </c>
      <c r="ED116" s="22">
        <f t="shared" si="72"/>
        <v>1.1176414061681004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324.99999999999966</v>
      </c>
      <c r="O117" s="13">
        <f>N117*VLOOKUP('Données projet'!$B$9,Paramètres!$A$1:$I$89,3,0)*VLOOKUP('Données projet'!$B$9,Paramètres!$A$1:$I$89,5,0)</f>
        <v>294.05999999999972</v>
      </c>
      <c r="P117" s="13">
        <f t="shared" si="87"/>
        <v>69.929765653573313</v>
      </c>
      <c r="Q117" s="20">
        <f t="shared" si="107"/>
        <v>633.94884184663977</v>
      </c>
      <c r="R117" s="59">
        <f t="shared" si="55"/>
        <v>927.28217517997314</v>
      </c>
      <c r="S117" s="59">
        <f ca="1">AVERAGE(OFFSET($R$3,0,0,'Données projet'!$E$9+1,1))-AVERAGE(OFFSET($H$3,0,0,'Données projet'!$E$9+1,1))</f>
        <v>469.68830256438338</v>
      </c>
      <c r="T117" s="59">
        <f t="shared" si="88"/>
        <v>332.61387922152159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0.4563354368121596</v>
      </c>
      <c r="AA117" s="21">
        <f>EXP(-LN(2)/25)*AA116+(1-EXP(-LN(2)/25))/(LN(2)/25)*Calculateur!V117*Calculateur!X117*VLOOKUP('Données projet'!$B$9,Paramètres!$A$1:$I$89,3,0)*0.475*44/12</f>
        <v>1.0988965570523674</v>
      </c>
      <c r="AB117" s="21">
        <f>EXP(-LN(2)/2)*AB116+(1-EXP(-LN(2)/2))/(LN(2)/2)*V117*Y117*VLOOKUP('Données projet'!$B$9,Paramètres!$A$1:$I$89,3,0)*0.475*44/12</f>
        <v>4.9006614003944111E-12</v>
      </c>
      <c r="AC117" s="22">
        <f t="shared" si="57"/>
        <v>1.5552319938694279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324.99999999999966</v>
      </c>
      <c r="AJ117" s="13">
        <f>AI117*VLOOKUP('Données projet'!$B$10,Paramètres!$A$1:$I$89,3,0)*VLOOKUP('Données projet'!$B$10,Paramètres!$A$1:$I$89,5,0)</f>
        <v>349.82999999999959</v>
      </c>
      <c r="AK117" s="13">
        <f t="shared" si="89"/>
        <v>81.527505482803846</v>
      </c>
      <c r="AL117" s="20">
        <f t="shared" si="58"/>
        <v>751.2809887158827</v>
      </c>
      <c r="AM117" s="59">
        <f t="shared" si="59"/>
        <v>1044.6143220492161</v>
      </c>
      <c r="AN117" s="59">
        <f ca="1">AVERAGE(OFFSET($AM$3,0,0,'Données projet'!$E$10+1,1))-AVERAGE(OFFSET($H$3,0,0,'Données projet'!$E$10+1,1))</f>
        <v>550.66682372933292</v>
      </c>
      <c r="AO117" s="59">
        <f t="shared" si="90"/>
        <v>387.28615589698444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0.54288181275929348</v>
      </c>
      <c r="AV117" s="21">
        <f>EXP(-LN(2)/25)*AV116+(1-EXP(-LN(2)/25))/(LN(2)/25)*Calculateur!AQ117*Calculateur!AS117*VLOOKUP('Données projet'!$B$10,Paramètres!$A$1:$I$89,3,0)*0.475*44/12</f>
        <v>1.3073079730450587</v>
      </c>
      <c r="AW117" s="21">
        <f>EXP(-LN(2)/2)*AW116+(1-EXP(-LN(2)/2))/(LN(2)/2)*AQ117*AT117*VLOOKUP('Données projet'!$B$10,Paramètres!$A$1:$I$89,3,0)*0.475*44/12</f>
        <v>5.8300971832278076E-12</v>
      </c>
      <c r="AX117" s="21">
        <f t="shared" si="60"/>
        <v>1.8501897858101821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1.7053025658242404E-13</v>
      </c>
      <c r="BE117" s="13">
        <f>BD117*VLOOKUP('Données projet'!$B$11,Paramètres!$A$1:$I$89,3,0)*VLOOKUP('Données projet'!$B$11,Paramètres!$A$1:$I$89,5,0)</f>
        <v>1.3301360013429075E-13</v>
      </c>
      <c r="BF117" s="13">
        <f t="shared" si="91"/>
        <v>1.9329766731057041E-12</v>
      </c>
      <c r="BG117" s="20">
        <f t="shared" si="61"/>
        <v>3.5982663925596575E-12</v>
      </c>
      <c r="BH117" s="59">
        <f t="shared" si="62"/>
        <v>293.3333333333369</v>
      </c>
      <c r="BI117" s="59">
        <f ca="1">AVERAGE(OFFSET($BH$3,0,0,'Données projet'!$E$11+1,1))-AVERAGE(OFFSET($H$3,0,0,'Données projet'!$E$11+1,1))</f>
        <v>376.33792692771908</v>
      </c>
      <c r="BJ117" s="59">
        <f t="shared" si="92"/>
        <v>367.92889258044698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0.27396985892355646</v>
      </c>
      <c r="BQ117" s="21">
        <f>EXP(-LN(2)/25)*BQ116+(1-EXP(-LN(2)/25))/(LN(2)/25)*Calculateur!BL117*Calculateur!BN117*VLOOKUP('Données projet'!$B$11,Paramètres!$A$1:$I$89,3,0)*0.475*44/12</f>
        <v>0.81527131276425291</v>
      </c>
      <c r="BR117" s="21">
        <f>EXP(-LN(2)/2)*BR116+(1-EXP(-LN(2)/2))/(LN(2)/2)*BL117*BO117*VLOOKUP('Données projet'!$B$11,Paramètres!$A$1:$I$89,3,0)*0.475*44/12</f>
        <v>2.97204214728068E-12</v>
      </c>
      <c r="BS117" s="22">
        <f t="shared" si="63"/>
        <v>1.0892411716907815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254.06783999999996</v>
      </c>
      <c r="CA117" s="13">
        <f t="shared" si="93"/>
        <v>61.456187622750718</v>
      </c>
      <c r="CB117" s="20">
        <f t="shared" si="64"/>
        <v>549.53768144295748</v>
      </c>
      <c r="CC117" s="59">
        <f t="shared" si="65"/>
        <v>842.87101477629085</v>
      </c>
      <c r="CD117" s="59">
        <f ca="1">AVERAGE(OFFSET($CC$3,0,0,'Données projet'!$E$12+1,1))-AVERAGE(OFFSET($H$3,0,0,'Données projet'!$E$12+1,1))</f>
        <v>388.50131600273431</v>
      </c>
      <c r="CE117" s="59">
        <f t="shared" si="94"/>
        <v>247.01165577562955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0.30250462632745062</v>
      </c>
      <c r="CM117" s="21">
        <f>EXP(-LN(2)/2)*CM116+(1-EXP(-LN(2)/2))/(LN(2)/2)*CG117*CJ117*VLOOKUP('Données projet'!$B$12,Paramètres!$A$1:$I$89,3,0)*0.475*44/12</f>
        <v>1.4072947702580739E-12</v>
      </c>
      <c r="CN117" s="22">
        <f t="shared" si="66"/>
        <v>0.30250462632885794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3.7</v>
      </c>
      <c r="CT117" s="12">
        <f>IF('Données projet'!$A$140&gt;35,CT116+CS117-DB116,IF(A117&lt;'Données projet'!$A$140,$CQ$205^A117,IF(A117='Données projet'!$A$140,'Données projet'!$B$140,CT116+CS117-DB116)))</f>
        <v>280.79999999999995</v>
      </c>
      <c r="CU117" s="17">
        <f>CT117*VLOOKUP('Données projet'!$B$13,Paramètres!$A$1:$I$89,3,0)*VLOOKUP('Données projet'!$B$13,Paramètres!$A$1:$I$89,5,0)</f>
        <v>302.25311999999991</v>
      </c>
      <c r="CV117" s="13">
        <f t="shared" si="95"/>
        <v>71.648598083211411</v>
      </c>
      <c r="CW117" s="20">
        <f t="shared" si="67"/>
        <v>651.21215899492643</v>
      </c>
      <c r="CX117" s="59">
        <f t="shared" si="68"/>
        <v>944.5454923282598</v>
      </c>
      <c r="CY117" s="59">
        <f ca="1">AVERAGE(OFFSET($CX$3,0,0,'Données projet'!$E$13+1,1))-AVERAGE(OFFSET($H$3,0,0,'Données projet'!$E$13+1,1))</f>
        <v>454.43000549907373</v>
      </c>
      <c r="CZ117" s="59">
        <f t="shared" si="96"/>
        <v>285.83623046025156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0.3598761933895534</v>
      </c>
      <c r="DH117" s="21">
        <f>EXP(-LN(2)/2)*DH116+(1-EXP(-LN(2)/2))/(LN(2)/2)*DB117*DE117*VLOOKUP('Données projet'!$B$13,Paramètres!$A$1:$I$89,3,0)*0.475*44/12</f>
        <v>1.6741955025484012E-12</v>
      </c>
      <c r="DI117" s="22">
        <f t="shared" si="69"/>
        <v>0.35987619339122762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1.7053025658242404E-13</v>
      </c>
      <c r="DP117" s="17">
        <f>DO117*VLOOKUP('Données projet'!$B$14,Paramètres!$A$1:$I$89,3,0)*VLOOKUP('Données projet'!$B$14,Paramètres!$A$1:$I$89,5,0)</f>
        <v>1.3301360013429075E-13</v>
      </c>
      <c r="DQ117" s="13">
        <f t="shared" si="97"/>
        <v>1.9329766731057041E-12</v>
      </c>
      <c r="DR117" s="20">
        <f t="shared" si="70"/>
        <v>3.5982663925596575E-12</v>
      </c>
      <c r="DS117" s="59">
        <f t="shared" si="71"/>
        <v>293.3333333333369</v>
      </c>
      <c r="DT117" s="59">
        <f ca="1">AVERAGE(OFFSET($DS$3,0,0,'Données projet'!$E$14+1,1))-AVERAGE(OFFSET($H$3,0,0,'Données projet'!$E$14+1,1))</f>
        <v>376.33792692771908</v>
      </c>
      <c r="DU117" s="59">
        <f t="shared" si="98"/>
        <v>367.92889258044698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0.27396985892355646</v>
      </c>
      <c r="EB117" s="21">
        <f>EXP(-LN(2)/25)*EB116+(1-EXP(-LN(2)/25))/(LN(2)/25)*Calculateur!DW117*Calculateur!DY117*VLOOKUP('Données projet'!$B$14,Paramètres!$A$1:$I$89,3,0)*0.475*44/12</f>
        <v>0.81527131276425291</v>
      </c>
      <c r="EC117" s="21">
        <f>EXP(-LN(2)/2)*EC116+(1-EXP(-LN(2)/2))/(LN(2)/2)*DW117*DZ117*VLOOKUP('Données projet'!$B$14,Paramètres!$A$1:$I$89,3,0)*0.475*44/12</f>
        <v>2.97204214728068E-12</v>
      </c>
      <c r="ED117" s="22">
        <f t="shared" si="72"/>
        <v>1.0892411716907815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329.49999999999966</v>
      </c>
      <c r="O118" s="13">
        <f>N118*VLOOKUP('Données projet'!$B$9,Paramètres!$A$1:$I$89,3,0)*VLOOKUP('Données projet'!$B$9,Paramètres!$A$1:$I$89,5,0)</f>
        <v>298.13159999999965</v>
      </c>
      <c r="P118" s="13">
        <f t="shared" si="87"/>
        <v>70.784632764375971</v>
      </c>
      <c r="Q118" s="20">
        <f t="shared" si="107"/>
        <v>642.52910539795425</v>
      </c>
      <c r="R118" s="59">
        <f t="shared" si="55"/>
        <v>935.86243873128751</v>
      </c>
      <c r="S118" s="59">
        <f ca="1">AVERAGE(OFFSET($R$3,0,0,'Données projet'!$E$9+1,1))-AVERAGE(OFFSET($H$3,0,0,'Données projet'!$E$9+1,1))</f>
        <v>469.68830256438338</v>
      </c>
      <c r="T118" s="59">
        <f t="shared" si="88"/>
        <v>332.61387922152159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0.44738697723340609</v>
      </c>
      <c r="AA118" s="21">
        <f>EXP(-LN(2)/25)*AA117+(1-EXP(-LN(2)/25))/(LN(2)/25)*Calculateur!V118*Calculateur!X118*VLOOKUP('Données projet'!$B$9,Paramètres!$A$1:$I$89,3,0)*0.475*44/12</f>
        <v>1.068847172911312</v>
      </c>
      <c r="AB118" s="21">
        <f>EXP(-LN(2)/2)*AB117+(1-EXP(-LN(2)/2))/(LN(2)/2)*V118*Y118*VLOOKUP('Données projet'!$B$9,Paramètres!$A$1:$I$89,3,0)*0.475*44/12</f>
        <v>3.4652909085180505E-12</v>
      </c>
      <c r="AC118" s="22">
        <f t="shared" si="57"/>
        <v>1.5162341501481833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329.49999999999966</v>
      </c>
      <c r="AJ118" s="13">
        <f>AI118*VLOOKUP('Données projet'!$B$10,Paramètres!$A$1:$I$89,3,0)*VLOOKUP('Données projet'!$B$10,Paramètres!$A$1:$I$89,5,0)</f>
        <v>354.67379999999957</v>
      </c>
      <c r="AK118" s="13">
        <f t="shared" si="89"/>
        <v>82.524150937162958</v>
      </c>
      <c r="AL118" s="20">
        <f t="shared" si="58"/>
        <v>761.45309788222482</v>
      </c>
      <c r="AM118" s="59">
        <f t="shared" si="59"/>
        <v>1054.7864312155582</v>
      </c>
      <c r="AN118" s="59">
        <f ca="1">AVERAGE(OFFSET($AM$3,0,0,'Données projet'!$E$10+1,1))-AVERAGE(OFFSET($H$3,0,0,'Données projet'!$E$10+1,1))</f>
        <v>550.66682372933292</v>
      </c>
      <c r="AO118" s="59">
        <f t="shared" si="90"/>
        <v>387.28615589698444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0.53223623153629362</v>
      </c>
      <c r="AV118" s="21">
        <f>EXP(-LN(2)/25)*AV117+(1-EXP(-LN(2)/25))/(LN(2)/25)*Calculateur!AQ118*Calculateur!AS118*VLOOKUP('Données projet'!$B$10,Paramètres!$A$1:$I$89,3,0)*0.475*44/12</f>
        <v>1.2715595677738032</v>
      </c>
      <c r="AW118" s="21">
        <f>EXP(-LN(2)/2)*AW117+(1-EXP(-LN(2)/2))/(LN(2)/2)*AQ118*AT118*VLOOKUP('Données projet'!$B$10,Paramètres!$A$1:$I$89,3,0)*0.475*44/12</f>
        <v>4.1225012532369724E-12</v>
      </c>
      <c r="AX118" s="21">
        <f t="shared" si="60"/>
        <v>1.8037957993142193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1.7053025658242404E-13</v>
      </c>
      <c r="BE118" s="13">
        <f>BD118*VLOOKUP('Données projet'!$B$11,Paramètres!$A$1:$I$89,3,0)*VLOOKUP('Données projet'!$B$11,Paramètres!$A$1:$I$89,5,0)</f>
        <v>1.3301360013429075E-13</v>
      </c>
      <c r="BF118" s="13">
        <f t="shared" si="91"/>
        <v>1.9329766731057041E-12</v>
      </c>
      <c r="BG118" s="20">
        <f t="shared" si="61"/>
        <v>3.5982663925596575E-12</v>
      </c>
      <c r="BH118" s="59">
        <f t="shared" si="62"/>
        <v>293.3333333333369</v>
      </c>
      <c r="BI118" s="59">
        <f ca="1">AVERAGE(OFFSET($BH$3,0,0,'Données projet'!$E$11+1,1))-AVERAGE(OFFSET($H$3,0,0,'Données projet'!$E$11+1,1))</f>
        <v>376.33792692771908</v>
      </c>
      <c r="BJ118" s="59">
        <f t="shared" si="92"/>
        <v>367.92889258044698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0.26859747709517923</v>
      </c>
      <c r="BQ118" s="21">
        <f>EXP(-LN(2)/25)*BQ117+(1-EXP(-LN(2)/25))/(LN(2)/25)*Calculateur!BL118*Calculateur!BN118*VLOOKUP('Données projet'!$B$11,Paramètres!$A$1:$I$89,3,0)*0.475*44/12</f>
        <v>0.79297767584345935</v>
      </c>
      <c r="BR118" s="21">
        <f>EXP(-LN(2)/2)*BR117+(1-EXP(-LN(2)/2))/(LN(2)/2)*BL118*BO118*VLOOKUP('Données projet'!$B$11,Paramètres!$A$1:$I$89,3,0)*0.475*44/12</f>
        <v>2.1015511563143966E-12</v>
      </c>
      <c r="BS118" s="22">
        <f t="shared" si="63"/>
        <v>1.0615751529407402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257.41559999999993</v>
      </c>
      <c r="CA118" s="13">
        <f t="shared" si="93"/>
        <v>62.171168434977119</v>
      </c>
      <c r="CB118" s="20">
        <f t="shared" si="64"/>
        <v>556.61362169091831</v>
      </c>
      <c r="CC118" s="59">
        <f t="shared" si="65"/>
        <v>849.94695502425157</v>
      </c>
      <c r="CD118" s="59">
        <f ca="1">AVERAGE(OFFSET($CC$3,0,0,'Données projet'!$E$12+1,1))-AVERAGE(OFFSET($H$3,0,0,'Données projet'!$E$12+1,1))</f>
        <v>388.50131600273431</v>
      </c>
      <c r="CE118" s="59">
        <f t="shared" si="94"/>
        <v>247.01165577562955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0.29423262141249956</v>
      </c>
      <c r="CM118" s="21">
        <f>EXP(-LN(2)/2)*CM117+(1-EXP(-LN(2)/2))/(LN(2)/2)*CG118*CJ118*VLOOKUP('Données projet'!$B$12,Paramètres!$A$1:$I$89,3,0)*0.475*44/12</f>
        <v>9.9510767517784854E-13</v>
      </c>
      <c r="CN118" s="22">
        <f t="shared" si="66"/>
        <v>0.29423262141349465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3.7</v>
      </c>
      <c r="CT118" s="12">
        <f>IF('Données projet'!$A$140&gt;35,CT117+CS118-DB117,IF(A118&lt;'Données projet'!$A$140,$CQ$205^A118,IF(A118='Données projet'!$A$140,'Données projet'!$B$140,CT117+CS118-DB117)))</f>
        <v>284.49999999999994</v>
      </c>
      <c r="CU118" s="17">
        <f>CT118*VLOOKUP('Données projet'!$B$13,Paramètres!$A$1:$I$89,3,0)*VLOOKUP('Données projet'!$B$13,Paramètres!$A$1:$I$89,5,0)</f>
        <v>306.23579999999993</v>
      </c>
      <c r="CV118" s="13">
        <f t="shared" si="95"/>
        <v>72.482157320027014</v>
      </c>
      <c r="CW118" s="20">
        <f t="shared" si="67"/>
        <v>659.60044233238023</v>
      </c>
      <c r="CX118" s="59">
        <f t="shared" si="68"/>
        <v>952.93377566571348</v>
      </c>
      <c r="CY118" s="59">
        <f ca="1">AVERAGE(OFFSET($CX$3,0,0,'Données projet'!$E$13+1,1))-AVERAGE(OFFSET($H$3,0,0,'Données projet'!$E$13+1,1))</f>
        <v>454.43000549907373</v>
      </c>
      <c r="CZ118" s="59">
        <f t="shared" si="96"/>
        <v>285.83623046025156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0.35003535995624957</v>
      </c>
      <c r="DH118" s="21">
        <f>EXP(-LN(2)/2)*DH117+(1-EXP(-LN(2)/2))/(LN(2)/2)*DB118*DE118*VLOOKUP('Données projet'!$B$13,Paramètres!$A$1:$I$89,3,0)*0.475*44/12</f>
        <v>1.1838349928839943E-12</v>
      </c>
      <c r="DI118" s="22">
        <f t="shared" si="69"/>
        <v>0.3500353599574334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1.7053025658242404E-13</v>
      </c>
      <c r="DP118" s="17">
        <f>DO118*VLOOKUP('Données projet'!$B$14,Paramètres!$A$1:$I$89,3,0)*VLOOKUP('Données projet'!$B$14,Paramètres!$A$1:$I$89,5,0)</f>
        <v>1.3301360013429075E-13</v>
      </c>
      <c r="DQ118" s="13">
        <f t="shared" si="97"/>
        <v>1.9329766731057041E-12</v>
      </c>
      <c r="DR118" s="20">
        <f t="shared" si="70"/>
        <v>3.5982663925596575E-12</v>
      </c>
      <c r="DS118" s="59">
        <f t="shared" si="71"/>
        <v>293.3333333333369</v>
      </c>
      <c r="DT118" s="59">
        <f ca="1">AVERAGE(OFFSET($DS$3,0,0,'Données projet'!$E$14+1,1))-AVERAGE(OFFSET($H$3,0,0,'Données projet'!$E$14+1,1))</f>
        <v>376.33792692771908</v>
      </c>
      <c r="DU118" s="59">
        <f t="shared" si="98"/>
        <v>367.92889258044698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0.26859747709517923</v>
      </c>
      <c r="EB118" s="21">
        <f>EXP(-LN(2)/25)*EB117+(1-EXP(-LN(2)/25))/(LN(2)/25)*Calculateur!DW118*Calculateur!DY118*VLOOKUP('Données projet'!$B$14,Paramètres!$A$1:$I$89,3,0)*0.475*44/12</f>
        <v>0.79297767584345935</v>
      </c>
      <c r="EC118" s="21">
        <f>EXP(-LN(2)/2)*EC117+(1-EXP(-LN(2)/2))/(LN(2)/2)*DW118*DZ118*VLOOKUP('Données projet'!$B$14,Paramètres!$A$1:$I$89,3,0)*0.475*44/12</f>
        <v>2.1015511563143966E-12</v>
      </c>
      <c r="ED118" s="22">
        <f t="shared" si="72"/>
        <v>1.0615751529407402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333.99999999999966</v>
      </c>
      <c r="O119" s="13">
        <f>N119*VLOOKUP('Données projet'!$B$9,Paramètres!$A$1:$I$89,3,0)*VLOOKUP('Données projet'!$B$9,Paramètres!$A$1:$I$89,5,0)</f>
        <v>302.2031999999997</v>
      </c>
      <c r="P119" s="13">
        <f t="shared" si="87"/>
        <v>71.638141943842228</v>
      </c>
      <c r="Q119" s="20">
        <f t="shared" si="107"/>
        <v>651.1070038855247</v>
      </c>
      <c r="R119" s="59">
        <f t="shared" si="55"/>
        <v>944.44033721885808</v>
      </c>
      <c r="S119" s="59">
        <f ca="1">AVERAGE(OFFSET($R$3,0,0,'Données projet'!$E$9+1,1))-AVERAGE(OFFSET($H$3,0,0,'Données projet'!$E$9+1,1))</f>
        <v>469.68830256438338</v>
      </c>
      <c r="T119" s="59">
        <f t="shared" si="88"/>
        <v>332.61387922152159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0.43861399148897051</v>
      </c>
      <c r="AA119" s="21">
        <f>EXP(-LN(2)/25)*AA118+(1-EXP(-LN(2)/25))/(LN(2)/25)*Calculateur!V119*Calculateur!X119*VLOOKUP('Données projet'!$B$9,Paramètres!$A$1:$I$89,3,0)*0.475*44/12</f>
        <v>1.0396194907598222</v>
      </c>
      <c r="AB119" s="21">
        <f>EXP(-LN(2)/2)*AB118+(1-EXP(-LN(2)/2))/(LN(2)/2)*V119*Y119*VLOOKUP('Données projet'!$B$9,Paramètres!$A$1:$I$89,3,0)*0.475*44/12</f>
        <v>2.4503307001972056E-12</v>
      </c>
      <c r="AC119" s="22">
        <f t="shared" si="57"/>
        <v>1.4782334822512431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333.99999999999966</v>
      </c>
      <c r="AJ119" s="13">
        <f>AI119*VLOOKUP('Données projet'!$B$10,Paramètres!$A$1:$I$89,3,0)*VLOOKUP('Données projet'!$B$10,Paramètres!$A$1:$I$89,5,0)</f>
        <v>359.51759999999962</v>
      </c>
      <c r="AK119" s="13">
        <f t="shared" si="89"/>
        <v>83.519213249444618</v>
      </c>
      <c r="AL119" s="20">
        <f t="shared" si="58"/>
        <v>771.62244974278201</v>
      </c>
      <c r="AM119" s="59">
        <f t="shared" si="59"/>
        <v>1064.9557830761153</v>
      </c>
      <c r="AN119" s="59">
        <f ca="1">AVERAGE(OFFSET($AM$3,0,0,'Données projet'!$E$10+1,1))-AVERAGE(OFFSET($H$3,0,0,'Données projet'!$E$10+1,1))</f>
        <v>550.66682372933292</v>
      </c>
      <c r="AO119" s="59">
        <f t="shared" si="90"/>
        <v>387.28615589698444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0.52179940366791344</v>
      </c>
      <c r="AV119" s="21">
        <f>EXP(-LN(2)/25)*AV118+(1-EXP(-LN(2)/25))/(LN(2)/25)*Calculateur!AQ119*Calculateur!AS119*VLOOKUP('Données projet'!$B$10,Paramètres!$A$1:$I$89,3,0)*0.475*44/12</f>
        <v>1.2367887045246171</v>
      </c>
      <c r="AW119" s="21">
        <f>EXP(-LN(2)/2)*AW118+(1-EXP(-LN(2)/2))/(LN(2)/2)*AQ119*AT119*VLOOKUP('Données projet'!$B$10,Paramètres!$A$1:$I$89,3,0)*0.475*44/12</f>
        <v>2.9150485916139038E-12</v>
      </c>
      <c r="AX119" s="21">
        <f t="shared" si="60"/>
        <v>1.7585881081954455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1.7053025658242404E-13</v>
      </c>
      <c r="BE119" s="13">
        <f>BD119*VLOOKUP('Données projet'!$B$11,Paramètres!$A$1:$I$89,3,0)*VLOOKUP('Données projet'!$B$11,Paramètres!$A$1:$I$89,5,0)</f>
        <v>1.3301360013429075E-13</v>
      </c>
      <c r="BF119" s="13">
        <f t="shared" si="91"/>
        <v>1.9329766731057041E-12</v>
      </c>
      <c r="BG119" s="20">
        <f t="shared" si="61"/>
        <v>3.5982663925596575E-12</v>
      </c>
      <c r="BH119" s="59">
        <f t="shared" si="62"/>
        <v>293.3333333333369</v>
      </c>
      <c r="BI119" s="59">
        <f ca="1">AVERAGE(OFFSET($BH$3,0,0,'Données projet'!$E$11+1,1))-AVERAGE(OFFSET($H$3,0,0,'Données projet'!$E$11+1,1))</f>
        <v>376.33792692771908</v>
      </c>
      <c r="BJ119" s="59">
        <f t="shared" si="92"/>
        <v>367.92889258044698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0.26333044439762709</v>
      </c>
      <c r="BQ119" s="21">
        <f>EXP(-LN(2)/25)*BQ118+(1-EXP(-LN(2)/25))/(LN(2)/25)*Calculateur!BL119*Calculateur!BN119*VLOOKUP('Données projet'!$B$11,Paramètres!$A$1:$I$89,3,0)*0.475*44/12</f>
        <v>0.77129365959663632</v>
      </c>
      <c r="BR119" s="21">
        <f>EXP(-LN(2)/2)*BR118+(1-EXP(-LN(2)/2))/(LN(2)/2)*BL119*BO119*VLOOKUP('Données projet'!$B$11,Paramètres!$A$1:$I$89,3,0)*0.475*44/12</f>
        <v>1.48602107364034E-12</v>
      </c>
      <c r="BS119" s="22">
        <f t="shared" si="63"/>
        <v>1.0346241039957493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260.76335999999992</v>
      </c>
      <c r="CA119" s="13">
        <f t="shared" si="93"/>
        <v>62.885067686031952</v>
      </c>
      <c r="CB119" s="20">
        <f t="shared" si="64"/>
        <v>563.68767821983886</v>
      </c>
      <c r="CC119" s="59">
        <f t="shared" si="65"/>
        <v>857.02101155317223</v>
      </c>
      <c r="CD119" s="59">
        <f ca="1">AVERAGE(OFFSET($CC$3,0,0,'Données projet'!$E$12+1,1))-AVERAGE(OFFSET($H$3,0,0,'Données projet'!$E$12+1,1))</f>
        <v>388.50131600273431</v>
      </c>
      <c r="CE119" s="59">
        <f t="shared" si="94"/>
        <v>247.01165577562955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0.28618681490695369</v>
      </c>
      <c r="CM119" s="21">
        <f>EXP(-LN(2)/2)*CM118+(1-EXP(-LN(2)/2))/(LN(2)/2)*CG119*CJ119*VLOOKUP('Données projet'!$B$12,Paramètres!$A$1:$I$89,3,0)*0.475*44/12</f>
        <v>7.0364738512903697E-13</v>
      </c>
      <c r="CN119" s="22">
        <f t="shared" si="66"/>
        <v>0.28618681490765735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3.7</v>
      </c>
      <c r="CT119" s="12">
        <f>IF('Données projet'!$A$140&gt;35,CT118+CS119-DB118,IF(A119&lt;'Données projet'!$A$140,$CQ$205^A119,IF(A119='Données projet'!$A$140,'Données projet'!$B$140,CT118+CS119-DB118)))</f>
        <v>288.19999999999993</v>
      </c>
      <c r="CU119" s="17">
        <f>CT119*VLOOKUP('Données projet'!$B$13,Paramètres!$A$1:$I$89,3,0)*VLOOKUP('Données projet'!$B$13,Paramètres!$A$1:$I$89,5,0)</f>
        <v>310.21847999999994</v>
      </c>
      <c r="CV119" s="13">
        <f t="shared" si="95"/>
        <v>73.314455620479976</v>
      </c>
      <c r="CW119" s="20">
        <f t="shared" si="67"/>
        <v>667.98652953900239</v>
      </c>
      <c r="CX119" s="59">
        <f t="shared" si="68"/>
        <v>961.31986287233576</v>
      </c>
      <c r="CY119" s="59">
        <f ca="1">AVERAGE(OFFSET($CX$3,0,0,'Données projet'!$E$13+1,1))-AVERAGE(OFFSET($H$3,0,0,'Données projet'!$E$13+1,1))</f>
        <v>454.43000549907373</v>
      </c>
      <c r="CZ119" s="59">
        <f t="shared" si="96"/>
        <v>285.83623046025156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0.34046362463068636</v>
      </c>
      <c r="DH119" s="21">
        <f>EXP(-LN(2)/2)*DH118+(1-EXP(-LN(2)/2))/(LN(2)/2)*DB119*DE119*VLOOKUP('Données projet'!$B$13,Paramètres!$A$1:$I$89,3,0)*0.475*44/12</f>
        <v>8.370977512742006E-13</v>
      </c>
      <c r="DI119" s="22">
        <f t="shared" si="69"/>
        <v>0.34046362463152346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1.7053025658242404E-13</v>
      </c>
      <c r="DP119" s="17">
        <f>DO119*VLOOKUP('Données projet'!$B$14,Paramètres!$A$1:$I$89,3,0)*VLOOKUP('Données projet'!$B$14,Paramètres!$A$1:$I$89,5,0)</f>
        <v>1.3301360013429075E-13</v>
      </c>
      <c r="DQ119" s="13">
        <f t="shared" si="97"/>
        <v>1.9329766731057041E-12</v>
      </c>
      <c r="DR119" s="20">
        <f t="shared" si="70"/>
        <v>3.5982663925596575E-12</v>
      </c>
      <c r="DS119" s="59">
        <f t="shared" si="71"/>
        <v>293.3333333333369</v>
      </c>
      <c r="DT119" s="59">
        <f ca="1">AVERAGE(OFFSET($DS$3,0,0,'Données projet'!$E$14+1,1))-AVERAGE(OFFSET($H$3,0,0,'Données projet'!$E$14+1,1))</f>
        <v>376.33792692771908</v>
      </c>
      <c r="DU119" s="59">
        <f t="shared" si="98"/>
        <v>367.92889258044698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0.26333044439762709</v>
      </c>
      <c r="EB119" s="21">
        <f>EXP(-LN(2)/25)*EB118+(1-EXP(-LN(2)/25))/(LN(2)/25)*Calculateur!DW119*Calculateur!DY119*VLOOKUP('Données projet'!$B$14,Paramètres!$A$1:$I$89,3,0)*0.475*44/12</f>
        <v>0.77129365959663632</v>
      </c>
      <c r="EC119" s="21">
        <f>EXP(-LN(2)/2)*EC118+(1-EXP(-LN(2)/2))/(LN(2)/2)*DW119*DZ119*VLOOKUP('Données projet'!$B$14,Paramètres!$A$1:$I$89,3,0)*0.475*44/12</f>
        <v>1.48602107364034E-12</v>
      </c>
      <c r="ED119" s="22">
        <f t="shared" si="72"/>
        <v>1.0346241039957493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338.49999999999966</v>
      </c>
      <c r="O120" s="13">
        <f>N120*VLOOKUP('Données projet'!$B$9,Paramètres!$A$1:$I$89,3,0)*VLOOKUP('Données projet'!$B$9,Paramètres!$A$1:$I$89,5,0)</f>
        <v>306.27479999999969</v>
      </c>
      <c r="P120" s="13">
        <f t="shared" si="87"/>
        <v>72.490313602282981</v>
      </c>
      <c r="Q120" s="20">
        <f t="shared" si="107"/>
        <v>659.68257285730897</v>
      </c>
      <c r="R120" s="59">
        <f t="shared" si="55"/>
        <v>953.01590619064223</v>
      </c>
      <c r="S120" s="59">
        <f ca="1">AVERAGE(OFFSET($R$3,0,0,'Données projet'!$E$9+1,1))-AVERAGE(OFFSET($H$3,0,0,'Données projet'!$E$9+1,1))</f>
        <v>469.68830256438338</v>
      </c>
      <c r="T120" s="59">
        <f t="shared" si="88"/>
        <v>332.61387922152159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0.43001303864399038</v>
      </c>
      <c r="AA120" s="21">
        <f>EXP(-LN(2)/25)*AA119+(1-EXP(-LN(2)/25))/(LN(2)/25)*Calculateur!V120*Calculateur!X120*VLOOKUP('Données projet'!$B$9,Paramètres!$A$1:$I$89,3,0)*0.475*44/12</f>
        <v>1.0111910411137819</v>
      </c>
      <c r="AB120" s="21">
        <f>EXP(-LN(2)/2)*AB119+(1-EXP(-LN(2)/2))/(LN(2)/2)*V120*Y120*VLOOKUP('Données projet'!$B$9,Paramètres!$A$1:$I$89,3,0)*0.475*44/12</f>
        <v>1.7326454542590252E-12</v>
      </c>
      <c r="AC120" s="22">
        <f t="shared" si="57"/>
        <v>1.4412040797595049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338.49999999999966</v>
      </c>
      <c r="AJ120" s="13">
        <f>AI120*VLOOKUP('Données projet'!$B$10,Paramètres!$A$1:$I$89,3,0)*VLOOKUP('Données projet'!$B$10,Paramètres!$A$1:$I$89,5,0)</f>
        <v>364.36139999999961</v>
      </c>
      <c r="AK120" s="13">
        <f t="shared" si="89"/>
        <v>84.512716214977203</v>
      </c>
      <c r="AL120" s="20">
        <f t="shared" si="58"/>
        <v>781.7890857410847</v>
      </c>
      <c r="AM120" s="59">
        <f t="shared" si="59"/>
        <v>1075.1224190744181</v>
      </c>
      <c r="AN120" s="59">
        <f ca="1">AVERAGE(OFFSET($AM$3,0,0,'Données projet'!$E$10+1,1))-AVERAGE(OFFSET($H$3,0,0,'Données projet'!$E$10+1,1))</f>
        <v>550.66682372933292</v>
      </c>
      <c r="AO120" s="59">
        <f t="shared" si="90"/>
        <v>387.28615589698444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0.51156723562819573</v>
      </c>
      <c r="AV120" s="21">
        <f>EXP(-LN(2)/25)*AV119+(1-EXP(-LN(2)/25))/(LN(2)/25)*Calculateur!AQ120*Calculateur!AS120*VLOOKUP('Données projet'!$B$10,Paramètres!$A$1:$I$89,3,0)*0.475*44/12</f>
        <v>1.2029686523595002</v>
      </c>
      <c r="AW120" s="21">
        <f>EXP(-LN(2)/2)*AW119+(1-EXP(-LN(2)/2))/(LN(2)/2)*AQ120*AT120*VLOOKUP('Données projet'!$B$10,Paramètres!$A$1:$I$89,3,0)*0.475*44/12</f>
        <v>2.0612506266184862E-12</v>
      </c>
      <c r="AX120" s="21">
        <f t="shared" si="60"/>
        <v>1.7145358879897572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1.7053025658242404E-13</v>
      </c>
      <c r="BE120" s="13">
        <f>BD120*VLOOKUP('Données projet'!$B$11,Paramètres!$A$1:$I$89,3,0)*VLOOKUP('Données projet'!$B$11,Paramètres!$A$1:$I$89,5,0)</f>
        <v>1.3301360013429075E-13</v>
      </c>
      <c r="BF120" s="13">
        <f t="shared" si="91"/>
        <v>1.9329766731057041E-12</v>
      </c>
      <c r="BG120" s="20">
        <f t="shared" si="61"/>
        <v>3.5982663925596575E-12</v>
      </c>
      <c r="BH120" s="59">
        <f t="shared" si="62"/>
        <v>293.3333333333369</v>
      </c>
      <c r="BI120" s="59">
        <f ca="1">AVERAGE(OFFSET($BH$3,0,0,'Données projet'!$E$11+1,1))-AVERAGE(OFFSET($H$3,0,0,'Données projet'!$E$11+1,1))</f>
        <v>376.33792692771908</v>
      </c>
      <c r="BJ120" s="59">
        <f t="shared" si="92"/>
        <v>367.92889258044698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0.25816669499870121</v>
      </c>
      <c r="BQ120" s="21">
        <f>EXP(-LN(2)/25)*BQ119+(1-EXP(-LN(2)/25))/(LN(2)/25)*Calculateur!BL120*Calculateur!BN120*VLOOKUP('Données projet'!$B$11,Paramètres!$A$1:$I$89,3,0)*0.475*44/12</f>
        <v>0.75020259391439559</v>
      </c>
      <c r="BR120" s="21">
        <f>EXP(-LN(2)/2)*BR119+(1-EXP(-LN(2)/2))/(LN(2)/2)*BL120*BO120*VLOOKUP('Données projet'!$B$11,Paramètres!$A$1:$I$89,3,0)*0.475*44/12</f>
        <v>1.0507755781571983E-12</v>
      </c>
      <c r="BS120" s="22">
        <f t="shared" si="63"/>
        <v>1.0083692889141476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264.11111999999991</v>
      </c>
      <c r="CA120" s="13">
        <f t="shared" si="93"/>
        <v>63.59790086687066</v>
      </c>
      <c r="CB120" s="20">
        <f t="shared" si="64"/>
        <v>570.75987800979954</v>
      </c>
      <c r="CC120" s="59">
        <f t="shared" si="65"/>
        <v>864.09321134313291</v>
      </c>
      <c r="CD120" s="59">
        <f ca="1">AVERAGE(OFFSET($CC$3,0,0,'Données projet'!$E$12+1,1))-AVERAGE(OFFSET($H$3,0,0,'Données projet'!$E$12+1,1))</f>
        <v>388.50131600273431</v>
      </c>
      <c r="CE120" s="59">
        <f t="shared" si="94"/>
        <v>247.01165577562955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0.27836102140341251</v>
      </c>
      <c r="CM120" s="21">
        <f>EXP(-LN(2)/2)*CM119+(1-EXP(-LN(2)/2))/(LN(2)/2)*CG120*CJ120*VLOOKUP('Données projet'!$B$12,Paramètres!$A$1:$I$89,3,0)*0.475*44/12</f>
        <v>4.9755383758892427E-13</v>
      </c>
      <c r="CN120" s="22">
        <f t="shared" si="66"/>
        <v>0.27836102140391006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3.7</v>
      </c>
      <c r="CT120" s="12">
        <f>IF('Données projet'!$A$140&gt;35,CT119+CS120-DB119,IF(A120&lt;'Données projet'!$A$140,$CQ$205^A120,IF(A120='Données projet'!$A$140,'Données projet'!$B$140,CT119+CS120-DB119)))</f>
        <v>291.89999999999992</v>
      </c>
      <c r="CU120" s="17">
        <f>CT120*VLOOKUP('Données projet'!$B$13,Paramètres!$A$1:$I$89,3,0)*VLOOKUP('Données projet'!$B$13,Paramètres!$A$1:$I$89,5,0)</f>
        <v>314.2011599999999</v>
      </c>
      <c r="CV120" s="13">
        <f t="shared" si="95"/>
        <v>74.145511044675843</v>
      </c>
      <c r="CW120" s="20">
        <f t="shared" si="67"/>
        <v>676.37045206947698</v>
      </c>
      <c r="CX120" s="59">
        <f t="shared" si="68"/>
        <v>969.70378540281035</v>
      </c>
      <c r="CY120" s="59">
        <f ca="1">AVERAGE(OFFSET($CX$3,0,0,'Données projet'!$E$13+1,1))-AVERAGE(OFFSET($H$3,0,0,'Données projet'!$E$13+1,1))</f>
        <v>454.43000549907373</v>
      </c>
      <c r="CZ120" s="59">
        <f t="shared" si="96"/>
        <v>285.83623046025156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0.33115362891095634</v>
      </c>
      <c r="DH120" s="21">
        <f>EXP(-LN(2)/2)*DH119+(1-EXP(-LN(2)/2))/(LN(2)/2)*DB120*DE120*VLOOKUP('Données projet'!$B$13,Paramètres!$A$1:$I$89,3,0)*0.475*44/12</f>
        <v>5.9191749644199714E-13</v>
      </c>
      <c r="DI120" s="22">
        <f t="shared" si="69"/>
        <v>0.33115362891154826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1.7053025658242404E-13</v>
      </c>
      <c r="DP120" s="17">
        <f>DO120*VLOOKUP('Données projet'!$B$14,Paramètres!$A$1:$I$89,3,0)*VLOOKUP('Données projet'!$B$14,Paramètres!$A$1:$I$89,5,0)</f>
        <v>1.3301360013429075E-13</v>
      </c>
      <c r="DQ120" s="13">
        <f t="shared" si="97"/>
        <v>1.9329766731057041E-12</v>
      </c>
      <c r="DR120" s="20">
        <f t="shared" si="70"/>
        <v>3.5982663925596575E-12</v>
      </c>
      <c r="DS120" s="59">
        <f t="shared" si="71"/>
        <v>293.3333333333369</v>
      </c>
      <c r="DT120" s="59">
        <f ca="1">AVERAGE(OFFSET($DS$3,0,0,'Données projet'!$E$14+1,1))-AVERAGE(OFFSET($H$3,0,0,'Données projet'!$E$14+1,1))</f>
        <v>376.33792692771908</v>
      </c>
      <c r="DU120" s="59">
        <f t="shared" si="98"/>
        <v>367.92889258044698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0.25816669499870121</v>
      </c>
      <c r="EB120" s="21">
        <f>EXP(-LN(2)/25)*EB119+(1-EXP(-LN(2)/25))/(LN(2)/25)*Calculateur!DW120*Calculateur!DY120*VLOOKUP('Données projet'!$B$14,Paramètres!$A$1:$I$89,3,0)*0.475*44/12</f>
        <v>0.75020259391439559</v>
      </c>
      <c r="EC120" s="21">
        <f>EXP(-LN(2)/2)*EC119+(1-EXP(-LN(2)/2))/(LN(2)/2)*DW120*DZ120*VLOOKUP('Données projet'!$B$14,Paramètres!$A$1:$I$89,3,0)*0.475*44/12</f>
        <v>1.0507755781571983E-12</v>
      </c>
      <c r="ED120" s="22">
        <f t="shared" si="72"/>
        <v>1.0083692889141476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342.99999999999966</v>
      </c>
      <c r="O121" s="13">
        <f>N121*VLOOKUP('Données projet'!$B$9,Paramètres!$A$1:$I$89,3,0)*VLOOKUP('Données projet'!$B$9,Paramètres!$A$1:$I$89,5,0)</f>
        <v>310.34639999999968</v>
      </c>
      <c r="P121" s="13">
        <f t="shared" si="87"/>
        <v>73.341167576152998</v>
      </c>
      <c r="Q121" s="20">
        <f t="shared" si="107"/>
        <v>668.25584686179923</v>
      </c>
      <c r="R121" s="59">
        <f t="shared" si="55"/>
        <v>961.58918019513249</v>
      </c>
      <c r="S121" s="59">
        <f ca="1">AVERAGE(OFFSET($R$3,0,0,'Données projet'!$E$9+1,1))-AVERAGE(OFFSET($H$3,0,0,'Données projet'!$E$9+1,1))</f>
        <v>469.68830256438338</v>
      </c>
      <c r="T121" s="59">
        <f t="shared" si="88"/>
        <v>332.61387922152159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0.42158074523823708</v>
      </c>
      <c r="AA121" s="21">
        <f>EXP(-LN(2)/25)*AA120+(1-EXP(-LN(2)/25))/(LN(2)/25)*Calculateur!V121*Calculateur!X121*VLOOKUP('Données projet'!$B$9,Paramètres!$A$1:$I$89,3,0)*0.475*44/12</f>
        <v>0.98353996891829976</v>
      </c>
      <c r="AB121" s="21">
        <f>EXP(-LN(2)/2)*AB120+(1-EXP(-LN(2)/2))/(LN(2)/2)*V121*Y121*VLOOKUP('Données projet'!$B$9,Paramètres!$A$1:$I$89,3,0)*0.475*44/12</f>
        <v>1.2251653500986028E-12</v>
      </c>
      <c r="AC121" s="22">
        <f t="shared" si="57"/>
        <v>1.405120714157762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342.99999999999966</v>
      </c>
      <c r="AJ121" s="13">
        <f>AI121*VLOOKUP('Données projet'!$B$10,Paramètres!$A$1:$I$89,3,0)*VLOOKUP('Données projet'!$B$10,Paramètres!$A$1:$I$89,5,0)</f>
        <v>369.20519999999965</v>
      </c>
      <c r="AK121" s="13">
        <f t="shared" si="89"/>
        <v>85.504682960059569</v>
      </c>
      <c r="AL121" s="20">
        <f t="shared" si="58"/>
        <v>791.95304615543637</v>
      </c>
      <c r="AM121" s="59">
        <f t="shared" si="59"/>
        <v>1085.2863794887696</v>
      </c>
      <c r="AN121" s="59">
        <f ca="1">AVERAGE(OFFSET($AM$3,0,0,'Données projet'!$E$10+1,1))-AVERAGE(OFFSET($H$3,0,0,'Données projet'!$E$10+1,1))</f>
        <v>550.66682372933292</v>
      </c>
      <c r="AO121" s="59">
        <f t="shared" si="90"/>
        <v>387.28615589698444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0.50153571416273057</v>
      </c>
      <c r="AV121" s="21">
        <f>EXP(-LN(2)/25)*AV120+(1-EXP(-LN(2)/25))/(LN(2)/25)*Calculateur!AQ121*Calculateur!AS121*VLOOKUP('Données projet'!$B$10,Paramètres!$A$1:$I$89,3,0)*0.475*44/12</f>
        <v>1.1700734112993576</v>
      </c>
      <c r="AW121" s="21">
        <f>EXP(-LN(2)/2)*AW120+(1-EXP(-LN(2)/2))/(LN(2)/2)*AQ121*AT121*VLOOKUP('Données projet'!$B$10,Paramètres!$A$1:$I$89,3,0)*0.475*44/12</f>
        <v>1.4575242958069519E-12</v>
      </c>
      <c r="AX121" s="21">
        <f t="shared" si="60"/>
        <v>1.6716091254635457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1.7053025658242404E-13</v>
      </c>
      <c r="BE121" s="13">
        <f>BD121*VLOOKUP('Données projet'!$B$11,Paramètres!$A$1:$I$89,3,0)*VLOOKUP('Données projet'!$B$11,Paramètres!$A$1:$I$89,5,0)</f>
        <v>1.3301360013429075E-13</v>
      </c>
      <c r="BF121" s="13">
        <f t="shared" si="91"/>
        <v>1.9329766731057041E-12</v>
      </c>
      <c r="BG121" s="20">
        <f t="shared" si="61"/>
        <v>3.5982663925596575E-12</v>
      </c>
      <c r="BH121" s="59">
        <f t="shared" si="62"/>
        <v>293.3333333333369</v>
      </c>
      <c r="BI121" s="59">
        <f ca="1">AVERAGE(OFFSET($BH$3,0,0,'Données projet'!$E$11+1,1))-AVERAGE(OFFSET($H$3,0,0,'Données projet'!$E$11+1,1))</f>
        <v>376.33792692771908</v>
      </c>
      <c r="BJ121" s="59">
        <f t="shared" si="92"/>
        <v>367.92889258044698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0.25310420357591212</v>
      </c>
      <c r="BQ121" s="21">
        <f>EXP(-LN(2)/25)*BQ120+(1-EXP(-LN(2)/25))/(LN(2)/25)*Calculateur!BL121*Calculateur!BN121*VLOOKUP('Données projet'!$B$11,Paramètres!$A$1:$I$89,3,0)*0.475*44/12</f>
        <v>0.72968826453236668</v>
      </c>
      <c r="BR121" s="21">
        <f>EXP(-LN(2)/2)*BR120+(1-EXP(-LN(2)/2))/(LN(2)/2)*BL121*BO121*VLOOKUP('Données projet'!$B$11,Paramètres!$A$1:$I$89,3,0)*0.475*44/12</f>
        <v>7.4301053682017001E-13</v>
      </c>
      <c r="BS121" s="22">
        <f t="shared" si="63"/>
        <v>0.98279246810902177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267.45887999999991</v>
      </c>
      <c r="CA121" s="13">
        <f t="shared" si="93"/>
        <v>64.309683053152384</v>
      </c>
      <c r="CB121" s="20">
        <f t="shared" si="64"/>
        <v>577.83024731757359</v>
      </c>
      <c r="CC121" s="59">
        <f t="shared" si="65"/>
        <v>871.16358065090685</v>
      </c>
      <c r="CD121" s="59">
        <f ca="1">AVERAGE(OFFSET($CC$3,0,0,'Données projet'!$E$12+1,1))-AVERAGE(OFFSET($H$3,0,0,'Données projet'!$E$12+1,1))</f>
        <v>388.50131600273431</v>
      </c>
      <c r="CE121" s="59">
        <f t="shared" si="94"/>
        <v>247.01165577562955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0.27074922463476631</v>
      </c>
      <c r="CM121" s="21">
        <f>EXP(-LN(2)/2)*CM120+(1-EXP(-LN(2)/2))/(LN(2)/2)*CG121*CJ121*VLOOKUP('Données projet'!$B$12,Paramètres!$A$1:$I$89,3,0)*0.475*44/12</f>
        <v>3.5182369256451848E-13</v>
      </c>
      <c r="CN121" s="22">
        <f t="shared" si="66"/>
        <v>0.27074922463511814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3.7</v>
      </c>
      <c r="CT121" s="12">
        <f>IF('Données projet'!$A$140&gt;35,CT120+CS121-DB120,IF(A121&lt;'Données projet'!$A$140,$CQ$205^A121,IF(A121='Données projet'!$A$140,'Données projet'!$B$140,CT120+CS121-DB120)))</f>
        <v>295.59999999999991</v>
      </c>
      <c r="CU121" s="17">
        <f>CT121*VLOOKUP('Données projet'!$B$13,Paramètres!$A$1:$I$89,3,0)*VLOOKUP('Données projet'!$B$13,Paramètres!$A$1:$I$89,5,0)</f>
        <v>318.18383999999986</v>
      </c>
      <c r="CV121" s="13">
        <f t="shared" si="95"/>
        <v>74.975341168547914</v>
      </c>
      <c r="CW121" s="20">
        <f t="shared" si="67"/>
        <v>684.75224053522061</v>
      </c>
      <c r="CX121" s="59">
        <f t="shared" si="68"/>
        <v>978.08557386855387</v>
      </c>
      <c r="CY121" s="59">
        <f ca="1">AVERAGE(OFFSET($CX$3,0,0,'Données projet'!$E$13+1,1))-AVERAGE(OFFSET($H$3,0,0,'Données projet'!$E$13+1,1))</f>
        <v>454.43000549907373</v>
      </c>
      <c r="CZ121" s="59">
        <f t="shared" si="96"/>
        <v>285.83623046025156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0.32209821551377377</v>
      </c>
      <c r="DH121" s="21">
        <f>EXP(-LN(2)/2)*DH120+(1-EXP(-LN(2)/2))/(LN(2)/2)*DB121*DE121*VLOOKUP('Données projet'!$B$13,Paramètres!$A$1:$I$89,3,0)*0.475*44/12</f>
        <v>4.185488756371003E-13</v>
      </c>
      <c r="DI121" s="22">
        <f t="shared" si="69"/>
        <v>0.32209821551419232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1.7053025658242404E-13</v>
      </c>
      <c r="DP121" s="17">
        <f>DO121*VLOOKUP('Données projet'!$B$14,Paramètres!$A$1:$I$89,3,0)*VLOOKUP('Données projet'!$B$14,Paramètres!$A$1:$I$89,5,0)</f>
        <v>1.3301360013429075E-13</v>
      </c>
      <c r="DQ121" s="13">
        <f t="shared" si="97"/>
        <v>1.9329766731057041E-12</v>
      </c>
      <c r="DR121" s="20">
        <f t="shared" si="70"/>
        <v>3.5982663925596575E-12</v>
      </c>
      <c r="DS121" s="59">
        <f t="shared" si="71"/>
        <v>293.3333333333369</v>
      </c>
      <c r="DT121" s="59">
        <f ca="1">AVERAGE(OFFSET($DS$3,0,0,'Données projet'!$E$14+1,1))-AVERAGE(OFFSET($H$3,0,0,'Données projet'!$E$14+1,1))</f>
        <v>376.33792692771908</v>
      </c>
      <c r="DU121" s="59">
        <f t="shared" si="98"/>
        <v>367.92889258044698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0.25310420357591212</v>
      </c>
      <c r="EB121" s="21">
        <f>EXP(-LN(2)/25)*EB120+(1-EXP(-LN(2)/25))/(LN(2)/25)*Calculateur!DW121*Calculateur!DY121*VLOOKUP('Données projet'!$B$14,Paramètres!$A$1:$I$89,3,0)*0.475*44/12</f>
        <v>0.72968826453236668</v>
      </c>
      <c r="EC121" s="21">
        <f>EXP(-LN(2)/2)*EC120+(1-EXP(-LN(2)/2))/(LN(2)/2)*DW121*DZ121*VLOOKUP('Données projet'!$B$14,Paramètres!$A$1:$I$89,3,0)*0.475*44/12</f>
        <v>7.4301053682017001E-13</v>
      </c>
      <c r="ED121" s="22">
        <f t="shared" si="72"/>
        <v>0.98279246810902177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347.49999999999966</v>
      </c>
      <c r="O122" s="13">
        <f>N122*VLOOKUP('Données projet'!$B$9,Paramètres!$A$1:$I$89,3,0)*VLOOKUP('Données projet'!$B$9,Paramètres!$A$1:$I$89,5,0)</f>
        <v>314.41799999999967</v>
      </c>
      <c r="P122" s="13">
        <f t="shared" si="87"/>
        <v>74.190723151497266</v>
      </c>
      <c r="Q122" s="20">
        <f t="shared" si="107"/>
        <v>676.82685948885705</v>
      </c>
      <c r="R122" s="59">
        <f t="shared" si="55"/>
        <v>970.16019282219031</v>
      </c>
      <c r="S122" s="59">
        <f ca="1">AVERAGE(OFFSET($R$3,0,0,'Données projet'!$E$9+1,1))-AVERAGE(OFFSET($H$3,0,0,'Données projet'!$E$9+1,1))</f>
        <v>469.68830256438338</v>
      </c>
      <c r="T122" s="59">
        <f t="shared" si="88"/>
        <v>332.61387922152159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0.41331380396297951</v>
      </c>
      <c r="AA122" s="21">
        <f>EXP(-LN(2)/25)*AA121+(1-EXP(-LN(2)/25))/(LN(2)/25)*Calculateur!V122*Calculateur!X122*VLOOKUP('Données projet'!$B$9,Paramètres!$A$1:$I$89,3,0)*0.475*44/12</f>
        <v>0.9566450167461098</v>
      </c>
      <c r="AB122" s="21">
        <f>EXP(-LN(2)/2)*AB121+(1-EXP(-LN(2)/2))/(LN(2)/2)*V122*Y122*VLOOKUP('Données projet'!$B$9,Paramètres!$A$1:$I$89,3,0)*0.475*44/12</f>
        <v>8.6632272712951262E-13</v>
      </c>
      <c r="AC122" s="22">
        <f t="shared" si="57"/>
        <v>1.3699588207099558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347.49999999999966</v>
      </c>
      <c r="AJ122" s="13">
        <f>AI122*VLOOKUP('Données projet'!$B$10,Paramètres!$A$1:$I$89,3,0)*VLOOKUP('Données projet'!$B$10,Paramètres!$A$1:$I$89,5,0)</f>
        <v>374.04899999999964</v>
      </c>
      <c r="AK122" s="13">
        <f t="shared" si="89"/>
        <v>86.495135969296754</v>
      </c>
      <c r="AL122" s="20">
        <f t="shared" si="58"/>
        <v>802.11437014652449</v>
      </c>
      <c r="AM122" s="59">
        <f t="shared" si="59"/>
        <v>1095.4477034798579</v>
      </c>
      <c r="AN122" s="59">
        <f ca="1">AVERAGE(OFFSET($AM$3,0,0,'Données projet'!$E$10+1,1))-AVERAGE(OFFSET($H$3,0,0,'Données projet'!$E$10+1,1))</f>
        <v>550.66682372933292</v>
      </c>
      <c r="AO122" s="59">
        <f t="shared" si="90"/>
        <v>387.28615589698444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0.49170090471457928</v>
      </c>
      <c r="AV122" s="21">
        <f>EXP(-LN(2)/25)*AV121+(1-EXP(-LN(2)/25))/(LN(2)/25)*Calculateur!AQ122*Calculateur!AS122*VLOOKUP('Données projet'!$B$10,Paramètres!$A$1:$I$89,3,0)*0.475*44/12</f>
        <v>1.1380776923358902</v>
      </c>
      <c r="AW122" s="21">
        <f>EXP(-LN(2)/2)*AW121+(1-EXP(-LN(2)/2))/(LN(2)/2)*AQ122*AT122*VLOOKUP('Données projet'!$B$10,Paramètres!$A$1:$I$89,3,0)*0.475*44/12</f>
        <v>1.0306253133092431E-12</v>
      </c>
      <c r="AX122" s="21">
        <f t="shared" si="60"/>
        <v>1.6297785970515002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1.7053025658242404E-13</v>
      </c>
      <c r="BE122" s="13">
        <f>BD122*VLOOKUP('Données projet'!$B$11,Paramètres!$A$1:$I$89,3,0)*VLOOKUP('Données projet'!$B$11,Paramètres!$A$1:$I$89,5,0)</f>
        <v>1.3301360013429075E-13</v>
      </c>
      <c r="BF122" s="13">
        <f t="shared" si="91"/>
        <v>1.9329766731057041E-12</v>
      </c>
      <c r="BG122" s="20">
        <f t="shared" si="61"/>
        <v>3.5982663925596575E-12</v>
      </c>
      <c r="BH122" s="59">
        <f t="shared" si="62"/>
        <v>293.3333333333369</v>
      </c>
      <c r="BI122" s="59">
        <f ca="1">AVERAGE(OFFSET($BH$3,0,0,'Données projet'!$E$11+1,1))-AVERAGE(OFFSET($H$3,0,0,'Données projet'!$E$11+1,1))</f>
        <v>376.33792692771908</v>
      </c>
      <c r="BJ122" s="59">
        <f t="shared" si="92"/>
        <v>367.92889258044698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0.24814098452210909</v>
      </c>
      <c r="BQ122" s="21">
        <f>EXP(-LN(2)/25)*BQ121+(1-EXP(-LN(2)/25))/(LN(2)/25)*Calculateur!BL122*Calculateur!BN122*VLOOKUP('Données projet'!$B$11,Paramètres!$A$1:$I$89,3,0)*0.475*44/12</f>
        <v>0.70973490056609101</v>
      </c>
      <c r="BR122" s="21">
        <f>EXP(-LN(2)/2)*BR121+(1-EXP(-LN(2)/2))/(LN(2)/2)*BL122*BO122*VLOOKUP('Données projet'!$B$11,Paramètres!$A$1:$I$89,3,0)*0.475*44/12</f>
        <v>5.2538778907859916E-13</v>
      </c>
      <c r="BS122" s="22">
        <f t="shared" si="63"/>
        <v>0.95787588508872545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270.8066399999999</v>
      </c>
      <c r="CA122" s="13">
        <f t="shared" si="93"/>
        <v>65.020428921429911</v>
      </c>
      <c r="CB122" s="20">
        <f t="shared" si="64"/>
        <v>584.89881170482352</v>
      </c>
      <c r="CC122" s="59">
        <f t="shared" si="65"/>
        <v>878.23214503815689</v>
      </c>
      <c r="CD122" s="59">
        <f ca="1">AVERAGE(OFFSET($CC$3,0,0,'Données projet'!$E$12+1,1))-AVERAGE(OFFSET($H$3,0,0,'Données projet'!$E$12+1,1))</f>
        <v>388.50131600273431</v>
      </c>
      <c r="CE122" s="59">
        <f t="shared" si="94"/>
        <v>247.01165577562955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0.26334557284904569</v>
      </c>
      <c r="CM122" s="21">
        <f>EXP(-LN(2)/2)*CM121+(1-EXP(-LN(2)/2))/(LN(2)/2)*CG122*CJ122*VLOOKUP('Données projet'!$B$12,Paramètres!$A$1:$I$89,3,0)*0.475*44/12</f>
        <v>2.4877691879446213E-13</v>
      </c>
      <c r="CN122" s="22">
        <f t="shared" si="66"/>
        <v>0.2633455728492945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3.7</v>
      </c>
      <c r="CT122" s="12">
        <f>IF('Données projet'!$A$140&gt;35,CT121+CS122-DB121,IF(A122&lt;'Données projet'!$A$140,$CQ$205^A122,IF(A122='Données projet'!$A$140,'Données projet'!$B$140,CT121+CS122-DB121)))</f>
        <v>299.2999999999999</v>
      </c>
      <c r="CU122" s="17">
        <f>CT122*VLOOKUP('Données projet'!$B$13,Paramètres!$A$1:$I$89,3,0)*VLOOKUP('Données projet'!$B$13,Paramètres!$A$1:$I$89,5,0)</f>
        <v>322.16651999999988</v>
      </c>
      <c r="CV122" s="13">
        <f t="shared" si="95"/>
        <v>75.803963102731601</v>
      </c>
      <c r="CW122" s="20">
        <f t="shared" si="67"/>
        <v>693.13192473725724</v>
      </c>
      <c r="CX122" s="59">
        <f t="shared" si="68"/>
        <v>986.46525807059061</v>
      </c>
      <c r="CY122" s="59">
        <f ca="1">AVERAGE(OFFSET($CX$3,0,0,'Données projet'!$E$13+1,1))-AVERAGE(OFFSET($H$3,0,0,'Données projet'!$E$13+1,1))</f>
        <v>454.43000549907373</v>
      </c>
      <c r="CZ122" s="59">
        <f t="shared" si="96"/>
        <v>285.83623046025156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0.31329042287214065</v>
      </c>
      <c r="DH122" s="21">
        <f>EXP(-LN(2)/2)*DH121+(1-EXP(-LN(2)/2))/(LN(2)/2)*DB122*DE122*VLOOKUP('Données projet'!$B$13,Paramètres!$A$1:$I$89,3,0)*0.475*44/12</f>
        <v>2.9595874822099857E-13</v>
      </c>
      <c r="DI122" s="22">
        <f t="shared" si="69"/>
        <v>0.31329042287243664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1.7053025658242404E-13</v>
      </c>
      <c r="DP122" s="17">
        <f>DO122*VLOOKUP('Données projet'!$B$14,Paramètres!$A$1:$I$89,3,0)*VLOOKUP('Données projet'!$B$14,Paramètres!$A$1:$I$89,5,0)</f>
        <v>1.3301360013429075E-13</v>
      </c>
      <c r="DQ122" s="13">
        <f t="shared" si="97"/>
        <v>1.9329766731057041E-12</v>
      </c>
      <c r="DR122" s="20">
        <f t="shared" si="70"/>
        <v>3.5982663925596575E-12</v>
      </c>
      <c r="DS122" s="59">
        <f t="shared" si="71"/>
        <v>293.3333333333369</v>
      </c>
      <c r="DT122" s="59">
        <f ca="1">AVERAGE(OFFSET($DS$3,0,0,'Données projet'!$E$14+1,1))-AVERAGE(OFFSET($H$3,0,0,'Données projet'!$E$14+1,1))</f>
        <v>376.33792692771908</v>
      </c>
      <c r="DU122" s="59">
        <f t="shared" si="98"/>
        <v>367.92889258044698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0.24814098452210909</v>
      </c>
      <c r="EB122" s="21">
        <f>EXP(-LN(2)/25)*EB121+(1-EXP(-LN(2)/25))/(LN(2)/25)*Calculateur!DW122*Calculateur!DY122*VLOOKUP('Données projet'!$B$14,Paramètres!$A$1:$I$89,3,0)*0.475*44/12</f>
        <v>0.70973490056609101</v>
      </c>
      <c r="EC122" s="21">
        <f>EXP(-LN(2)/2)*EC121+(1-EXP(-LN(2)/2))/(LN(2)/2)*DW122*DZ122*VLOOKUP('Données projet'!$B$14,Paramètres!$A$1:$I$89,3,0)*0.475*44/12</f>
        <v>5.2538778907859916E-13</v>
      </c>
      <c r="ED122" s="22">
        <f t="shared" si="72"/>
        <v>0.95787588508872545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351.99999999999966</v>
      </c>
      <c r="O123" s="13">
        <f>N123*VLOOKUP('Données projet'!$B$9,Paramètres!$A$1:$I$89,3,0)*VLOOKUP('Données projet'!$B$9,Paramètres!$A$1:$I$89,5,0)</f>
        <v>318.48959999999971</v>
      </c>
      <c r="P123" s="13">
        <f t="shared" si="87"/>
        <v>75.038999086150227</v>
      </c>
      <c r="Q123" s="20">
        <f t="shared" si="107"/>
        <v>685.39564340837785</v>
      </c>
      <c r="R123" s="59">
        <f t="shared" si="55"/>
        <v>978.72897674171122</v>
      </c>
      <c r="S123" s="59">
        <f ca="1">AVERAGE(OFFSET($R$3,0,0,'Données projet'!$E$9+1,1))-AVERAGE(OFFSET($H$3,0,0,'Données projet'!$E$9+1,1))</f>
        <v>469.68830256438338</v>
      </c>
      <c r="T123" s="59">
        <f t="shared" si="88"/>
        <v>332.61387922152159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0.40520897236379344</v>
      </c>
      <c r="AA123" s="21">
        <f>EXP(-LN(2)/25)*AA122+(1-EXP(-LN(2)/25))/(LN(2)/25)*Calculateur!V123*Calculateur!X123*VLOOKUP('Données projet'!$B$9,Paramètres!$A$1:$I$89,3,0)*0.475*44/12</f>
        <v>0.93048550845541245</v>
      </c>
      <c r="AB123" s="21">
        <f>EXP(-LN(2)/2)*AB122+(1-EXP(-LN(2)/2))/(LN(2)/2)*V123*Y123*VLOOKUP('Données projet'!$B$9,Paramètres!$A$1:$I$89,3,0)*0.475*44/12</f>
        <v>6.1258267504930139E-13</v>
      </c>
      <c r="AC123" s="22">
        <f t="shared" si="57"/>
        <v>1.3356944808198186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351.99999999999966</v>
      </c>
      <c r="AJ123" s="13">
        <f>AI123*VLOOKUP('Données projet'!$B$10,Paramètres!$A$1:$I$89,3,0)*VLOOKUP('Données projet'!$B$10,Paramètres!$A$1:$I$89,5,0)</f>
        <v>378.89279999999962</v>
      </c>
      <c r="AK123" s="13">
        <f t="shared" si="89"/>
        <v>87.484097111479699</v>
      </c>
      <c r="AL123" s="20">
        <f t="shared" si="58"/>
        <v>812.27309580249312</v>
      </c>
      <c r="AM123" s="59">
        <f t="shared" si="59"/>
        <v>1105.6064291358264</v>
      </c>
      <c r="AN123" s="59">
        <f ca="1">AVERAGE(OFFSET($AM$3,0,0,'Données projet'!$E$10+1,1))-AVERAGE(OFFSET($H$3,0,0,'Données projet'!$E$10+1,1))</f>
        <v>550.66682372933292</v>
      </c>
      <c r="AO123" s="59">
        <f t="shared" si="90"/>
        <v>387.28615589698444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0.48205894988106479</v>
      </c>
      <c r="AV123" s="21">
        <f>EXP(-LN(2)/25)*AV122+(1-EXP(-LN(2)/25))/(LN(2)/25)*Calculateur!AQ123*Calculateur!AS123*VLOOKUP('Données projet'!$B$10,Paramètres!$A$1:$I$89,3,0)*0.475*44/12</f>
        <v>1.1069568979900606</v>
      </c>
      <c r="AW123" s="21">
        <f>EXP(-LN(2)/2)*AW122+(1-EXP(-LN(2)/2))/(LN(2)/2)*AQ123*AT123*VLOOKUP('Données projet'!$B$10,Paramètres!$A$1:$I$89,3,0)*0.475*44/12</f>
        <v>7.2876214790347595E-13</v>
      </c>
      <c r="AX123" s="21">
        <f t="shared" si="60"/>
        <v>1.5890158478718541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1.7053025658242404E-13</v>
      </c>
      <c r="BE123" s="13">
        <f>BD123*VLOOKUP('Données projet'!$B$11,Paramètres!$A$1:$I$89,3,0)*VLOOKUP('Données projet'!$B$11,Paramètres!$A$1:$I$89,5,0)</f>
        <v>1.3301360013429075E-13</v>
      </c>
      <c r="BF123" s="13">
        <f t="shared" si="91"/>
        <v>1.9329766731057041E-12</v>
      </c>
      <c r="BG123" s="20">
        <f t="shared" si="61"/>
        <v>3.5982663925596575E-12</v>
      </c>
      <c r="BH123" s="59">
        <f t="shared" si="62"/>
        <v>293.3333333333369</v>
      </c>
      <c r="BI123" s="59">
        <f ca="1">AVERAGE(OFFSET($BH$3,0,0,'Données projet'!$E$11+1,1))-AVERAGE(OFFSET($H$3,0,0,'Données projet'!$E$11+1,1))</f>
        <v>376.33792692771908</v>
      </c>
      <c r="BJ123" s="59">
        <f t="shared" si="92"/>
        <v>367.92889258044698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0.24327509116668641</v>
      </c>
      <c r="BQ123" s="21">
        <f>EXP(-LN(2)/25)*BQ122+(1-EXP(-LN(2)/25))/(LN(2)/25)*Calculateur!BL123*Calculateur!BN123*VLOOKUP('Données projet'!$B$11,Paramètres!$A$1:$I$89,3,0)*0.475*44/12</f>
        <v>0.69032716238677494</v>
      </c>
      <c r="BR123" s="21">
        <f>EXP(-LN(2)/2)*BR122+(1-EXP(-LN(2)/2))/(LN(2)/2)*BL123*BO123*VLOOKUP('Données projet'!$B$11,Paramètres!$A$1:$I$89,3,0)*0.475*44/12</f>
        <v>3.7150526841008501E-13</v>
      </c>
      <c r="BS123" s="22">
        <f t="shared" si="63"/>
        <v>0.93360225355383286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274.1543999999999</v>
      </c>
      <c r="CA123" s="13">
        <f t="shared" si="93"/>
        <v>65.730152764515779</v>
      </c>
      <c r="CB123" s="20">
        <f t="shared" si="64"/>
        <v>591.96559606486471</v>
      </c>
      <c r="CC123" s="59">
        <f t="shared" si="65"/>
        <v>885.29892939819797</v>
      </c>
      <c r="CD123" s="59">
        <f ca="1">AVERAGE(OFFSET($CC$3,0,0,'Données projet'!$E$12+1,1))-AVERAGE(OFFSET($H$3,0,0,'Données projet'!$E$12+1,1))</f>
        <v>388.50131600273431</v>
      </c>
      <c r="CE123" s="59">
        <f t="shared" si="94"/>
        <v>247.01165577562955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0.25614437431074677</v>
      </c>
      <c r="CM123" s="21">
        <f>EXP(-LN(2)/2)*CM122+(1-EXP(-LN(2)/2))/(LN(2)/2)*CG123*CJ123*VLOOKUP('Données projet'!$B$12,Paramètres!$A$1:$I$89,3,0)*0.475*44/12</f>
        <v>1.7591184628225924E-13</v>
      </c>
      <c r="CN123" s="22">
        <f t="shared" si="66"/>
        <v>0.25614437431092268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303</v>
      </c>
      <c r="CR123" s="12">
        <f>VLOOKUP(A123,'Données projet'!$A$139:$I$159,9,0)</f>
        <v>3.7</v>
      </c>
      <c r="CS123" s="12">
        <f t="array" ref="CS123">INDEX(CR:CR,MIN(IF(ISNUMBER(CR123:CR319),ROW(CR123:CR319),"")))</f>
        <v>3.7</v>
      </c>
      <c r="CT123" s="12">
        <f>IF('Données projet'!$A$140&gt;35,CT122+CS123-DB122,IF(A123&lt;'Données projet'!$A$140,$CQ$205^A123,IF(A123='Données projet'!$A$140,'Données projet'!$B$140,CT122+CS123-DB122)))</f>
        <v>302.99999999999989</v>
      </c>
      <c r="CU123" s="17">
        <f>CT123*VLOOKUP('Données projet'!$B$13,Paramètres!$A$1:$I$89,3,0)*VLOOKUP('Données projet'!$B$13,Paramètres!$A$1:$I$89,5,0)</f>
        <v>326.14919999999989</v>
      </c>
      <c r="CV123" s="13">
        <f t="shared" si="95"/>
        <v>76.631393510479626</v>
      </c>
      <c r="CW123" s="20">
        <f t="shared" si="67"/>
        <v>701.50953369741853</v>
      </c>
      <c r="CX123" s="59">
        <f t="shared" si="68"/>
        <v>994.8428670307519</v>
      </c>
      <c r="CY123" s="59">
        <f ca="1">AVERAGE(OFFSET($CX$3,0,0,'Données projet'!$E$13+1,1))-AVERAGE(OFFSET($H$3,0,0,'Données projet'!$E$13+1,1))</f>
        <v>454.43000549907373</v>
      </c>
      <c r="CZ123" s="59">
        <f t="shared" si="96"/>
        <v>285.83623046025156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303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0.30472347978347464</v>
      </c>
      <c r="DH123" s="21">
        <f>EXP(-LN(2)/2)*DH122+(1-EXP(-LN(2)/2))/(LN(2)/2)*DB123*DE123*VLOOKUP('Données projet'!$B$13,Paramètres!$A$1:$I$89,3,0)*0.475*44/12</f>
        <v>2.0927443781855015E-13</v>
      </c>
      <c r="DI123" s="22">
        <f t="shared" si="69"/>
        <v>0.30472347978368391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1.7053025658242404E-13</v>
      </c>
      <c r="DP123" s="17">
        <f>DO123*VLOOKUP('Données projet'!$B$14,Paramètres!$A$1:$I$89,3,0)*VLOOKUP('Données projet'!$B$14,Paramètres!$A$1:$I$89,5,0)</f>
        <v>1.3301360013429075E-13</v>
      </c>
      <c r="DQ123" s="13">
        <f t="shared" si="97"/>
        <v>1.9329766731057041E-12</v>
      </c>
      <c r="DR123" s="20">
        <f t="shared" si="70"/>
        <v>3.5982663925596575E-12</v>
      </c>
      <c r="DS123" s="59">
        <f t="shared" si="71"/>
        <v>293.3333333333369</v>
      </c>
      <c r="DT123" s="59">
        <f ca="1">AVERAGE(OFFSET($DS$3,0,0,'Données projet'!$E$14+1,1))-AVERAGE(OFFSET($H$3,0,0,'Données projet'!$E$14+1,1))</f>
        <v>376.33792692771908</v>
      </c>
      <c r="DU123" s="59">
        <f t="shared" si="98"/>
        <v>367.92889258044698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0.24327509116668641</v>
      </c>
      <c r="EB123" s="21">
        <f>EXP(-LN(2)/25)*EB122+(1-EXP(-LN(2)/25))/(LN(2)/25)*Calculateur!DW123*Calculateur!DY123*VLOOKUP('Données projet'!$B$14,Paramètres!$A$1:$I$89,3,0)*0.475*44/12</f>
        <v>0.69032716238677494</v>
      </c>
      <c r="EC123" s="21">
        <f>EXP(-LN(2)/2)*EC122+(1-EXP(-LN(2)/2))/(LN(2)/2)*DW123*DZ123*VLOOKUP('Données projet'!$B$14,Paramètres!$A$1:$I$89,3,0)*0.475*44/12</f>
        <v>3.7150526841008501E-13</v>
      </c>
      <c r="ED123" s="22">
        <f t="shared" si="72"/>
        <v>0.93360225355383286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-3.0859155231155454E-13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469.68830256438338</v>
      </c>
      <c r="T124" s="59">
        <f t="shared" si="88"/>
        <v>332.61387922152159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0.39726307156880825</v>
      </c>
      <c r="AA124" s="21">
        <f>EXP(-LN(2)/25)*AA123+(1-EXP(-LN(2)/25))/(LN(2)/25)*Calculateur!V124*Calculateur!X124*VLOOKUP('Données projet'!$B$9,Paramètres!$A$1:$I$89,3,0)*0.475*44/12</f>
        <v>0.90504133329459291</v>
      </c>
      <c r="AB124" s="21">
        <f>EXP(-LN(2)/2)*AB123+(1-EXP(-LN(2)/2))/(LN(2)/2)*V124*Y124*VLOOKUP('Données projet'!$B$9,Paramètres!$A$1:$I$89,3,0)*0.475*44/12</f>
        <v>4.3316136356475631E-13</v>
      </c>
      <c r="AC124" s="22">
        <f t="shared" si="57"/>
        <v>1.3023044048638344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-3.6711753637064249E-13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550.66682372933292</v>
      </c>
      <c r="AO124" s="59">
        <f t="shared" si="90"/>
        <v>387.28615589698444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0.47260606790082377</v>
      </c>
      <c r="AV124" s="21">
        <f>EXP(-LN(2)/25)*AV123+(1-EXP(-LN(2)/25))/(LN(2)/25)*Calculateur!AQ124*Calculateur!AS124*VLOOKUP('Données projet'!$B$10,Paramètres!$A$1:$I$89,3,0)*0.475*44/12</f>
        <v>1.0766871034021892</v>
      </c>
      <c r="AW124" s="21">
        <f>EXP(-LN(2)/2)*AW123+(1-EXP(-LN(2)/2))/(LN(2)/2)*AQ124*AT124*VLOOKUP('Données projet'!$B$10,Paramètres!$A$1:$I$89,3,0)*0.475*44/12</f>
        <v>5.1531265665462155E-13</v>
      </c>
      <c r="AX124" s="21">
        <f t="shared" si="60"/>
        <v>1.5492931713035283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1.3301360013429075E-13</v>
      </c>
      <c r="BF124" s="13">
        <f t="shared" si="91"/>
        <v>1.9329766731057041E-12</v>
      </c>
      <c r="BG124" s="20">
        <f t="shared" si="61"/>
        <v>3.5982663925596575E-12</v>
      </c>
      <c r="BH124" s="59">
        <f t="shared" si="62"/>
        <v>293.3333333333369</v>
      </c>
      <c r="BI124" s="59">
        <f ca="1">AVERAGE(OFFSET($BH$3,0,0,'Données projet'!$E$11+1,1))-AVERAGE(OFFSET($H$3,0,0,'Données projet'!$E$11+1,1))</f>
        <v>376.33792692771908</v>
      </c>
      <c r="BJ124" s="59">
        <f t="shared" si="92"/>
        <v>367.92889258044698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0.23850461501206169</v>
      </c>
      <c r="BQ124" s="21">
        <f>EXP(-LN(2)/25)*BQ123+(1-EXP(-LN(2)/25))/(LN(2)/25)*Calculateur!BL124*Calculateur!BN124*VLOOKUP('Données projet'!$B$11,Paramètres!$A$1:$I$89,3,0)*0.475*44/12</f>
        <v>0.67145012982858088</v>
      </c>
      <c r="BR124" s="21">
        <f>EXP(-LN(2)/2)*BR123+(1-EXP(-LN(2)/2))/(LN(2)/2)*BL124*BO124*VLOOKUP('Données projet'!$B$11,Paramètres!$A$1:$I$89,3,0)*0.475*44/12</f>
        <v>2.6269389453929958E-13</v>
      </c>
      <c r="BS124" s="22">
        <f t="shared" si="63"/>
        <v>0.90995474484090522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-1.0286385077051818E-13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388.50131600273431</v>
      </c>
      <c r="CE124" s="59">
        <f t="shared" si="94"/>
        <v>247.01165577562955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0.24914009292517217</v>
      </c>
      <c r="CM124" s="21">
        <f>EXP(-LN(2)/2)*CM123+(1-EXP(-LN(2)/2))/(LN(2)/2)*CG124*CJ124*VLOOKUP('Données projet'!$B$12,Paramètres!$A$1:$I$89,3,0)*0.475*44/12</f>
        <v>1.2438845939723107E-13</v>
      </c>
      <c r="CN124" s="22">
        <f t="shared" si="66"/>
        <v>0.24914009292529657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-1.223725121235475E-13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454.43000549907373</v>
      </c>
      <c r="CZ124" s="59">
        <f t="shared" si="96"/>
        <v>285.83623046025156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0.2963908002040842</v>
      </c>
      <c r="DH124" s="21">
        <f>EXP(-LN(2)/2)*DH123+(1-EXP(-LN(2)/2))/(LN(2)/2)*DB124*DE124*VLOOKUP('Données projet'!$B$13,Paramètres!$A$1:$I$89,3,0)*0.475*44/12</f>
        <v>1.4797937411049928E-13</v>
      </c>
      <c r="DI124" s="22">
        <f t="shared" si="69"/>
        <v>0.2963908002042322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1.7053025658242404E-13</v>
      </c>
      <c r="DP124" s="17">
        <f>DO124*VLOOKUP('Données projet'!$B$14,Paramètres!$A$1:$I$89,3,0)*VLOOKUP('Données projet'!$B$14,Paramètres!$A$1:$I$89,5,0)</f>
        <v>1.3301360013429075E-13</v>
      </c>
      <c r="DQ124" s="13">
        <f t="shared" si="97"/>
        <v>1.9329766731057041E-12</v>
      </c>
      <c r="DR124" s="20">
        <f t="shared" si="70"/>
        <v>3.5982663925596575E-12</v>
      </c>
      <c r="DS124" s="59">
        <f t="shared" si="71"/>
        <v>293.3333333333369</v>
      </c>
      <c r="DT124" s="59">
        <f ca="1">AVERAGE(OFFSET($DS$3,0,0,'Données projet'!$E$14+1,1))-AVERAGE(OFFSET($H$3,0,0,'Données projet'!$E$14+1,1))</f>
        <v>376.33792692771908</v>
      </c>
      <c r="DU124" s="59">
        <f t="shared" si="98"/>
        <v>367.92889258044698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0.23850461501206169</v>
      </c>
      <c r="EB124" s="21">
        <f>EXP(-LN(2)/25)*EB123+(1-EXP(-LN(2)/25))/(LN(2)/25)*Calculateur!DW124*Calculateur!DY124*VLOOKUP('Données projet'!$B$14,Paramètres!$A$1:$I$89,3,0)*0.475*44/12</f>
        <v>0.67145012982858088</v>
      </c>
      <c r="EC124" s="21">
        <f>EXP(-LN(2)/2)*EC123+(1-EXP(-LN(2)/2))/(LN(2)/2)*DW124*DZ124*VLOOKUP('Données projet'!$B$14,Paramètres!$A$1:$I$89,3,0)*0.475*44/12</f>
        <v>2.6269389453929958E-13</v>
      </c>
      <c r="ED124" s="22">
        <f t="shared" si="72"/>
        <v>0.90995474484090522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-3.0859155231155454E-13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469.68830256438338</v>
      </c>
      <c r="T125" s="59">
        <f t="shared" si="88"/>
        <v>332.61387922152159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0.38947298504189176</v>
      </c>
      <c r="AA125" s="21">
        <f>EXP(-LN(2)/25)*AA124+(1-EXP(-LN(2)/25))/(LN(2)/25)*Calculateur!V125*Calculateur!X125*VLOOKUP('Données projet'!$B$9,Paramètres!$A$1:$I$89,3,0)*0.475*44/12</f>
        <v>0.88029293044159707</v>
      </c>
      <c r="AB125" s="21">
        <f>EXP(-LN(2)/2)*AB124+(1-EXP(-LN(2)/2))/(LN(2)/2)*V125*Y125*VLOOKUP('Données projet'!$B$9,Paramètres!$A$1:$I$89,3,0)*0.475*44/12</f>
        <v>3.0629133752465069E-13</v>
      </c>
      <c r="AC125" s="22">
        <f t="shared" si="57"/>
        <v>1.269765915483795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-3.6711753637064249E-13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550.66682372933292</v>
      </c>
      <c r="AO125" s="59">
        <f t="shared" si="90"/>
        <v>387.28615589698444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0.46333855117052658</v>
      </c>
      <c r="AV125" s="21">
        <f>EXP(-LN(2)/25)*AV124+(1-EXP(-LN(2)/25))/(LN(2)/25)*Calculateur!AQ125*Calculateur!AS125*VLOOKUP('Données projet'!$B$10,Paramètres!$A$1:$I$89,3,0)*0.475*44/12</f>
        <v>1.0472450379391425</v>
      </c>
      <c r="AW125" s="21">
        <f>EXP(-LN(2)/2)*AW124+(1-EXP(-LN(2)/2))/(LN(2)/2)*AQ125*AT125*VLOOKUP('Données projet'!$B$10,Paramètres!$A$1:$I$89,3,0)*0.475*44/12</f>
        <v>3.6438107395173797E-13</v>
      </c>
      <c r="AX125" s="21">
        <f t="shared" si="60"/>
        <v>1.5105835891100334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1.3301360013429075E-13</v>
      </c>
      <c r="BF125" s="13">
        <f t="shared" si="91"/>
        <v>1.9329766731057041E-12</v>
      </c>
      <c r="BG125" s="20">
        <f t="shared" si="61"/>
        <v>3.5982663925596575E-12</v>
      </c>
      <c r="BH125" s="59">
        <f t="shared" si="62"/>
        <v>293.3333333333369</v>
      </c>
      <c r="BI125" s="59">
        <f ca="1">AVERAGE(OFFSET($BH$3,0,0,'Données projet'!$E$11+1,1))-AVERAGE(OFFSET($H$3,0,0,'Données projet'!$E$11+1,1))</f>
        <v>376.33792692771908</v>
      </c>
      <c r="BJ125" s="59">
        <f t="shared" si="92"/>
        <v>367.92889258044698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0.23382768498512602</v>
      </c>
      <c r="BQ125" s="21">
        <f>EXP(-LN(2)/25)*BQ124+(1-EXP(-LN(2)/25))/(LN(2)/25)*Calculateur!BL125*Calculateur!BN125*VLOOKUP('Données projet'!$B$11,Paramètres!$A$1:$I$89,3,0)*0.475*44/12</f>
        <v>0.65308929071839061</v>
      </c>
      <c r="BR125" s="21">
        <f>EXP(-LN(2)/2)*BR124+(1-EXP(-LN(2)/2))/(LN(2)/2)*BL125*BO125*VLOOKUP('Données projet'!$B$11,Paramètres!$A$1:$I$89,3,0)*0.475*44/12</f>
        <v>1.857526342050425E-13</v>
      </c>
      <c r="BS125" s="22">
        <f t="shared" si="63"/>
        <v>0.88691697570370243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-1.0286385077051818E-13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388.50131600273431</v>
      </c>
      <c r="CE125" s="59">
        <f t="shared" si="94"/>
        <v>247.01165577562955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0.24232734398242525</v>
      </c>
      <c r="CM125" s="21">
        <f>EXP(-LN(2)/2)*CM124+(1-EXP(-LN(2)/2))/(LN(2)/2)*CG125*CJ125*VLOOKUP('Données projet'!$B$12,Paramètres!$A$1:$I$89,3,0)*0.475*44/12</f>
        <v>8.7955923141129621E-14</v>
      </c>
      <c r="CN125" s="22">
        <f t="shared" si="66"/>
        <v>0.24232734398251321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-1.223725121235475E-13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454.43000549907373</v>
      </c>
      <c r="CZ125" s="59">
        <f t="shared" si="96"/>
        <v>285.83623046025156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0.28828597818598872</v>
      </c>
      <c r="DH125" s="21">
        <f>EXP(-LN(2)/2)*DH124+(1-EXP(-LN(2)/2))/(LN(2)/2)*DB125*DE125*VLOOKUP('Données projet'!$B$13,Paramètres!$A$1:$I$89,3,0)*0.475*44/12</f>
        <v>1.0463721890927507E-13</v>
      </c>
      <c r="DI125" s="22">
        <f t="shared" si="69"/>
        <v>0.28828597818609336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1.7053025658242404E-13</v>
      </c>
      <c r="DP125" s="17">
        <f>DO125*VLOOKUP('Données projet'!$B$14,Paramètres!$A$1:$I$89,3,0)*VLOOKUP('Données projet'!$B$14,Paramètres!$A$1:$I$89,5,0)</f>
        <v>1.3301360013429075E-13</v>
      </c>
      <c r="DQ125" s="13">
        <f t="shared" si="97"/>
        <v>1.9329766731057041E-12</v>
      </c>
      <c r="DR125" s="20">
        <f t="shared" si="70"/>
        <v>3.5982663925596575E-12</v>
      </c>
      <c r="DS125" s="59">
        <f t="shared" si="71"/>
        <v>293.3333333333369</v>
      </c>
      <c r="DT125" s="59">
        <f ca="1">AVERAGE(OFFSET($DS$3,0,0,'Données projet'!$E$14+1,1))-AVERAGE(OFFSET($H$3,0,0,'Données projet'!$E$14+1,1))</f>
        <v>376.33792692771908</v>
      </c>
      <c r="DU125" s="59">
        <f t="shared" si="98"/>
        <v>367.92889258044698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0.23382768498512602</v>
      </c>
      <c r="EB125" s="21">
        <f>EXP(-LN(2)/25)*EB124+(1-EXP(-LN(2)/25))/(LN(2)/25)*Calculateur!DW125*Calculateur!DY125*VLOOKUP('Données projet'!$B$14,Paramètres!$A$1:$I$89,3,0)*0.475*44/12</f>
        <v>0.65308929071839061</v>
      </c>
      <c r="EC125" s="21">
        <f>EXP(-LN(2)/2)*EC124+(1-EXP(-LN(2)/2))/(LN(2)/2)*DW125*DZ125*VLOOKUP('Données projet'!$B$14,Paramètres!$A$1:$I$89,3,0)*0.475*44/12</f>
        <v>1.857526342050425E-13</v>
      </c>
      <c r="ED125" s="22">
        <f t="shared" si="72"/>
        <v>0.88691697570370243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-3.0859155231155454E-13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469.68830256438338</v>
      </c>
      <c r="T126" s="59">
        <f t="shared" si="88"/>
        <v>332.61387922152159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0.38183565736028452</v>
      </c>
      <c r="AA126" s="21">
        <f>EXP(-LN(2)/25)*AA125+(1-EXP(-LN(2)/25))/(LN(2)/25)*Calculateur!V126*Calculateur!X126*VLOOKUP('Données projet'!$B$9,Paramètres!$A$1:$I$89,3,0)*0.475*44/12</f>
        <v>0.85622127396607828</v>
      </c>
      <c r="AB126" s="21">
        <f>EXP(-LN(2)/2)*AB125+(1-EXP(-LN(2)/2))/(LN(2)/2)*V126*Y126*VLOOKUP('Données projet'!$B$9,Paramètres!$A$1:$I$89,3,0)*0.475*44/12</f>
        <v>2.1658068178237815E-13</v>
      </c>
      <c r="AC126" s="22">
        <f t="shared" si="57"/>
        <v>1.2380569313265792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-3.6711753637064249E-13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550.66682372933292</v>
      </c>
      <c r="AO126" s="59">
        <f t="shared" si="90"/>
        <v>387.28615589698444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0.45425276479068349</v>
      </c>
      <c r="AV126" s="21">
        <f>EXP(-LN(2)/25)*AV125+(1-EXP(-LN(2)/25))/(LN(2)/25)*Calculateur!AQ126*Calculateur!AS126*VLOOKUP('Données projet'!$B$10,Paramètres!$A$1:$I$89,3,0)*0.475*44/12</f>
        <v>1.0186080673044735</v>
      </c>
      <c r="AW126" s="21">
        <f>EXP(-LN(2)/2)*AW125+(1-EXP(-LN(2)/2))/(LN(2)/2)*AQ126*AT126*VLOOKUP('Données projet'!$B$10,Paramètres!$A$1:$I$89,3,0)*0.475*44/12</f>
        <v>2.5765632832731077E-13</v>
      </c>
      <c r="AX126" s="21">
        <f t="shared" si="60"/>
        <v>1.4728608320954146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1.3301360013429075E-13</v>
      </c>
      <c r="BF126" s="13">
        <f t="shared" si="91"/>
        <v>1.9329766731057041E-12</v>
      </c>
      <c r="BG126" s="20">
        <f t="shared" si="61"/>
        <v>3.5982663925596575E-12</v>
      </c>
      <c r="BH126" s="59">
        <f t="shared" si="62"/>
        <v>293.3333333333369</v>
      </c>
      <c r="BI126" s="59">
        <f ca="1">AVERAGE(OFFSET($BH$3,0,0,'Données projet'!$E$11+1,1))-AVERAGE(OFFSET($H$3,0,0,'Données projet'!$E$11+1,1))</f>
        <v>376.33792692771908</v>
      </c>
      <c r="BJ126" s="59">
        <f t="shared" si="92"/>
        <v>367.92889258044698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0.22924246670337289</v>
      </c>
      <c r="BQ126" s="21">
        <f>EXP(-LN(2)/25)*BQ125+(1-EXP(-LN(2)/25))/(LN(2)/25)*Calculateur!BL126*Calculateur!BN126*VLOOKUP('Données projet'!$B$11,Paramètres!$A$1:$I$89,3,0)*0.475*44/12</f>
        <v>0.63523052971922311</v>
      </c>
      <c r="BR126" s="21">
        <f>EXP(-LN(2)/2)*BR125+(1-EXP(-LN(2)/2))/(LN(2)/2)*BL126*BO126*VLOOKUP('Données projet'!$B$11,Paramètres!$A$1:$I$89,3,0)*0.475*44/12</f>
        <v>1.3134694726964979E-13</v>
      </c>
      <c r="BS126" s="22">
        <f t="shared" si="63"/>
        <v>0.86447299642272735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-1.0286385077051818E-13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388.50131600273431</v>
      </c>
      <c r="CE126" s="59">
        <f t="shared" si="94"/>
        <v>247.01165577562955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0.23570089001778466</v>
      </c>
      <c r="CM126" s="21">
        <f>EXP(-LN(2)/2)*CM125+(1-EXP(-LN(2)/2))/(LN(2)/2)*CG126*CJ126*VLOOKUP('Données projet'!$B$12,Paramètres!$A$1:$I$89,3,0)*0.475*44/12</f>
        <v>6.2194229698615533E-14</v>
      </c>
      <c r="CN126" s="22">
        <f t="shared" si="66"/>
        <v>0.23570089001784686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-1.223725121235475E-13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454.43000549907373</v>
      </c>
      <c r="CZ126" s="59">
        <f t="shared" si="96"/>
        <v>285.83623046025156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0.28040278295219218</v>
      </c>
      <c r="DH126" s="21">
        <f>EXP(-LN(2)/2)*DH125+(1-EXP(-LN(2)/2))/(LN(2)/2)*DB126*DE126*VLOOKUP('Données projet'!$B$13,Paramètres!$A$1:$I$89,3,0)*0.475*44/12</f>
        <v>7.3989687055249642E-14</v>
      </c>
      <c r="DI126" s="22">
        <f t="shared" si="69"/>
        <v>0.28040278295226617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1.7053025658242404E-13</v>
      </c>
      <c r="DP126" s="17">
        <f>DO126*VLOOKUP('Données projet'!$B$14,Paramètres!$A$1:$I$89,3,0)*VLOOKUP('Données projet'!$B$14,Paramètres!$A$1:$I$89,5,0)</f>
        <v>1.3301360013429075E-13</v>
      </c>
      <c r="DQ126" s="13">
        <f t="shared" si="97"/>
        <v>1.9329766731057041E-12</v>
      </c>
      <c r="DR126" s="20">
        <f t="shared" si="70"/>
        <v>3.5982663925596575E-12</v>
      </c>
      <c r="DS126" s="59">
        <f t="shared" si="71"/>
        <v>293.3333333333369</v>
      </c>
      <c r="DT126" s="59">
        <f ca="1">AVERAGE(OFFSET($DS$3,0,0,'Données projet'!$E$14+1,1))-AVERAGE(OFFSET($H$3,0,0,'Données projet'!$E$14+1,1))</f>
        <v>376.33792692771908</v>
      </c>
      <c r="DU126" s="59">
        <f t="shared" si="98"/>
        <v>367.92889258044698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0.22924246670337289</v>
      </c>
      <c r="EB126" s="21">
        <f>EXP(-LN(2)/25)*EB125+(1-EXP(-LN(2)/25))/(LN(2)/25)*Calculateur!DW126*Calculateur!DY126*VLOOKUP('Données projet'!$B$14,Paramètres!$A$1:$I$89,3,0)*0.475*44/12</f>
        <v>0.63523052971922311</v>
      </c>
      <c r="EC126" s="21">
        <f>EXP(-LN(2)/2)*EC125+(1-EXP(-LN(2)/2))/(LN(2)/2)*DW126*DZ126*VLOOKUP('Données projet'!$B$14,Paramètres!$A$1:$I$89,3,0)*0.475*44/12</f>
        <v>1.3134694726964979E-13</v>
      </c>
      <c r="ED126" s="22">
        <f t="shared" si="72"/>
        <v>0.86447299642272735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-3.0859155231155454E-13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469.68830256438338</v>
      </c>
      <c r="T127" s="59">
        <f t="shared" si="88"/>
        <v>332.61387922152159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0.3743480930162037</v>
      </c>
      <c r="AA127" s="21">
        <f>EXP(-LN(2)/25)*AA126+(1-EXP(-LN(2)/25))/(LN(2)/25)*Calculateur!V127*Calculateur!X127*VLOOKUP('Données projet'!$B$9,Paramètres!$A$1:$I$89,3,0)*0.475*44/12</f>
        <v>0.83280785820275594</v>
      </c>
      <c r="AB127" s="21">
        <f>EXP(-LN(2)/2)*AB126+(1-EXP(-LN(2)/2))/(LN(2)/2)*V127*Y127*VLOOKUP('Données projet'!$B$9,Paramètres!$A$1:$I$89,3,0)*0.475*44/12</f>
        <v>1.5314566876232535E-13</v>
      </c>
      <c r="AC127" s="22">
        <f t="shared" si="57"/>
        <v>1.2071559512191128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-3.6711753637064249E-13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550.66682372933292</v>
      </c>
      <c r="AO127" s="59">
        <f t="shared" si="90"/>
        <v>387.28615589698444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0.44534514513996665</v>
      </c>
      <c r="AV127" s="21">
        <f>EXP(-LN(2)/25)*AV126+(1-EXP(-LN(2)/25))/(LN(2)/25)*Calculateur!AQ127*Calculateur!AS127*VLOOKUP('Données projet'!$B$10,Paramètres!$A$1:$I$89,3,0)*0.475*44/12</f>
        <v>0.99075417613776251</v>
      </c>
      <c r="AW127" s="21">
        <f>EXP(-LN(2)/2)*AW126+(1-EXP(-LN(2)/2))/(LN(2)/2)*AQ127*AT127*VLOOKUP('Données projet'!$B$10,Paramètres!$A$1:$I$89,3,0)*0.475*44/12</f>
        <v>1.8219053697586899E-13</v>
      </c>
      <c r="AX127" s="21">
        <f t="shared" si="60"/>
        <v>1.4360993212779114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1.3301360013429075E-13</v>
      </c>
      <c r="BF127" s="13">
        <f t="shared" si="91"/>
        <v>1.9329766731057041E-12</v>
      </c>
      <c r="BG127" s="20">
        <f t="shared" si="61"/>
        <v>3.5982663925596575E-12</v>
      </c>
      <c r="BH127" s="59">
        <f t="shared" si="62"/>
        <v>293.3333333333369</v>
      </c>
      <c r="BI127" s="59">
        <f ca="1">AVERAGE(OFFSET($BH$3,0,0,'Données projet'!$E$11+1,1))-AVERAGE(OFFSET($H$3,0,0,'Données projet'!$E$11+1,1))</f>
        <v>376.33792692771908</v>
      </c>
      <c r="BJ127" s="59">
        <f t="shared" si="92"/>
        <v>367.92889258044698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0.22474716175541795</v>
      </c>
      <c r="BQ127" s="21">
        <f>EXP(-LN(2)/25)*BQ126+(1-EXP(-LN(2)/25))/(LN(2)/25)*Calculateur!BL127*Calculateur!BN127*VLOOKUP('Données projet'!$B$11,Paramètres!$A$1:$I$89,3,0)*0.475*44/12</f>
        <v>0.61786011747872926</v>
      </c>
      <c r="BR127" s="21">
        <f>EXP(-LN(2)/2)*BR126+(1-EXP(-LN(2)/2))/(LN(2)/2)*BL127*BO127*VLOOKUP('Données projet'!$B$11,Paramètres!$A$1:$I$89,3,0)*0.475*44/12</f>
        <v>9.2876317102521251E-14</v>
      </c>
      <c r="BS127" s="22">
        <f t="shared" si="63"/>
        <v>0.84260727923424017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-1.0286385077051818E-13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388.50131600273431</v>
      </c>
      <c r="CE127" s="59">
        <f t="shared" si="94"/>
        <v>247.01165577562955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0.22925563678527724</v>
      </c>
      <c r="CM127" s="21">
        <f>EXP(-LN(2)/2)*CM126+(1-EXP(-LN(2)/2))/(LN(2)/2)*CG127*CJ127*VLOOKUP('Données projet'!$B$12,Paramètres!$A$1:$I$89,3,0)*0.475*44/12</f>
        <v>4.397796157056481E-14</v>
      </c>
      <c r="CN127" s="22">
        <f t="shared" si="66"/>
        <v>0.22925563678532121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-1.223725121235475E-13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454.43000549907373</v>
      </c>
      <c r="CZ127" s="59">
        <f t="shared" si="96"/>
        <v>285.83623046025156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0.27273515410662297</v>
      </c>
      <c r="DH127" s="21">
        <f>EXP(-LN(2)/2)*DH126+(1-EXP(-LN(2)/2))/(LN(2)/2)*DB127*DE127*VLOOKUP('Données projet'!$B$13,Paramètres!$A$1:$I$89,3,0)*0.475*44/12</f>
        <v>5.2318609454637537E-14</v>
      </c>
      <c r="DI127" s="22">
        <f t="shared" si="69"/>
        <v>0.27273515410667526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1.7053025658242404E-13</v>
      </c>
      <c r="DP127" s="17">
        <f>DO127*VLOOKUP('Données projet'!$B$14,Paramètres!$A$1:$I$89,3,0)*VLOOKUP('Données projet'!$B$14,Paramètres!$A$1:$I$89,5,0)</f>
        <v>1.3301360013429075E-13</v>
      </c>
      <c r="DQ127" s="13">
        <f t="shared" si="97"/>
        <v>1.9329766731057041E-12</v>
      </c>
      <c r="DR127" s="20">
        <f t="shared" si="70"/>
        <v>3.5982663925596575E-12</v>
      </c>
      <c r="DS127" s="59">
        <f t="shared" si="71"/>
        <v>293.3333333333369</v>
      </c>
      <c r="DT127" s="59">
        <f ca="1">AVERAGE(OFFSET($DS$3,0,0,'Données projet'!$E$14+1,1))-AVERAGE(OFFSET($H$3,0,0,'Données projet'!$E$14+1,1))</f>
        <v>376.33792692771908</v>
      </c>
      <c r="DU127" s="59">
        <f t="shared" si="98"/>
        <v>367.92889258044698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0.22474716175541795</v>
      </c>
      <c r="EB127" s="21">
        <f>EXP(-LN(2)/25)*EB126+(1-EXP(-LN(2)/25))/(LN(2)/25)*Calculateur!DW127*Calculateur!DY127*VLOOKUP('Données projet'!$B$14,Paramètres!$A$1:$I$89,3,0)*0.475*44/12</f>
        <v>0.61786011747872926</v>
      </c>
      <c r="EC127" s="21">
        <f>EXP(-LN(2)/2)*EC126+(1-EXP(-LN(2)/2))/(LN(2)/2)*DW127*DZ127*VLOOKUP('Données projet'!$B$14,Paramètres!$A$1:$I$89,3,0)*0.475*44/12</f>
        <v>9.2876317102521251E-14</v>
      </c>
      <c r="ED127" s="22">
        <f t="shared" si="72"/>
        <v>0.84260727923424017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-3.0859155231155454E-13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469.68830256438338</v>
      </c>
      <c r="T128" s="59">
        <f t="shared" si="88"/>
        <v>332.61387922152159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0.367007355241947</v>
      </c>
      <c r="AA128" s="21">
        <f>EXP(-LN(2)/25)*AA127+(1-EXP(-LN(2)/25))/(LN(2)/25)*Calculateur!V128*Calculateur!X128*VLOOKUP('Données projet'!$B$9,Paramètres!$A$1:$I$89,3,0)*0.475*44/12</f>
        <v>0.81003468352473973</v>
      </c>
      <c r="AB128" s="21">
        <f>EXP(-LN(2)/2)*AB127+(1-EXP(-LN(2)/2))/(LN(2)/2)*V128*Y128*VLOOKUP('Données projet'!$B$9,Paramètres!$A$1:$I$89,3,0)*0.475*44/12</f>
        <v>1.0829034089118908E-13</v>
      </c>
      <c r="AC128" s="22">
        <f t="shared" si="57"/>
        <v>1.177042038766795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-3.6711753637064249E-13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550.66682372933292</v>
      </c>
      <c r="AO128" s="59">
        <f t="shared" si="90"/>
        <v>387.28615589698444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0.43661219847748883</v>
      </c>
      <c r="AV128" s="21">
        <f>EXP(-LN(2)/25)*AV127+(1-EXP(-LN(2)/25))/(LN(2)/25)*Calculateur!AQ128*Calculateur!AS128*VLOOKUP('Données projet'!$B$10,Paramètres!$A$1:$I$89,3,0)*0.475*44/12</f>
        <v>0.9636619510897777</v>
      </c>
      <c r="AW128" s="21">
        <f>EXP(-LN(2)/2)*AW127+(1-EXP(-LN(2)/2))/(LN(2)/2)*AQ128*AT128*VLOOKUP('Données projet'!$B$10,Paramètres!$A$1:$I$89,3,0)*0.475*44/12</f>
        <v>1.2882816416365539E-13</v>
      </c>
      <c r="AX128" s="21">
        <f t="shared" si="60"/>
        <v>1.4002741495673954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1.3301360013429075E-13</v>
      </c>
      <c r="BF128" s="13">
        <f t="shared" si="91"/>
        <v>1.9329766731057041E-12</v>
      </c>
      <c r="BG128" s="20">
        <f t="shared" si="61"/>
        <v>3.5982663925596575E-12</v>
      </c>
      <c r="BH128" s="59">
        <f t="shared" si="62"/>
        <v>293.3333333333369</v>
      </c>
      <c r="BI128" s="59">
        <f ca="1">AVERAGE(OFFSET($BH$3,0,0,'Données projet'!$E$11+1,1))-AVERAGE(OFFSET($H$3,0,0,'Données projet'!$E$11+1,1))</f>
        <v>376.33792692771908</v>
      </c>
      <c r="BJ128" s="59">
        <f t="shared" si="92"/>
        <v>367.92889258044698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0.22034000699562714</v>
      </c>
      <c r="BQ128" s="21">
        <f>EXP(-LN(2)/25)*BQ127+(1-EXP(-LN(2)/25))/(LN(2)/25)*Calculateur!BL128*Calculateur!BN128*VLOOKUP('Données projet'!$B$11,Paramètres!$A$1:$I$89,3,0)*0.475*44/12</f>
        <v>0.60096470007442193</v>
      </c>
      <c r="BR128" s="21">
        <f>EXP(-LN(2)/2)*BR127+(1-EXP(-LN(2)/2))/(LN(2)/2)*BL128*BO128*VLOOKUP('Données projet'!$B$11,Paramètres!$A$1:$I$89,3,0)*0.475*44/12</f>
        <v>6.5673473634824895E-14</v>
      </c>
      <c r="BS128" s="22">
        <f t="shared" si="63"/>
        <v>0.82130470707011483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-1.0286385077051818E-13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388.50131600273431</v>
      </c>
      <c r="CE128" s="59">
        <f t="shared" si="94"/>
        <v>247.01165577562955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0.22298662934135388</v>
      </c>
      <c r="CM128" s="21">
        <f>EXP(-LN(2)/2)*CM127+(1-EXP(-LN(2)/2))/(LN(2)/2)*CG128*CJ128*VLOOKUP('Données projet'!$B$12,Paramètres!$A$1:$I$89,3,0)*0.475*44/12</f>
        <v>3.1097114849307767E-14</v>
      </c>
      <c r="CN128" s="22">
        <f t="shared" si="66"/>
        <v>0.22298662934138497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-1.223725121235475E-13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454.43000549907373</v>
      </c>
      <c r="CZ128" s="59">
        <f t="shared" si="96"/>
        <v>285.83623046025156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0.26527719697505897</v>
      </c>
      <c r="DH128" s="21">
        <f>EXP(-LN(2)/2)*DH127+(1-EXP(-LN(2)/2))/(LN(2)/2)*DB128*DE128*VLOOKUP('Données projet'!$B$13,Paramètres!$A$1:$I$89,3,0)*0.475*44/12</f>
        <v>3.6994843527624821E-14</v>
      </c>
      <c r="DI128" s="22">
        <f t="shared" si="69"/>
        <v>0.26527719697509594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1.7053025658242404E-13</v>
      </c>
      <c r="DP128" s="17">
        <f>DO128*VLOOKUP('Données projet'!$B$14,Paramètres!$A$1:$I$89,3,0)*VLOOKUP('Données projet'!$B$14,Paramètres!$A$1:$I$89,5,0)</f>
        <v>1.3301360013429075E-13</v>
      </c>
      <c r="DQ128" s="13">
        <f t="shared" si="97"/>
        <v>1.9329766731057041E-12</v>
      </c>
      <c r="DR128" s="20">
        <f t="shared" si="70"/>
        <v>3.5982663925596575E-12</v>
      </c>
      <c r="DS128" s="59">
        <f t="shared" si="71"/>
        <v>293.3333333333369</v>
      </c>
      <c r="DT128" s="59">
        <f ca="1">AVERAGE(OFFSET($DS$3,0,0,'Données projet'!$E$14+1,1))-AVERAGE(OFFSET($H$3,0,0,'Données projet'!$E$14+1,1))</f>
        <v>376.33792692771908</v>
      </c>
      <c r="DU128" s="59">
        <f t="shared" si="98"/>
        <v>367.92889258044698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0.22034000699562714</v>
      </c>
      <c r="EB128" s="21">
        <f>EXP(-LN(2)/25)*EB127+(1-EXP(-LN(2)/25))/(LN(2)/25)*Calculateur!DW128*Calculateur!DY128*VLOOKUP('Données projet'!$B$14,Paramètres!$A$1:$I$89,3,0)*0.475*44/12</f>
        <v>0.60096470007442193</v>
      </c>
      <c r="EC128" s="21">
        <f>EXP(-LN(2)/2)*EC127+(1-EXP(-LN(2)/2))/(LN(2)/2)*DW128*DZ128*VLOOKUP('Données projet'!$B$14,Paramètres!$A$1:$I$89,3,0)*0.475*44/12</f>
        <v>6.5673473634824895E-14</v>
      </c>
      <c r="ED128" s="22">
        <f t="shared" si="72"/>
        <v>0.82130470707011483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-3.0859155231155454E-13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469.68830256438338</v>
      </c>
      <c r="T129" s="59">
        <f t="shared" si="88"/>
        <v>332.61387922152159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0.35981056485803553</v>
      </c>
      <c r="AA129" s="21">
        <f>EXP(-LN(2)/25)*AA128+(1-EXP(-LN(2)/25))/(LN(2)/25)*Calculateur!V129*Calculateur!X129*VLOOKUP('Données projet'!$B$9,Paramètres!$A$1:$I$89,3,0)*0.475*44/12</f>
        <v>0.78788424250588307</v>
      </c>
      <c r="AB129" s="21">
        <f>EXP(-LN(2)/2)*AB128+(1-EXP(-LN(2)/2))/(LN(2)/2)*V129*Y129*VLOOKUP('Données projet'!$B$9,Paramètres!$A$1:$I$89,3,0)*0.475*44/12</f>
        <v>7.6572834381162674E-14</v>
      </c>
      <c r="AC129" s="22">
        <f t="shared" si="57"/>
        <v>1.1476948073639952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-3.6711753637064249E-13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550.66682372933292</v>
      </c>
      <c r="AO129" s="59">
        <f t="shared" si="90"/>
        <v>387.28615589698444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0.42805049957249069</v>
      </c>
      <c r="AV129" s="21">
        <f>EXP(-LN(2)/25)*AV128+(1-EXP(-LN(2)/25))/(LN(2)/25)*Calculateur!AQ129*Calculateur!AS129*VLOOKUP('Données projet'!$B$10,Paramètres!$A$1:$I$89,3,0)*0.475*44/12</f>
        <v>0.93731056436044824</v>
      </c>
      <c r="AW129" s="21">
        <f>EXP(-LN(2)/2)*AW128+(1-EXP(-LN(2)/2))/(LN(2)/2)*AQ129*AT129*VLOOKUP('Données projet'!$B$10,Paramètres!$A$1:$I$89,3,0)*0.475*44/12</f>
        <v>9.1095268487934493E-14</v>
      </c>
      <c r="AX129" s="21">
        <f t="shared" si="60"/>
        <v>1.36536106393303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1.3301360013429075E-13</v>
      </c>
      <c r="BF129" s="13">
        <f t="shared" si="91"/>
        <v>1.9329766731057041E-12</v>
      </c>
      <c r="BG129" s="20">
        <f t="shared" si="61"/>
        <v>3.5982663925596575E-12</v>
      </c>
      <c r="BH129" s="59">
        <f t="shared" si="62"/>
        <v>293.3333333333369</v>
      </c>
      <c r="BI129" s="59">
        <f ca="1">AVERAGE(OFFSET($BH$3,0,0,'Données projet'!$E$11+1,1))-AVERAGE(OFFSET($H$3,0,0,'Données projet'!$E$11+1,1))</f>
        <v>376.33792692771908</v>
      </c>
      <c r="BJ129" s="59">
        <f t="shared" si="92"/>
        <v>367.92889258044698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0.21601927385257685</v>
      </c>
      <c r="BQ129" s="21">
        <f>EXP(-LN(2)/25)*BQ128+(1-EXP(-LN(2)/25))/(LN(2)/25)*Calculateur!BL129*Calculateur!BN129*VLOOKUP('Données projet'!$B$11,Paramètres!$A$1:$I$89,3,0)*0.475*44/12</f>
        <v>0.5845312887475268</v>
      </c>
      <c r="BR129" s="21">
        <f>EXP(-LN(2)/2)*BR128+(1-EXP(-LN(2)/2))/(LN(2)/2)*BL129*BO129*VLOOKUP('Données projet'!$B$11,Paramètres!$A$1:$I$89,3,0)*0.475*44/12</f>
        <v>4.6438158551260626E-14</v>
      </c>
      <c r="BS129" s="22">
        <f t="shared" si="63"/>
        <v>0.80055056260015012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-1.0286385077051818E-13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388.50131600273431</v>
      </c>
      <c r="CE129" s="59">
        <f t="shared" si="94"/>
        <v>247.01165577562955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0.21688904823565736</v>
      </c>
      <c r="CM129" s="21">
        <f>EXP(-LN(2)/2)*CM128+(1-EXP(-LN(2)/2))/(LN(2)/2)*CG129*CJ129*VLOOKUP('Données projet'!$B$12,Paramètres!$A$1:$I$89,3,0)*0.475*44/12</f>
        <v>2.1988980785282405E-14</v>
      </c>
      <c r="CN129" s="22">
        <f t="shared" si="66"/>
        <v>0.21688904823567934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-1.223725121235475E-13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454.43000549907373</v>
      </c>
      <c r="CZ129" s="59">
        <f t="shared" si="96"/>
        <v>285.83623046025156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0.25802317807345448</v>
      </c>
      <c r="DH129" s="21">
        <f>EXP(-LN(2)/2)*DH128+(1-EXP(-LN(2)/2))/(LN(2)/2)*DB129*DE129*VLOOKUP('Données projet'!$B$13,Paramètres!$A$1:$I$89,3,0)*0.475*44/12</f>
        <v>2.6159304727318769E-14</v>
      </c>
      <c r="DI129" s="22">
        <f t="shared" si="69"/>
        <v>0.25802317807348063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1.7053025658242404E-13</v>
      </c>
      <c r="DP129" s="17">
        <f>DO129*VLOOKUP('Données projet'!$B$14,Paramètres!$A$1:$I$89,3,0)*VLOOKUP('Données projet'!$B$14,Paramètres!$A$1:$I$89,5,0)</f>
        <v>1.3301360013429075E-13</v>
      </c>
      <c r="DQ129" s="13">
        <f t="shared" si="97"/>
        <v>1.9329766731057041E-12</v>
      </c>
      <c r="DR129" s="20">
        <f t="shared" si="70"/>
        <v>3.5982663925596575E-12</v>
      </c>
      <c r="DS129" s="59">
        <f t="shared" si="71"/>
        <v>293.3333333333369</v>
      </c>
      <c r="DT129" s="59">
        <f ca="1">AVERAGE(OFFSET($DS$3,0,0,'Données projet'!$E$14+1,1))-AVERAGE(OFFSET($H$3,0,0,'Données projet'!$E$14+1,1))</f>
        <v>376.33792692771908</v>
      </c>
      <c r="DU129" s="59">
        <f t="shared" si="98"/>
        <v>367.92889258044698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0.21601927385257685</v>
      </c>
      <c r="EB129" s="21">
        <f>EXP(-LN(2)/25)*EB128+(1-EXP(-LN(2)/25))/(LN(2)/25)*Calculateur!DW129*Calculateur!DY129*VLOOKUP('Données projet'!$B$14,Paramètres!$A$1:$I$89,3,0)*0.475*44/12</f>
        <v>0.5845312887475268</v>
      </c>
      <c r="EC129" s="21">
        <f>EXP(-LN(2)/2)*EC128+(1-EXP(-LN(2)/2))/(LN(2)/2)*DW129*DZ129*VLOOKUP('Données projet'!$B$14,Paramètres!$A$1:$I$89,3,0)*0.475*44/12</f>
        <v>4.6438158551260626E-14</v>
      </c>
      <c r="ED129" s="22">
        <f t="shared" si="72"/>
        <v>0.80055056260015012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-3.0859155231155454E-13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469.68830256438338</v>
      </c>
      <c r="T130" s="59">
        <f t="shared" si="88"/>
        <v>332.61387922152159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0.35275489914394387</v>
      </c>
      <c r="AA130" s="21">
        <f>EXP(-LN(2)/25)*AA129+(1-EXP(-LN(2)/25))/(LN(2)/25)*Calculateur!V130*Calculateur!X130*VLOOKUP('Données projet'!$B$9,Paramètres!$A$1:$I$89,3,0)*0.475*44/12</f>
        <v>0.76633950646152815</v>
      </c>
      <c r="AB130" s="21">
        <f>EXP(-LN(2)/2)*AB129+(1-EXP(-LN(2)/2))/(LN(2)/2)*V130*Y130*VLOOKUP('Données projet'!$B$9,Paramètres!$A$1:$I$89,3,0)*0.475*44/12</f>
        <v>5.4145170445594539E-14</v>
      </c>
      <c r="AC130" s="22">
        <f t="shared" si="57"/>
        <v>1.1190944056055261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-3.6711753637064249E-13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550.66682372933292</v>
      </c>
      <c r="AO130" s="59">
        <f t="shared" si="90"/>
        <v>387.28615589698444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0.41965669036089887</v>
      </c>
      <c r="AV130" s="21">
        <f>EXP(-LN(2)/25)*AV129+(1-EXP(-LN(2)/25))/(LN(2)/25)*Calculateur!AQ130*Calculateur!AS130*VLOOKUP('Données projet'!$B$10,Paramètres!$A$1:$I$89,3,0)*0.475*44/12</f>
        <v>0.9116797576869915</v>
      </c>
      <c r="AW130" s="21">
        <f>EXP(-LN(2)/2)*AW129+(1-EXP(-LN(2)/2))/(LN(2)/2)*AQ130*AT130*VLOOKUP('Données projet'!$B$10,Paramètres!$A$1:$I$89,3,0)*0.475*44/12</f>
        <v>6.4414082081827693E-14</v>
      </c>
      <c r="AX130" s="21">
        <f t="shared" si="60"/>
        <v>1.3313364480479548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1.3301360013429075E-13</v>
      </c>
      <c r="BF130" s="13">
        <f t="shared" si="91"/>
        <v>1.9329766731057041E-12</v>
      </c>
      <c r="BG130" s="20">
        <f t="shared" si="61"/>
        <v>3.5982663925596575E-12</v>
      </c>
      <c r="BH130" s="59">
        <f t="shared" si="62"/>
        <v>293.3333333333369</v>
      </c>
      <c r="BI130" s="59">
        <f ca="1">AVERAGE(OFFSET($BH$3,0,0,'Données projet'!$E$11+1,1))-AVERAGE(OFFSET($H$3,0,0,'Données projet'!$E$11+1,1))</f>
        <v>376.33792692771908</v>
      </c>
      <c r="BJ130" s="59">
        <f t="shared" si="92"/>
        <v>367.92889258044698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0.21178326765107477</v>
      </c>
      <c r="BQ130" s="21">
        <f>EXP(-LN(2)/25)*BQ129+(1-EXP(-LN(2)/25))/(LN(2)/25)*Calculateur!BL130*Calculateur!BN130*VLOOKUP('Données projet'!$B$11,Paramètres!$A$1:$I$89,3,0)*0.475*44/12</f>
        <v>0.56854724991756111</v>
      </c>
      <c r="BR130" s="21">
        <f>EXP(-LN(2)/2)*BR129+(1-EXP(-LN(2)/2))/(LN(2)/2)*BL130*BO130*VLOOKUP('Données projet'!$B$11,Paramètres!$A$1:$I$89,3,0)*0.475*44/12</f>
        <v>3.2836736817412447E-14</v>
      </c>
      <c r="BS130" s="22">
        <f t="shared" si="63"/>
        <v>0.78033051756866878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-1.0286385077051818E-13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388.50131600273431</v>
      </c>
      <c r="CE130" s="59">
        <f t="shared" si="94"/>
        <v>247.01165577562955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0.21095820580595395</v>
      </c>
      <c r="CM130" s="21">
        <f>EXP(-LN(2)/2)*CM129+(1-EXP(-LN(2)/2))/(LN(2)/2)*CG130*CJ130*VLOOKUP('Données projet'!$B$12,Paramètres!$A$1:$I$89,3,0)*0.475*44/12</f>
        <v>1.5548557424653883E-14</v>
      </c>
      <c r="CN130" s="22">
        <f t="shared" si="66"/>
        <v>0.2109582058059695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-1.223725121235475E-13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454.43000549907373</v>
      </c>
      <c r="CZ130" s="59">
        <f t="shared" si="96"/>
        <v>285.83623046025156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0.25096752070018663</v>
      </c>
      <c r="DH130" s="21">
        <f>EXP(-LN(2)/2)*DH129+(1-EXP(-LN(2)/2))/(LN(2)/2)*DB130*DE130*VLOOKUP('Données projet'!$B$13,Paramètres!$A$1:$I$89,3,0)*0.475*44/12</f>
        <v>1.8497421763812411E-14</v>
      </c>
      <c r="DI130" s="22">
        <f t="shared" si="69"/>
        <v>0.25096752070020512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1.7053025658242404E-13</v>
      </c>
      <c r="DP130" s="17">
        <f>DO130*VLOOKUP('Données projet'!$B$14,Paramètres!$A$1:$I$89,3,0)*VLOOKUP('Données projet'!$B$14,Paramètres!$A$1:$I$89,5,0)</f>
        <v>1.3301360013429075E-13</v>
      </c>
      <c r="DQ130" s="13">
        <f t="shared" si="97"/>
        <v>1.9329766731057041E-12</v>
      </c>
      <c r="DR130" s="20">
        <f t="shared" si="70"/>
        <v>3.5982663925596575E-12</v>
      </c>
      <c r="DS130" s="59">
        <f t="shared" si="71"/>
        <v>293.3333333333369</v>
      </c>
      <c r="DT130" s="59">
        <f ca="1">AVERAGE(OFFSET($DS$3,0,0,'Données projet'!$E$14+1,1))-AVERAGE(OFFSET($H$3,0,0,'Données projet'!$E$14+1,1))</f>
        <v>376.33792692771908</v>
      </c>
      <c r="DU130" s="59">
        <f t="shared" si="98"/>
        <v>367.92889258044698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0.21178326765107477</v>
      </c>
      <c r="EB130" s="21">
        <f>EXP(-LN(2)/25)*EB129+(1-EXP(-LN(2)/25))/(LN(2)/25)*Calculateur!DW130*Calculateur!DY130*VLOOKUP('Données projet'!$B$14,Paramètres!$A$1:$I$89,3,0)*0.475*44/12</f>
        <v>0.56854724991756111</v>
      </c>
      <c r="EC130" s="21">
        <f>EXP(-LN(2)/2)*EC129+(1-EXP(-LN(2)/2))/(LN(2)/2)*DW130*DZ130*VLOOKUP('Données projet'!$B$14,Paramètres!$A$1:$I$89,3,0)*0.475*44/12</f>
        <v>3.2836736817412447E-14</v>
      </c>
      <c r="ED130" s="22">
        <f t="shared" si="72"/>
        <v>0.78033051756866878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-3.0859155231155454E-13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469.68830256438338</v>
      </c>
      <c r="T131" s="59">
        <f t="shared" si="88"/>
        <v>332.61387922152159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0.34583759073097442</v>
      </c>
      <c r="AA131" s="21">
        <f>EXP(-LN(2)/25)*AA130+(1-EXP(-LN(2)/25))/(LN(2)/25)*Calculateur!V131*Calculateur!X131*VLOOKUP('Données projet'!$B$9,Paramètres!$A$1:$I$89,3,0)*0.475*44/12</f>
        <v>0.74538391235729451</v>
      </c>
      <c r="AB131" s="21">
        <f>EXP(-LN(2)/2)*AB130+(1-EXP(-LN(2)/2))/(LN(2)/2)*V131*Y131*VLOOKUP('Données projet'!$B$9,Paramètres!$A$1:$I$89,3,0)*0.475*44/12</f>
        <v>3.8286417190581337E-14</v>
      </c>
      <c r="AC131" s="22">
        <f t="shared" si="57"/>
        <v>1.091221503088307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-3.6711753637064249E-13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550.66682372933292</v>
      </c>
      <c r="AO131" s="59">
        <f t="shared" si="90"/>
        <v>387.28615589698444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0.41142747862822826</v>
      </c>
      <c r="AV131" s="21">
        <f>EXP(-LN(2)/25)*AV130+(1-EXP(-LN(2)/25))/(LN(2)/25)*Calculateur!AQ131*Calculateur!AS131*VLOOKUP('Données projet'!$B$10,Paramètres!$A$1:$I$89,3,0)*0.475*44/12</f>
        <v>0.8867498267698859</v>
      </c>
      <c r="AW131" s="21">
        <f>EXP(-LN(2)/2)*AW130+(1-EXP(-LN(2)/2))/(LN(2)/2)*AQ131*AT131*VLOOKUP('Données projet'!$B$10,Paramètres!$A$1:$I$89,3,0)*0.475*44/12</f>
        <v>4.5547634243967247E-14</v>
      </c>
      <c r="AX131" s="21">
        <f t="shared" si="60"/>
        <v>1.2981773053981598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1.3301360013429075E-13</v>
      </c>
      <c r="BF131" s="13">
        <f t="shared" si="91"/>
        <v>1.9329766731057041E-12</v>
      </c>
      <c r="BG131" s="20">
        <f t="shared" si="61"/>
        <v>3.5982663925596575E-12</v>
      </c>
      <c r="BH131" s="59">
        <f t="shared" si="62"/>
        <v>293.3333333333369</v>
      </c>
      <c r="BI131" s="59">
        <f ca="1">AVERAGE(OFFSET($BH$3,0,0,'Données projet'!$E$11+1,1))-AVERAGE(OFFSET($H$3,0,0,'Données projet'!$E$11+1,1))</f>
        <v>376.33792692771908</v>
      </c>
      <c r="BJ131" s="59">
        <f t="shared" si="92"/>
        <v>367.92889258044698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0.20763032694747549</v>
      </c>
      <c r="BQ131" s="21">
        <f>EXP(-LN(2)/25)*BQ130+(1-EXP(-LN(2)/25))/(LN(2)/25)*Calculateur!BL131*Calculateur!BN131*VLOOKUP('Données projet'!$B$11,Paramètres!$A$1:$I$89,3,0)*0.475*44/12</f>
        <v>0.55300029546996499</v>
      </c>
      <c r="BR131" s="21">
        <f>EXP(-LN(2)/2)*BR130+(1-EXP(-LN(2)/2))/(LN(2)/2)*BL131*BO131*VLOOKUP('Données projet'!$B$11,Paramètres!$A$1:$I$89,3,0)*0.475*44/12</f>
        <v>2.3219079275630313E-14</v>
      </c>
      <c r="BS131" s="22">
        <f t="shared" si="63"/>
        <v>0.76063062241746371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-1.0286385077051818E-13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388.50131600273431</v>
      </c>
      <c r="CE131" s="59">
        <f t="shared" si="94"/>
        <v>247.01165577562955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0.20518954257438024</v>
      </c>
      <c r="CM131" s="21">
        <f>EXP(-LN(2)/2)*CM130+(1-EXP(-LN(2)/2))/(LN(2)/2)*CG131*CJ131*VLOOKUP('Données projet'!$B$12,Paramètres!$A$1:$I$89,3,0)*0.475*44/12</f>
        <v>1.0994490392641203E-14</v>
      </c>
      <c r="CN131" s="22">
        <f t="shared" si="66"/>
        <v>0.20518954257439123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-1.223725121235475E-13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454.43000549907373</v>
      </c>
      <c r="CZ131" s="59">
        <f t="shared" si="96"/>
        <v>285.83623046025156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0.24410480064883172</v>
      </c>
      <c r="DH131" s="21">
        <f>EXP(-LN(2)/2)*DH130+(1-EXP(-LN(2)/2))/(LN(2)/2)*DB131*DE131*VLOOKUP('Données projet'!$B$13,Paramètres!$A$1:$I$89,3,0)*0.475*44/12</f>
        <v>1.3079652363659384E-14</v>
      </c>
      <c r="DI131" s="22">
        <f t="shared" si="69"/>
        <v>0.24410480064884479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1.7053025658242404E-13</v>
      </c>
      <c r="DP131" s="17">
        <f>DO131*VLOOKUP('Données projet'!$B$14,Paramètres!$A$1:$I$89,3,0)*VLOOKUP('Données projet'!$B$14,Paramètres!$A$1:$I$89,5,0)</f>
        <v>1.3301360013429075E-13</v>
      </c>
      <c r="DQ131" s="13">
        <f t="shared" si="97"/>
        <v>1.9329766731057041E-12</v>
      </c>
      <c r="DR131" s="20">
        <f t="shared" si="70"/>
        <v>3.5982663925596575E-12</v>
      </c>
      <c r="DS131" s="59">
        <f t="shared" si="71"/>
        <v>293.3333333333369</v>
      </c>
      <c r="DT131" s="59">
        <f ca="1">AVERAGE(OFFSET($DS$3,0,0,'Données projet'!$E$14+1,1))-AVERAGE(OFFSET($H$3,0,0,'Données projet'!$E$14+1,1))</f>
        <v>376.33792692771908</v>
      </c>
      <c r="DU131" s="59">
        <f t="shared" si="98"/>
        <v>367.92889258044698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0.20763032694747549</v>
      </c>
      <c r="EB131" s="21">
        <f>EXP(-LN(2)/25)*EB130+(1-EXP(-LN(2)/25))/(LN(2)/25)*Calculateur!DW131*Calculateur!DY131*VLOOKUP('Données projet'!$B$14,Paramètres!$A$1:$I$89,3,0)*0.475*44/12</f>
        <v>0.55300029546996499</v>
      </c>
      <c r="EC131" s="21">
        <f>EXP(-LN(2)/2)*EC130+(1-EXP(-LN(2)/2))/(LN(2)/2)*DW131*DZ131*VLOOKUP('Données projet'!$B$14,Paramètres!$A$1:$I$89,3,0)*0.475*44/12</f>
        <v>2.3219079275630313E-14</v>
      </c>
      <c r="ED131" s="22">
        <f t="shared" si="72"/>
        <v>0.76063062241746371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-3.0859155231155454E-13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469.68830256438338</v>
      </c>
      <c r="T132" s="59">
        <f t="shared" si="88"/>
        <v>332.61387922152159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0.33905592651684174</v>
      </c>
      <c r="AA132" s="21">
        <f>EXP(-LN(2)/25)*AA131+(1-EXP(-LN(2)/25))/(LN(2)/25)*Calculateur!V132*Calculateur!X132*VLOOKUP('Données projet'!$B$9,Paramètres!$A$1:$I$89,3,0)*0.475*44/12</f>
        <v>0.72500135007584798</v>
      </c>
      <c r="AB132" s="21">
        <f>EXP(-LN(2)/2)*AB131+(1-EXP(-LN(2)/2))/(LN(2)/2)*V132*Y132*VLOOKUP('Données projet'!$B$9,Paramètres!$A$1:$I$89,3,0)*0.475*44/12</f>
        <v>2.7072585222797269E-14</v>
      </c>
      <c r="AC132" s="22">
        <f t="shared" ref="AC132:AC153" si="111">SUM(Z132:AB132)</f>
        <v>1.0640572765927168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-3.6711753637064249E-13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550.66682372933292</v>
      </c>
      <c r="AO132" s="59">
        <f t="shared" si="90"/>
        <v>387.28615589698444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0.40335963671831182</v>
      </c>
      <c r="AV132" s="21">
        <f>EXP(-LN(2)/25)*AV131+(1-EXP(-LN(2)/25))/(LN(2)/25)*Calculateur!AQ132*Calculateur!AS132*VLOOKUP('Données projet'!$B$10,Paramètres!$A$1:$I$89,3,0)*0.475*44/12</f>
        <v>0.86250160612471671</v>
      </c>
      <c r="AW132" s="21">
        <f>EXP(-LN(2)/2)*AW131+(1-EXP(-LN(2)/2))/(LN(2)/2)*AQ132*AT132*VLOOKUP('Données projet'!$B$10,Paramètres!$A$1:$I$89,3,0)*0.475*44/12</f>
        <v>3.2207041040913847E-14</v>
      </c>
      <c r="AX132" s="21">
        <f t="shared" ref="AX132:AX153" si="114">SUM(AU132:AW132)</f>
        <v>1.2658612428430607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1.3301360013429075E-13</v>
      </c>
      <c r="BF132" s="13">
        <f t="shared" si="91"/>
        <v>1.9329766731057041E-12</v>
      </c>
      <c r="BG132" s="20">
        <f t="shared" ref="BG132:BG153" si="115">(BE132+BF132)*0.475*44/12</f>
        <v>3.5982663925596575E-12</v>
      </c>
      <c r="BH132" s="59">
        <f t="shared" ref="BH132:BH195" si="116">BG132+(AY132+AZ132)*44/12</f>
        <v>293.3333333333369</v>
      </c>
      <c r="BI132" s="59">
        <f ca="1">AVERAGE(OFFSET($BH$3,0,0,'Données projet'!$E$11+1,1))-AVERAGE(OFFSET($H$3,0,0,'Données projet'!$E$11+1,1))</f>
        <v>376.33792692771908</v>
      </c>
      <c r="BJ132" s="59">
        <f t="shared" si="92"/>
        <v>367.92889258044698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0.20355882287803007</v>
      </c>
      <c r="BQ132" s="21">
        <f>EXP(-LN(2)/25)*BQ131+(1-EXP(-LN(2)/25))/(LN(2)/25)*Calculateur!BL132*Calculateur!BN132*VLOOKUP('Données projet'!$B$11,Paramètres!$A$1:$I$89,3,0)*0.475*44/12</f>
        <v>0.53787847330931715</v>
      </c>
      <c r="BR132" s="21">
        <f>EXP(-LN(2)/2)*BR131+(1-EXP(-LN(2)/2))/(LN(2)/2)*BL132*BO132*VLOOKUP('Données projet'!$B$11,Paramètres!$A$1:$I$89,3,0)*0.475*44/12</f>
        <v>1.6418368408706224E-14</v>
      </c>
      <c r="BS132" s="22">
        <f t="shared" ref="BS132:BS153" si="117">SUM(BP132:BR132)</f>
        <v>0.74143729618736365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-1.0286385077051818E-13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388.50131600273431</v>
      </c>
      <c r="CE132" s="59">
        <f t="shared" si="94"/>
        <v>247.01165577562955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0.19957862374223473</v>
      </c>
      <c r="CM132" s="21">
        <f>EXP(-LN(2)/2)*CM131+(1-EXP(-LN(2)/2))/(LN(2)/2)*CG132*CJ132*VLOOKUP('Données projet'!$B$12,Paramètres!$A$1:$I$89,3,0)*0.475*44/12</f>
        <v>7.7742787123269417E-15</v>
      </c>
      <c r="CN132" s="22">
        <f t="shared" ref="CN132:CN153" si="120">SUM(CK132:CM132)</f>
        <v>0.1995786237422425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-1.223725121235475E-13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454.43000549907373</v>
      </c>
      <c r="CZ132" s="59">
        <f t="shared" si="96"/>
        <v>285.83623046025156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0.23742974203817585</v>
      </c>
      <c r="DH132" s="21">
        <f>EXP(-LN(2)/2)*DH131+(1-EXP(-LN(2)/2))/(LN(2)/2)*DB132*DE132*VLOOKUP('Données projet'!$B$13,Paramètres!$A$1:$I$89,3,0)*0.475*44/12</f>
        <v>9.2487108819062053E-15</v>
      </c>
      <c r="DI132" s="22">
        <f t="shared" ref="DI132:DI153" si="123">SUM(DF132:DH132)</f>
        <v>0.23742974203818509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1.7053025658242404E-13</v>
      </c>
      <c r="DP132" s="17">
        <f>DO132*VLOOKUP('Données projet'!$B$14,Paramètres!$A$1:$I$89,3,0)*VLOOKUP('Données projet'!$B$14,Paramètres!$A$1:$I$89,5,0)</f>
        <v>1.3301360013429075E-13</v>
      </c>
      <c r="DQ132" s="13">
        <f t="shared" si="97"/>
        <v>1.9329766731057041E-12</v>
      </c>
      <c r="DR132" s="20">
        <f t="shared" ref="DR132:DR153" si="124">(DP132+DQ132)*0.475*44/12</f>
        <v>3.5982663925596575E-12</v>
      </c>
      <c r="DS132" s="59">
        <f t="shared" ref="DS132:DS195" si="125">DR132+(DJ132+DK132)*44/12</f>
        <v>293.3333333333369</v>
      </c>
      <c r="DT132" s="59">
        <f ca="1">AVERAGE(OFFSET($DS$3,0,0,'Données projet'!$E$14+1,1))-AVERAGE(OFFSET($H$3,0,0,'Données projet'!$E$14+1,1))</f>
        <v>376.33792692771908</v>
      </c>
      <c r="DU132" s="59">
        <f t="shared" si="98"/>
        <v>367.92889258044698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0.20355882287803007</v>
      </c>
      <c r="EB132" s="21">
        <f>EXP(-LN(2)/25)*EB131+(1-EXP(-LN(2)/25))/(LN(2)/25)*Calculateur!DW132*Calculateur!DY132*VLOOKUP('Données projet'!$B$14,Paramètres!$A$1:$I$89,3,0)*0.475*44/12</f>
        <v>0.53787847330931715</v>
      </c>
      <c r="EC132" s="21">
        <f>EXP(-LN(2)/2)*EC131+(1-EXP(-LN(2)/2))/(LN(2)/2)*DW132*DZ132*VLOOKUP('Données projet'!$B$14,Paramètres!$A$1:$I$89,3,0)*0.475*44/12</f>
        <v>1.6418368408706224E-14</v>
      </c>
      <c r="ED132" s="22">
        <f t="shared" ref="ED132:ED153" si="126">SUM(EA132:EC132)</f>
        <v>0.74143729618736365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-3.0859155231155454E-13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469.68830256438338</v>
      </c>
      <c r="T133" s="59">
        <f t="shared" ref="T133:T196" si="142">$T$3</f>
        <v>332.61387922152159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0.33240724660154147</v>
      </c>
      <c r="AA133" s="21">
        <f>EXP(-LN(2)/25)*AA132+(1-EXP(-LN(2)/25))/(LN(2)/25)*Calculateur!V133*Calculateur!X133*VLOOKUP('Données projet'!$B$9,Paramètres!$A$1:$I$89,3,0)*0.475*44/12</f>
        <v>0.70517615003185996</v>
      </c>
      <c r="AB133" s="21">
        <f>EXP(-LN(2)/2)*AB132+(1-EXP(-LN(2)/2))/(LN(2)/2)*V133*Y133*VLOOKUP('Données projet'!$B$9,Paramètres!$A$1:$I$89,3,0)*0.475*44/12</f>
        <v>1.9143208595290668E-14</v>
      </c>
      <c r="AC133" s="22">
        <f t="shared" si="111"/>
        <v>1.0375833966334205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-3.6711753637064249E-13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550.66682372933292</v>
      </c>
      <c r="AO133" s="59">
        <f t="shared" ref="AO133:AO196" si="144">$AO$3</f>
        <v>387.28615589698444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0.39545000026735116</v>
      </c>
      <c r="AV133" s="21">
        <f>EXP(-LN(2)/25)*AV132+(1-EXP(-LN(2)/25))/(LN(2)/25)*Calculateur!AQ133*Calculateur!AS133*VLOOKUP('Données projet'!$B$10,Paramètres!$A$1:$I$89,3,0)*0.475*44/12</f>
        <v>0.83891645434824813</v>
      </c>
      <c r="AW133" s="21">
        <f>EXP(-LN(2)/2)*AW132+(1-EXP(-LN(2)/2))/(LN(2)/2)*AQ133*AT133*VLOOKUP('Données projet'!$B$10,Paramètres!$A$1:$I$89,3,0)*0.475*44/12</f>
        <v>2.2773817121983623E-14</v>
      </c>
      <c r="AX133" s="21">
        <f t="shared" si="114"/>
        <v>1.2343664546156221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1.3301360013429075E-13</v>
      </c>
      <c r="BF133" s="13">
        <f t="shared" ref="BF133:BF153" si="145">EXP(-1.0587+0.8836*LN(BE133)+0.284)</f>
        <v>1.9329766731057041E-12</v>
      </c>
      <c r="BG133" s="20">
        <f t="shared" si="115"/>
        <v>3.5982663925596575E-12</v>
      </c>
      <c r="BH133" s="59">
        <f t="shared" si="116"/>
        <v>293.3333333333369</v>
      </c>
      <c r="BI133" s="59">
        <f ca="1">AVERAGE(OFFSET($BH$3,0,0,'Données projet'!$E$11+1,1))-AVERAGE(OFFSET($H$3,0,0,'Données projet'!$E$11+1,1))</f>
        <v>376.33792692771908</v>
      </c>
      <c r="BJ133" s="59">
        <f t="shared" ref="BJ133:BJ196" si="146">$BJ$3</f>
        <v>367.92889258044698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0.19956715852001419</v>
      </c>
      <c r="BQ133" s="21">
        <f>EXP(-LN(2)/25)*BQ132+(1-EXP(-LN(2)/25))/(LN(2)/25)*Calculateur!BL133*Calculateur!BN133*VLOOKUP('Données projet'!$B$11,Paramètres!$A$1:$I$89,3,0)*0.475*44/12</f>
        <v>0.52317015817087431</v>
      </c>
      <c r="BR133" s="21">
        <f>EXP(-LN(2)/2)*BR132+(1-EXP(-LN(2)/2))/(LN(2)/2)*BL133*BO133*VLOOKUP('Données projet'!$B$11,Paramètres!$A$1:$I$89,3,0)*0.475*44/12</f>
        <v>1.1609539637815156E-14</v>
      </c>
      <c r="BS133" s="22">
        <f t="shared" si="117"/>
        <v>0.72273731669090013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-1.0286385077051818E-13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388.50131600273431</v>
      </c>
      <c r="CE133" s="59">
        <f t="shared" ref="CE133:CE196" si="148">$CE$3</f>
        <v>247.01165577562955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0.19412113578061965</v>
      </c>
      <c r="CM133" s="21">
        <f>EXP(-LN(2)/2)*CM132+(1-EXP(-LN(2)/2))/(LN(2)/2)*CG133*CJ133*VLOOKUP('Données projet'!$B$12,Paramètres!$A$1:$I$89,3,0)*0.475*44/12</f>
        <v>5.4972451963206013E-15</v>
      </c>
      <c r="CN133" s="22">
        <f t="shared" si="120"/>
        <v>0.19412113578062515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-1.223725121235475E-13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454.43000549907373</v>
      </c>
      <c r="CZ133" s="59">
        <f t="shared" ref="CZ133:CZ196" si="150">$CZ$3</f>
        <v>285.83623046025156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0.23093721325625446</v>
      </c>
      <c r="DH133" s="21">
        <f>EXP(-LN(2)/2)*DH132+(1-EXP(-LN(2)/2))/(LN(2)/2)*DB133*DE133*VLOOKUP('Données projet'!$B$13,Paramètres!$A$1:$I$89,3,0)*0.475*44/12</f>
        <v>6.5398261818296922E-15</v>
      </c>
      <c r="DI133" s="22">
        <f t="shared" si="123"/>
        <v>0.23093721325626101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1.7053025658242404E-13</v>
      </c>
      <c r="DP133" s="17">
        <f>DO133*VLOOKUP('Données projet'!$B$14,Paramètres!$A$1:$I$89,3,0)*VLOOKUP('Données projet'!$B$14,Paramètres!$A$1:$I$89,5,0)</f>
        <v>1.3301360013429075E-13</v>
      </c>
      <c r="DQ133" s="13">
        <f t="shared" ref="DQ133:DQ153" si="151">EXP(-1.0587+0.8836*LN(DP133)+0.284)</f>
        <v>1.9329766731057041E-12</v>
      </c>
      <c r="DR133" s="20">
        <f t="shared" si="124"/>
        <v>3.5982663925596575E-12</v>
      </c>
      <c r="DS133" s="59">
        <f t="shared" si="125"/>
        <v>293.3333333333369</v>
      </c>
      <c r="DT133" s="59">
        <f ca="1">AVERAGE(OFFSET($DS$3,0,0,'Données projet'!$E$14+1,1))-AVERAGE(OFFSET($H$3,0,0,'Données projet'!$E$14+1,1))</f>
        <v>376.33792692771908</v>
      </c>
      <c r="DU133" s="59">
        <f t="shared" ref="DU133:DU196" si="152">$DU$3</f>
        <v>367.92889258044698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0.19956715852001419</v>
      </c>
      <c r="EB133" s="21">
        <f>EXP(-LN(2)/25)*EB132+(1-EXP(-LN(2)/25))/(LN(2)/25)*Calculateur!DW133*Calculateur!DY133*VLOOKUP('Données projet'!$B$14,Paramètres!$A$1:$I$89,3,0)*0.475*44/12</f>
        <v>0.52317015817087431</v>
      </c>
      <c r="EC133" s="21">
        <f>EXP(-LN(2)/2)*EC132+(1-EXP(-LN(2)/2))/(LN(2)/2)*DW133*DZ133*VLOOKUP('Données projet'!$B$14,Paramètres!$A$1:$I$89,3,0)*0.475*44/12</f>
        <v>1.1609539637815156E-14</v>
      </c>
      <c r="ED133" s="22">
        <f t="shared" si="126"/>
        <v>0.72273731669090013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-3.0859155231155454E-13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469.68830256438338</v>
      </c>
      <c r="T134" s="59">
        <f t="shared" si="142"/>
        <v>332.61387922152159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0.3258889432440859</v>
      </c>
      <c r="AA134" s="21">
        <f>EXP(-LN(2)/25)*AA133+(1-EXP(-LN(2)/25))/(LN(2)/25)*Calculateur!V134*Calculateur!X134*VLOOKUP('Données projet'!$B$9,Paramètres!$A$1:$I$89,3,0)*0.475*44/12</f>
        <v>0.68589307112563669</v>
      </c>
      <c r="AB134" s="21">
        <f>EXP(-LN(2)/2)*AB133+(1-EXP(-LN(2)/2))/(LN(2)/2)*V134*Y134*VLOOKUP('Données projet'!$B$9,Paramètres!$A$1:$I$89,3,0)*0.475*44/12</f>
        <v>1.3536292611398635E-14</v>
      </c>
      <c r="AC134" s="22">
        <f t="shared" si="111"/>
        <v>1.011782014369736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-3.6711753637064249E-13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550.66682372933292</v>
      </c>
      <c r="AO134" s="59">
        <f t="shared" si="144"/>
        <v>387.28615589698444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0.387695466962792</v>
      </c>
      <c r="AV134" s="21">
        <f>EXP(-LN(2)/25)*AV133+(1-EXP(-LN(2)/25))/(LN(2)/25)*Calculateur!AQ134*Calculateur!AS134*VLOOKUP('Données projet'!$B$10,Paramètres!$A$1:$I$89,3,0)*0.475*44/12</f>
        <v>0.81597623978739631</v>
      </c>
      <c r="AW134" s="21">
        <f>EXP(-LN(2)/2)*AW133+(1-EXP(-LN(2)/2))/(LN(2)/2)*AQ134*AT134*VLOOKUP('Données projet'!$B$10,Paramètres!$A$1:$I$89,3,0)*0.475*44/12</f>
        <v>1.6103520520456923E-14</v>
      </c>
      <c r="AX134" s="21">
        <f t="shared" si="114"/>
        <v>1.2036717067502045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1.3301360013429075E-13</v>
      </c>
      <c r="BF134" s="13">
        <f t="shared" si="145"/>
        <v>1.9329766731057041E-12</v>
      </c>
      <c r="BG134" s="20">
        <f t="shared" si="115"/>
        <v>3.5982663925596575E-12</v>
      </c>
      <c r="BH134" s="59">
        <f t="shared" si="116"/>
        <v>293.3333333333369</v>
      </c>
      <c r="BI134" s="59">
        <f ca="1">AVERAGE(OFFSET($BH$3,0,0,'Données projet'!$E$11+1,1))-AVERAGE(OFFSET($H$3,0,0,'Données projet'!$E$11+1,1))</f>
        <v>376.33792692771908</v>
      </c>
      <c r="BJ134" s="59">
        <f t="shared" si="146"/>
        <v>367.92889258044698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0.19565376826538416</v>
      </c>
      <c r="BQ134" s="21">
        <f>EXP(-LN(2)/25)*BQ133+(1-EXP(-LN(2)/25))/(LN(2)/25)*Calculateur!BL134*Calculateur!BN134*VLOOKUP('Données projet'!$B$11,Paramètres!$A$1:$I$89,3,0)*0.475*44/12</f>
        <v>0.50886404268336882</v>
      </c>
      <c r="BR134" s="21">
        <f>EXP(-LN(2)/2)*BR133+(1-EXP(-LN(2)/2))/(LN(2)/2)*BL134*BO134*VLOOKUP('Données projet'!$B$11,Paramètres!$A$1:$I$89,3,0)*0.475*44/12</f>
        <v>8.2091842043531118E-15</v>
      </c>
      <c r="BS134" s="22">
        <f t="shared" si="117"/>
        <v>0.7045178109487612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-1.0286385077051818E-13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388.50131600273431</v>
      </c>
      <c r="CE134" s="59">
        <f t="shared" si="148"/>
        <v>247.01165577562955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0.18881288311431174</v>
      </c>
      <c r="CM134" s="21">
        <f>EXP(-LN(2)/2)*CM133+(1-EXP(-LN(2)/2))/(LN(2)/2)*CG134*CJ134*VLOOKUP('Données projet'!$B$12,Paramètres!$A$1:$I$89,3,0)*0.475*44/12</f>
        <v>3.8871393561634708E-15</v>
      </c>
      <c r="CN134" s="22">
        <f t="shared" si="120"/>
        <v>0.18881288311431563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-1.223725121235475E-13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454.43000549907373</v>
      </c>
      <c r="CZ134" s="59">
        <f t="shared" si="150"/>
        <v>285.83623046025156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0.22462222301530196</v>
      </c>
      <c r="DH134" s="21">
        <f>EXP(-LN(2)/2)*DH133+(1-EXP(-LN(2)/2))/(LN(2)/2)*DB134*DE134*VLOOKUP('Données projet'!$B$13,Paramètres!$A$1:$I$89,3,0)*0.475*44/12</f>
        <v>4.6243554409531026E-15</v>
      </c>
      <c r="DI134" s="22">
        <f t="shared" si="123"/>
        <v>0.2246222230153066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1.7053025658242404E-13</v>
      </c>
      <c r="DP134" s="17">
        <f>DO134*VLOOKUP('Données projet'!$B$14,Paramètres!$A$1:$I$89,3,0)*VLOOKUP('Données projet'!$B$14,Paramètres!$A$1:$I$89,5,0)</f>
        <v>1.3301360013429075E-13</v>
      </c>
      <c r="DQ134" s="13">
        <f t="shared" si="151"/>
        <v>1.9329766731057041E-12</v>
      </c>
      <c r="DR134" s="20">
        <f t="shared" si="124"/>
        <v>3.5982663925596575E-12</v>
      </c>
      <c r="DS134" s="59">
        <f t="shared" si="125"/>
        <v>293.3333333333369</v>
      </c>
      <c r="DT134" s="59">
        <f ca="1">AVERAGE(OFFSET($DS$3,0,0,'Données projet'!$E$14+1,1))-AVERAGE(OFFSET($H$3,0,0,'Données projet'!$E$14+1,1))</f>
        <v>376.33792692771908</v>
      </c>
      <c r="DU134" s="59">
        <f t="shared" si="152"/>
        <v>367.92889258044698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0.19565376826538416</v>
      </c>
      <c r="EB134" s="21">
        <f>EXP(-LN(2)/25)*EB133+(1-EXP(-LN(2)/25))/(LN(2)/25)*Calculateur!DW134*Calculateur!DY134*VLOOKUP('Données projet'!$B$14,Paramètres!$A$1:$I$89,3,0)*0.475*44/12</f>
        <v>0.50886404268336882</v>
      </c>
      <c r="EC134" s="21">
        <f>EXP(-LN(2)/2)*EC133+(1-EXP(-LN(2)/2))/(LN(2)/2)*DW134*DZ134*VLOOKUP('Données projet'!$B$14,Paramètres!$A$1:$I$89,3,0)*0.475*44/12</f>
        <v>8.2091842043531118E-15</v>
      </c>
      <c r="ED134" s="22">
        <f t="shared" si="126"/>
        <v>0.7045178109487612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-3.0859155231155454E-13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469.68830256438338</v>
      </c>
      <c r="T135" s="59">
        <f t="shared" si="142"/>
        <v>332.61387922152159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0.3194984598396976</v>
      </c>
      <c r="AA135" s="21">
        <f>EXP(-LN(2)/25)*AA134+(1-EXP(-LN(2)/25))/(LN(2)/25)*Calculateur!V135*Calculateur!X135*VLOOKUP('Données projet'!$B$9,Paramètres!$A$1:$I$89,3,0)*0.475*44/12</f>
        <v>0.66713728902615721</v>
      </c>
      <c r="AB135" s="21">
        <f>EXP(-LN(2)/2)*AB134+(1-EXP(-LN(2)/2))/(LN(2)/2)*V135*Y135*VLOOKUP('Données projet'!$B$9,Paramètres!$A$1:$I$89,3,0)*0.475*44/12</f>
        <v>9.5716042976453342E-15</v>
      </c>
      <c r="AC135" s="22">
        <f t="shared" si="111"/>
        <v>0.98663574886586436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-3.6711753637064249E-13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550.66682372933292</v>
      </c>
      <c r="AO135" s="59">
        <f t="shared" si="144"/>
        <v>387.28615589698444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0.38009299532653695</v>
      </c>
      <c r="AV135" s="21">
        <f>EXP(-LN(2)/25)*AV134+(1-EXP(-LN(2)/25))/(LN(2)/25)*Calculateur!AQ135*Calculateur!AS135*VLOOKUP('Données projet'!$B$10,Paramètres!$A$1:$I$89,3,0)*0.475*44/12</f>
        <v>0.79366332660008443</v>
      </c>
      <c r="AW135" s="21">
        <f>EXP(-LN(2)/2)*AW134+(1-EXP(-LN(2)/2))/(LN(2)/2)*AQ135*AT135*VLOOKUP('Données projet'!$B$10,Paramètres!$A$1:$I$89,3,0)*0.475*44/12</f>
        <v>1.1386908560991812E-14</v>
      </c>
      <c r="AX135" s="21">
        <f t="shared" si="114"/>
        <v>1.1737563219266327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1.3301360013429075E-13</v>
      </c>
      <c r="BF135" s="13">
        <f t="shared" si="145"/>
        <v>1.9329766731057041E-12</v>
      </c>
      <c r="BG135" s="20">
        <f t="shared" si="115"/>
        <v>3.5982663925596575E-12</v>
      </c>
      <c r="BH135" s="59">
        <f t="shared" si="116"/>
        <v>293.3333333333369</v>
      </c>
      <c r="BI135" s="59">
        <f ca="1">AVERAGE(OFFSET($BH$3,0,0,'Données projet'!$E$11+1,1))-AVERAGE(OFFSET($H$3,0,0,'Données projet'!$E$11+1,1))</f>
        <v>376.33792692771908</v>
      </c>
      <c r="BJ135" s="59">
        <f t="shared" si="146"/>
        <v>367.92889258044698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0.19181711720671507</v>
      </c>
      <c r="BQ135" s="21">
        <f>EXP(-LN(2)/25)*BQ134+(1-EXP(-LN(2)/25))/(LN(2)/25)*Calculateur!BL135*Calculateur!BN135*VLOOKUP('Données projet'!$B$11,Paramètres!$A$1:$I$89,3,0)*0.475*44/12</f>
        <v>0.49494912867619512</v>
      </c>
      <c r="BR135" s="21">
        <f>EXP(-LN(2)/2)*BR134+(1-EXP(-LN(2)/2))/(LN(2)/2)*BL135*BO135*VLOOKUP('Données projet'!$B$11,Paramètres!$A$1:$I$89,3,0)*0.475*44/12</f>
        <v>5.8047698189075782E-15</v>
      </c>
      <c r="BS135" s="22">
        <f t="shared" si="117"/>
        <v>0.68676624588291602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-1.0286385077051818E-13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388.50131600273431</v>
      </c>
      <c r="CE135" s="59">
        <f t="shared" si="148"/>
        <v>247.01165577562955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0.1836497848963129</v>
      </c>
      <c r="CM135" s="21">
        <f>EXP(-LN(2)/2)*CM134+(1-EXP(-LN(2)/2))/(LN(2)/2)*CG135*CJ135*VLOOKUP('Données projet'!$B$12,Paramètres!$A$1:$I$89,3,0)*0.475*44/12</f>
        <v>2.7486225981603006E-15</v>
      </c>
      <c r="CN135" s="22">
        <f t="shared" si="120"/>
        <v>0.18364978489631564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-1.223725121235475E-13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454.43000549907373</v>
      </c>
      <c r="CZ135" s="59">
        <f t="shared" si="150"/>
        <v>285.83623046025156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0.21847991651457921</v>
      </c>
      <c r="DH135" s="21">
        <f>EXP(-LN(2)/2)*DH134+(1-EXP(-LN(2)/2))/(LN(2)/2)*DB135*DE135*VLOOKUP('Données projet'!$B$13,Paramètres!$A$1:$I$89,3,0)*0.475*44/12</f>
        <v>3.2699130909148461E-15</v>
      </c>
      <c r="DI135" s="22">
        <f t="shared" si="123"/>
        <v>0.21847991651458248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1.7053025658242404E-13</v>
      </c>
      <c r="DP135" s="17">
        <f>DO135*VLOOKUP('Données projet'!$B$14,Paramètres!$A$1:$I$89,3,0)*VLOOKUP('Données projet'!$B$14,Paramètres!$A$1:$I$89,5,0)</f>
        <v>1.3301360013429075E-13</v>
      </c>
      <c r="DQ135" s="13">
        <f t="shared" si="151"/>
        <v>1.9329766731057041E-12</v>
      </c>
      <c r="DR135" s="20">
        <f t="shared" si="124"/>
        <v>3.5982663925596575E-12</v>
      </c>
      <c r="DS135" s="59">
        <f t="shared" si="125"/>
        <v>293.3333333333369</v>
      </c>
      <c r="DT135" s="59">
        <f ca="1">AVERAGE(OFFSET($DS$3,0,0,'Données projet'!$E$14+1,1))-AVERAGE(OFFSET($H$3,0,0,'Données projet'!$E$14+1,1))</f>
        <v>376.33792692771908</v>
      </c>
      <c r="DU135" s="59">
        <f t="shared" si="152"/>
        <v>367.92889258044698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0.19181711720671507</v>
      </c>
      <c r="EB135" s="21">
        <f>EXP(-LN(2)/25)*EB134+(1-EXP(-LN(2)/25))/(LN(2)/25)*Calculateur!DW135*Calculateur!DY135*VLOOKUP('Données projet'!$B$14,Paramètres!$A$1:$I$89,3,0)*0.475*44/12</f>
        <v>0.49494912867619512</v>
      </c>
      <c r="EC135" s="21">
        <f>EXP(-LN(2)/2)*EC134+(1-EXP(-LN(2)/2))/(LN(2)/2)*DW135*DZ135*VLOOKUP('Données projet'!$B$14,Paramètres!$A$1:$I$89,3,0)*0.475*44/12</f>
        <v>5.8047698189075782E-15</v>
      </c>
      <c r="ED135" s="22">
        <f t="shared" si="126"/>
        <v>0.68676624588291602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-3.0859155231155454E-13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469.68830256438338</v>
      </c>
      <c r="T136" s="59">
        <f t="shared" si="142"/>
        <v>332.61387922152159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0.31323328991705934</v>
      </c>
      <c r="AA136" s="21">
        <f>EXP(-LN(2)/25)*AA135+(1-EXP(-LN(2)/25))/(LN(2)/25)*Calculateur!V136*Calculateur!X136*VLOOKUP('Données projet'!$B$9,Paramètres!$A$1:$I$89,3,0)*0.475*44/12</f>
        <v>0.64889438477451167</v>
      </c>
      <c r="AB136" s="21">
        <f>EXP(-LN(2)/2)*AB135+(1-EXP(-LN(2)/2))/(LN(2)/2)*V136*Y136*VLOOKUP('Données projet'!$B$9,Paramètres!$A$1:$I$89,3,0)*0.475*44/12</f>
        <v>6.7681463056993173E-15</v>
      </c>
      <c r="AC136" s="22">
        <f t="shared" si="111"/>
        <v>0.96212767469157778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-3.6711753637064249E-13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550.66682372933292</v>
      </c>
      <c r="AO136" s="59">
        <f t="shared" si="144"/>
        <v>387.28615589698444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0.37263960352201903</v>
      </c>
      <c r="AV136" s="21">
        <f>EXP(-LN(2)/25)*AV135+(1-EXP(-LN(2)/25))/(LN(2)/25)*Calculateur!AQ136*Calculateur!AS136*VLOOKUP('Données projet'!$B$10,Paramètres!$A$1:$I$89,3,0)*0.475*44/12</f>
        <v>0.77196056119726475</v>
      </c>
      <c r="AW136" s="21">
        <f>EXP(-LN(2)/2)*AW135+(1-EXP(-LN(2)/2))/(LN(2)/2)*AQ136*AT136*VLOOKUP('Données projet'!$B$10,Paramètres!$A$1:$I$89,3,0)*0.475*44/12</f>
        <v>8.0517602602284617E-15</v>
      </c>
      <c r="AX136" s="21">
        <f t="shared" si="114"/>
        <v>1.1446001647192918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1.3301360013429075E-13</v>
      </c>
      <c r="BF136" s="13">
        <f t="shared" si="145"/>
        <v>1.9329766731057041E-12</v>
      </c>
      <c r="BG136" s="20">
        <f t="shared" si="115"/>
        <v>3.5982663925596575E-12</v>
      </c>
      <c r="BH136" s="59">
        <f t="shared" si="116"/>
        <v>293.3333333333369</v>
      </c>
      <c r="BI136" s="59">
        <f ca="1">AVERAGE(OFFSET($BH$3,0,0,'Données projet'!$E$11+1,1))-AVERAGE(OFFSET($H$3,0,0,'Données projet'!$E$11+1,1))</f>
        <v>376.33792692771908</v>
      </c>
      <c r="BJ136" s="59">
        <f t="shared" si="146"/>
        <v>367.92889258044698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0.18805570053518039</v>
      </c>
      <c r="BQ136" s="21">
        <f>EXP(-LN(2)/25)*BQ135+(1-EXP(-LN(2)/25))/(LN(2)/25)*Calculateur!BL136*Calculateur!BN136*VLOOKUP('Données projet'!$B$11,Paramètres!$A$1:$I$89,3,0)*0.475*44/12</f>
        <v>0.48141471872430108</v>
      </c>
      <c r="BR136" s="21">
        <f>EXP(-LN(2)/2)*BR135+(1-EXP(-LN(2)/2))/(LN(2)/2)*BL136*BO136*VLOOKUP('Données projet'!$B$11,Paramètres!$A$1:$I$89,3,0)*0.475*44/12</f>
        <v>4.1045921021765559E-15</v>
      </c>
      <c r="BS136" s="22">
        <f t="shared" si="117"/>
        <v>0.66947041925948558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-1.0286385077051818E-13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388.50131600273431</v>
      </c>
      <c r="CE136" s="59">
        <f t="shared" si="148"/>
        <v>247.01165577562955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0.17862787187060078</v>
      </c>
      <c r="CM136" s="21">
        <f>EXP(-LN(2)/2)*CM135+(1-EXP(-LN(2)/2))/(LN(2)/2)*CG136*CJ136*VLOOKUP('Données projet'!$B$12,Paramètres!$A$1:$I$89,3,0)*0.475*44/12</f>
        <v>1.9435696780817354E-15</v>
      </c>
      <c r="CN136" s="22">
        <f t="shared" si="120"/>
        <v>0.17862787187060272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-1.223725121235475E-13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454.43000549907373</v>
      </c>
      <c r="CZ136" s="59">
        <f t="shared" si="150"/>
        <v>285.83623046025156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0.21250557170812856</v>
      </c>
      <c r="DH136" s="21">
        <f>EXP(-LN(2)/2)*DH135+(1-EXP(-LN(2)/2))/(LN(2)/2)*DB136*DE136*VLOOKUP('Données projet'!$B$13,Paramètres!$A$1:$I$89,3,0)*0.475*44/12</f>
        <v>2.3121777204765513E-15</v>
      </c>
      <c r="DI136" s="22">
        <f t="shared" si="123"/>
        <v>0.21250557170813086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1.7053025658242404E-13</v>
      </c>
      <c r="DP136" s="17">
        <f>DO136*VLOOKUP('Données projet'!$B$14,Paramètres!$A$1:$I$89,3,0)*VLOOKUP('Données projet'!$B$14,Paramètres!$A$1:$I$89,5,0)</f>
        <v>1.3301360013429075E-13</v>
      </c>
      <c r="DQ136" s="13">
        <f t="shared" si="151"/>
        <v>1.9329766731057041E-12</v>
      </c>
      <c r="DR136" s="20">
        <f t="shared" si="124"/>
        <v>3.5982663925596575E-12</v>
      </c>
      <c r="DS136" s="59">
        <f t="shared" si="125"/>
        <v>293.3333333333369</v>
      </c>
      <c r="DT136" s="59">
        <f ca="1">AVERAGE(OFFSET($DS$3,0,0,'Données projet'!$E$14+1,1))-AVERAGE(OFFSET($H$3,0,0,'Données projet'!$E$14+1,1))</f>
        <v>376.33792692771908</v>
      </c>
      <c r="DU136" s="59">
        <f t="shared" si="152"/>
        <v>367.92889258044698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0.18805570053518039</v>
      </c>
      <c r="EB136" s="21">
        <f>EXP(-LN(2)/25)*EB135+(1-EXP(-LN(2)/25))/(LN(2)/25)*Calculateur!DW136*Calculateur!DY136*VLOOKUP('Données projet'!$B$14,Paramètres!$A$1:$I$89,3,0)*0.475*44/12</f>
        <v>0.48141471872430108</v>
      </c>
      <c r="EC136" s="21">
        <f>EXP(-LN(2)/2)*EC135+(1-EXP(-LN(2)/2))/(LN(2)/2)*DW136*DZ136*VLOOKUP('Données projet'!$B$14,Paramètres!$A$1:$I$89,3,0)*0.475*44/12</f>
        <v>4.1045921021765559E-15</v>
      </c>
      <c r="ED136" s="22">
        <f t="shared" si="126"/>
        <v>0.66947041925948558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-3.0859155231155454E-13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469.68830256438338</v>
      </c>
      <c r="T137" s="59">
        <f t="shared" si="142"/>
        <v>332.61387922152159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0.30709097615522768</v>
      </c>
      <c r="AA137" s="21">
        <f>EXP(-LN(2)/25)*AA136+(1-EXP(-LN(2)/25))/(LN(2)/25)*Calculateur!V137*Calculateur!X137*VLOOKUP('Données projet'!$B$9,Paramètres!$A$1:$I$89,3,0)*0.475*44/12</f>
        <v>0.63115033369897999</v>
      </c>
      <c r="AB137" s="21">
        <f>EXP(-LN(2)/2)*AB136+(1-EXP(-LN(2)/2))/(LN(2)/2)*V137*Y137*VLOOKUP('Données projet'!$B$9,Paramètres!$A$1:$I$89,3,0)*0.475*44/12</f>
        <v>4.7858021488226671E-15</v>
      </c>
      <c r="AC137" s="22">
        <f t="shared" si="111"/>
        <v>0.9382413098542125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-3.6711753637064249E-13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550.66682372933292</v>
      </c>
      <c r="AO137" s="59">
        <f t="shared" si="144"/>
        <v>387.28615589698444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0.36533236818466758</v>
      </c>
      <c r="AV137" s="21">
        <f>EXP(-LN(2)/25)*AV136+(1-EXP(-LN(2)/25))/(LN(2)/25)*Calculateur!AQ137*Calculateur!AS137*VLOOKUP('Données projet'!$B$10,Paramètres!$A$1:$I$89,3,0)*0.475*44/12</f>
        <v>0.75085125905568395</v>
      </c>
      <c r="AW137" s="21">
        <f>EXP(-LN(2)/2)*AW136+(1-EXP(-LN(2)/2))/(LN(2)/2)*AQ137*AT137*VLOOKUP('Données projet'!$B$10,Paramètres!$A$1:$I$89,3,0)*0.475*44/12</f>
        <v>5.6934542804959058E-15</v>
      </c>
      <c r="AX137" s="21">
        <f t="shared" si="114"/>
        <v>1.1161836272403574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1.3301360013429075E-13</v>
      </c>
      <c r="BF137" s="13">
        <f t="shared" si="145"/>
        <v>1.9329766731057041E-12</v>
      </c>
      <c r="BG137" s="20">
        <f t="shared" si="115"/>
        <v>3.5982663925596575E-12</v>
      </c>
      <c r="BH137" s="59">
        <f t="shared" si="116"/>
        <v>293.3333333333369</v>
      </c>
      <c r="BI137" s="59">
        <f ca="1">AVERAGE(OFFSET($BH$3,0,0,'Données projet'!$E$11+1,1))-AVERAGE(OFFSET($H$3,0,0,'Données projet'!$E$11+1,1))</f>
        <v>376.33792692771908</v>
      </c>
      <c r="BJ137" s="59">
        <f t="shared" si="146"/>
        <v>367.92889258044698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0.18436804295033687</v>
      </c>
      <c r="BQ137" s="21">
        <f>EXP(-LN(2)/25)*BQ136+(1-EXP(-LN(2)/25))/(LN(2)/25)*Calculateur!BL137*Calculateur!BN137*VLOOKUP('Données projet'!$B$11,Paramètres!$A$1:$I$89,3,0)*0.475*44/12</f>
        <v>0.46825040792428529</v>
      </c>
      <c r="BR137" s="21">
        <f>EXP(-LN(2)/2)*BR136+(1-EXP(-LN(2)/2))/(LN(2)/2)*BL137*BO137*VLOOKUP('Données projet'!$B$11,Paramètres!$A$1:$I$89,3,0)*0.475*44/12</f>
        <v>2.9023849094537891E-15</v>
      </c>
      <c r="BS137" s="22">
        <f t="shared" si="117"/>
        <v>0.65261845087462511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-1.0286385077051818E-13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388.50131600273431</v>
      </c>
      <c r="CE137" s="59">
        <f t="shared" si="148"/>
        <v>247.01165577562955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0.17374328332066769</v>
      </c>
      <c r="CM137" s="21">
        <f>EXP(-LN(2)/2)*CM136+(1-EXP(-LN(2)/2))/(LN(2)/2)*CG137*CJ137*VLOOKUP('Données projet'!$B$12,Paramètres!$A$1:$I$89,3,0)*0.475*44/12</f>
        <v>1.3743112990801503E-15</v>
      </c>
      <c r="CN137" s="22">
        <f t="shared" si="120"/>
        <v>0.17374328332066907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-1.223725121235475E-13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454.43000549907373</v>
      </c>
      <c r="CZ137" s="59">
        <f t="shared" si="150"/>
        <v>285.83623046025156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0.20669459567458745</v>
      </c>
      <c r="DH137" s="21">
        <f>EXP(-LN(2)/2)*DH136+(1-EXP(-LN(2)/2))/(LN(2)/2)*DB137*DE137*VLOOKUP('Données projet'!$B$13,Paramètres!$A$1:$I$89,3,0)*0.475*44/12</f>
        <v>1.634956545457423E-15</v>
      </c>
      <c r="DI137" s="22">
        <f t="shared" si="123"/>
        <v>0.20669459567458909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1.7053025658242404E-13</v>
      </c>
      <c r="DP137" s="17">
        <f>DO137*VLOOKUP('Données projet'!$B$14,Paramètres!$A$1:$I$89,3,0)*VLOOKUP('Données projet'!$B$14,Paramètres!$A$1:$I$89,5,0)</f>
        <v>1.3301360013429075E-13</v>
      </c>
      <c r="DQ137" s="13">
        <f t="shared" si="151"/>
        <v>1.9329766731057041E-12</v>
      </c>
      <c r="DR137" s="20">
        <f t="shared" si="124"/>
        <v>3.5982663925596575E-12</v>
      </c>
      <c r="DS137" s="59">
        <f t="shared" si="125"/>
        <v>293.3333333333369</v>
      </c>
      <c r="DT137" s="59">
        <f ca="1">AVERAGE(OFFSET($DS$3,0,0,'Données projet'!$E$14+1,1))-AVERAGE(OFFSET($H$3,0,0,'Données projet'!$E$14+1,1))</f>
        <v>376.33792692771908</v>
      </c>
      <c r="DU137" s="59">
        <f t="shared" si="152"/>
        <v>367.92889258044698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0.18436804295033687</v>
      </c>
      <c r="EB137" s="21">
        <f>EXP(-LN(2)/25)*EB136+(1-EXP(-LN(2)/25))/(LN(2)/25)*Calculateur!DW137*Calculateur!DY137*VLOOKUP('Données projet'!$B$14,Paramètres!$A$1:$I$89,3,0)*0.475*44/12</f>
        <v>0.46825040792428529</v>
      </c>
      <c r="EC137" s="21">
        <f>EXP(-LN(2)/2)*EC136+(1-EXP(-LN(2)/2))/(LN(2)/2)*DW137*DZ137*VLOOKUP('Données projet'!$B$14,Paramètres!$A$1:$I$89,3,0)*0.475*44/12</f>
        <v>2.9023849094537891E-15</v>
      </c>
      <c r="ED137" s="22">
        <f t="shared" si="126"/>
        <v>0.65261845087462511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-3.0859155231155454E-13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469.68830256438338</v>
      </c>
      <c r="T138" s="59">
        <f t="shared" si="142"/>
        <v>332.61387922152159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0.30106910941982407</v>
      </c>
      <c r="AA138" s="21">
        <f>EXP(-LN(2)/25)*AA137+(1-EXP(-LN(2)/25))/(LN(2)/25)*Calculateur!V138*Calculateur!X138*VLOOKUP('Données projet'!$B$9,Paramètres!$A$1:$I$89,3,0)*0.475*44/12</f>
        <v>0.6138914946332279</v>
      </c>
      <c r="AB138" s="21">
        <f>EXP(-LN(2)/2)*AB137+(1-EXP(-LN(2)/2))/(LN(2)/2)*V138*Y138*VLOOKUP('Données projet'!$B$9,Paramètres!$A$1:$I$89,3,0)*0.475*44/12</f>
        <v>3.3840731528496587E-15</v>
      </c>
      <c r="AC138" s="22">
        <f t="shared" si="111"/>
        <v>0.91496060405305535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-3.6711753637064249E-13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550.66682372933292</v>
      </c>
      <c r="AO138" s="59">
        <f t="shared" si="144"/>
        <v>387.28615589698444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0.35816842327530812</v>
      </c>
      <c r="AV138" s="21">
        <f>EXP(-LN(2)/25)*AV137+(1-EXP(-LN(2)/25))/(LN(2)/25)*Calculateur!AQ138*Calculateur!AS138*VLOOKUP('Données projet'!$B$10,Paramètres!$A$1:$I$89,3,0)*0.475*44/12</f>
        <v>0.7303191918912546</v>
      </c>
      <c r="AW138" s="21">
        <f>EXP(-LN(2)/2)*AW137+(1-EXP(-LN(2)/2))/(LN(2)/2)*AQ138*AT138*VLOOKUP('Données projet'!$B$10,Paramètres!$A$1:$I$89,3,0)*0.475*44/12</f>
        <v>4.0258801301142308E-15</v>
      </c>
      <c r="AX138" s="21">
        <f t="shared" si="114"/>
        <v>1.0884876151665668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1.3301360013429075E-13</v>
      </c>
      <c r="BF138" s="13">
        <f t="shared" si="145"/>
        <v>1.9329766731057041E-12</v>
      </c>
      <c r="BG138" s="20">
        <f t="shared" si="115"/>
        <v>3.5982663925596575E-12</v>
      </c>
      <c r="BH138" s="59">
        <f t="shared" si="116"/>
        <v>293.3333333333369</v>
      </c>
      <c r="BI138" s="59">
        <f ca="1">AVERAGE(OFFSET($BH$3,0,0,'Données projet'!$E$11+1,1))-AVERAGE(OFFSET($H$3,0,0,'Données projet'!$E$11+1,1))</f>
        <v>376.33792692771908</v>
      </c>
      <c r="BJ138" s="59">
        <f t="shared" si="146"/>
        <v>367.92889258044698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0.18075269808148312</v>
      </c>
      <c r="BQ138" s="21">
        <f>EXP(-LN(2)/25)*BQ137+(1-EXP(-LN(2)/25))/(LN(2)/25)*Calculateur!BL138*Calculateur!BN138*VLOOKUP('Données projet'!$B$11,Paramètres!$A$1:$I$89,3,0)*0.475*44/12</f>
        <v>0.45544607589537695</v>
      </c>
      <c r="BR138" s="21">
        <f>EXP(-LN(2)/2)*BR137+(1-EXP(-LN(2)/2))/(LN(2)/2)*BL138*BO138*VLOOKUP('Données projet'!$B$11,Paramètres!$A$1:$I$89,3,0)*0.475*44/12</f>
        <v>2.052296051088278E-15</v>
      </c>
      <c r="BS138" s="22">
        <f t="shared" si="117"/>
        <v>0.63619877397686209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-1.0286385077051818E-13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388.50131600273431</v>
      </c>
      <c r="CE138" s="59">
        <f t="shared" si="148"/>
        <v>247.01165577562955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0.16899226410150187</v>
      </c>
      <c r="CM138" s="21">
        <f>EXP(-LN(2)/2)*CM137+(1-EXP(-LN(2)/2))/(LN(2)/2)*CG138*CJ138*VLOOKUP('Données projet'!$B$12,Paramètres!$A$1:$I$89,3,0)*0.475*44/12</f>
        <v>9.7178483904086771E-16</v>
      </c>
      <c r="CN138" s="22">
        <f t="shared" si="120"/>
        <v>0.16899226410150284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-1.223725121235475E-13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454.43000549907373</v>
      </c>
      <c r="CZ138" s="59">
        <f t="shared" si="150"/>
        <v>285.83623046025156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0.20104252108626947</v>
      </c>
      <c r="DH138" s="21">
        <f>EXP(-LN(2)/2)*DH137+(1-EXP(-LN(2)/2))/(LN(2)/2)*DB138*DE138*VLOOKUP('Données projet'!$B$13,Paramètres!$A$1:$I$89,3,0)*0.475*44/12</f>
        <v>1.1560888602382757E-15</v>
      </c>
      <c r="DI138" s="22">
        <f t="shared" si="123"/>
        <v>0.20104252108627063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1.7053025658242404E-13</v>
      </c>
      <c r="DP138" s="17">
        <f>DO138*VLOOKUP('Données projet'!$B$14,Paramètres!$A$1:$I$89,3,0)*VLOOKUP('Données projet'!$B$14,Paramètres!$A$1:$I$89,5,0)</f>
        <v>1.3301360013429075E-13</v>
      </c>
      <c r="DQ138" s="13">
        <f t="shared" si="151"/>
        <v>1.9329766731057041E-12</v>
      </c>
      <c r="DR138" s="20">
        <f t="shared" si="124"/>
        <v>3.5982663925596575E-12</v>
      </c>
      <c r="DS138" s="59">
        <f t="shared" si="125"/>
        <v>293.3333333333369</v>
      </c>
      <c r="DT138" s="59">
        <f ca="1">AVERAGE(OFFSET($DS$3,0,0,'Données projet'!$E$14+1,1))-AVERAGE(OFFSET($H$3,0,0,'Données projet'!$E$14+1,1))</f>
        <v>376.33792692771908</v>
      </c>
      <c r="DU138" s="59">
        <f t="shared" si="152"/>
        <v>367.92889258044698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0.18075269808148312</v>
      </c>
      <c r="EB138" s="21">
        <f>EXP(-LN(2)/25)*EB137+(1-EXP(-LN(2)/25))/(LN(2)/25)*Calculateur!DW138*Calculateur!DY138*VLOOKUP('Données projet'!$B$14,Paramètres!$A$1:$I$89,3,0)*0.475*44/12</f>
        <v>0.45544607589537695</v>
      </c>
      <c r="EC138" s="21">
        <f>EXP(-LN(2)/2)*EC137+(1-EXP(-LN(2)/2))/(LN(2)/2)*DW138*DZ138*VLOOKUP('Données projet'!$B$14,Paramètres!$A$1:$I$89,3,0)*0.475*44/12</f>
        <v>2.052296051088278E-15</v>
      </c>
      <c r="ED138" s="22">
        <f t="shared" si="126"/>
        <v>0.63619877397686209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-3.0859155231155454E-13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469.68830256438338</v>
      </c>
      <c r="T139" s="59">
        <f t="shared" si="142"/>
        <v>332.61387922152159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0.29516532781812571</v>
      </c>
      <c r="AA139" s="21">
        <f>EXP(-LN(2)/25)*AA138+(1-EXP(-LN(2)/25))/(LN(2)/25)*Calculateur!V139*Calculateur!X139*VLOOKUP('Données projet'!$B$9,Paramètres!$A$1:$I$89,3,0)*0.475*44/12</f>
        <v>0.59710459942933169</v>
      </c>
      <c r="AB139" s="21">
        <f>EXP(-LN(2)/2)*AB138+(1-EXP(-LN(2)/2))/(LN(2)/2)*V139*Y139*VLOOKUP('Données projet'!$B$9,Paramètres!$A$1:$I$89,3,0)*0.475*44/12</f>
        <v>2.3929010744113335E-15</v>
      </c>
      <c r="AC139" s="22">
        <f t="shared" si="111"/>
        <v>0.8922699272474599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-3.6711753637064249E-13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550.66682372933292</v>
      </c>
      <c r="AO139" s="59">
        <f t="shared" si="144"/>
        <v>387.28615589698444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0.3511449589560463</v>
      </c>
      <c r="AV139" s="21">
        <f>EXP(-LN(2)/25)*AV138+(1-EXP(-LN(2)/25))/(LN(2)/25)*Calculateur!AQ139*Calculateur!AS139*VLOOKUP('Données projet'!$B$10,Paramètres!$A$1:$I$89,3,0)*0.475*44/12</f>
        <v>0.71034857518317107</v>
      </c>
      <c r="AW139" s="21">
        <f>EXP(-LN(2)/2)*AW138+(1-EXP(-LN(2)/2))/(LN(2)/2)*AQ139*AT139*VLOOKUP('Données projet'!$B$10,Paramètres!$A$1:$I$89,3,0)*0.475*44/12</f>
        <v>2.8467271402479529E-15</v>
      </c>
      <c r="AX139" s="21">
        <f t="shared" si="114"/>
        <v>1.0614935341392202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1.3301360013429075E-13</v>
      </c>
      <c r="BF139" s="13">
        <f t="shared" si="145"/>
        <v>1.9329766731057041E-12</v>
      </c>
      <c r="BG139" s="20">
        <f t="shared" si="115"/>
        <v>3.5982663925596575E-12</v>
      </c>
      <c r="BH139" s="59">
        <f t="shared" si="116"/>
        <v>293.3333333333369</v>
      </c>
      <c r="BI139" s="59">
        <f ca="1">AVERAGE(OFFSET($BH$3,0,0,'Données projet'!$E$11+1,1))-AVERAGE(OFFSET($H$3,0,0,'Données projet'!$E$11+1,1))</f>
        <v>376.33792692771908</v>
      </c>
      <c r="BJ139" s="59">
        <f t="shared" si="146"/>
        <v>367.92889258044698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0.17720824792036494</v>
      </c>
      <c r="BQ139" s="21">
        <f>EXP(-LN(2)/25)*BQ138+(1-EXP(-LN(2)/25))/(LN(2)/25)*Calculateur!BL139*Calculateur!BN139*VLOOKUP('Données projet'!$B$11,Paramètres!$A$1:$I$89,3,0)*0.475*44/12</f>
        <v>0.44299187899914966</v>
      </c>
      <c r="BR139" s="21">
        <f>EXP(-LN(2)/2)*BR138+(1-EXP(-LN(2)/2))/(LN(2)/2)*BL139*BO139*VLOOKUP('Données projet'!$B$11,Paramètres!$A$1:$I$89,3,0)*0.475*44/12</f>
        <v>1.4511924547268946E-15</v>
      </c>
      <c r="BS139" s="22">
        <f t="shared" si="117"/>
        <v>0.62020012691951598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-1.0286385077051818E-13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388.50131600273431</v>
      </c>
      <c r="CE139" s="59">
        <f t="shared" si="148"/>
        <v>247.01165577562955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0.16437116175272937</v>
      </c>
      <c r="CM139" s="21">
        <f>EXP(-LN(2)/2)*CM138+(1-EXP(-LN(2)/2))/(LN(2)/2)*CG139*CJ139*VLOOKUP('Données projet'!$B$12,Paramètres!$A$1:$I$89,3,0)*0.475*44/12</f>
        <v>6.8715564954007516E-16</v>
      </c>
      <c r="CN139" s="22">
        <f t="shared" si="120"/>
        <v>0.16437116175273006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-1.223725121235475E-13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454.43000549907373</v>
      </c>
      <c r="CZ139" s="59">
        <f t="shared" si="150"/>
        <v>285.83623046025156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0.19554500277479872</v>
      </c>
      <c r="DH139" s="21">
        <f>EXP(-LN(2)/2)*DH138+(1-EXP(-LN(2)/2))/(LN(2)/2)*DB139*DE139*VLOOKUP('Données projet'!$B$13,Paramètres!$A$1:$I$89,3,0)*0.475*44/12</f>
        <v>8.1747827272871152E-16</v>
      </c>
      <c r="DI139" s="22">
        <f t="shared" si="123"/>
        <v>0.19554500277479953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1.7053025658242404E-13</v>
      </c>
      <c r="DP139" s="17">
        <f>DO139*VLOOKUP('Données projet'!$B$14,Paramètres!$A$1:$I$89,3,0)*VLOOKUP('Données projet'!$B$14,Paramètres!$A$1:$I$89,5,0)</f>
        <v>1.3301360013429075E-13</v>
      </c>
      <c r="DQ139" s="13">
        <f t="shared" si="151"/>
        <v>1.9329766731057041E-12</v>
      </c>
      <c r="DR139" s="20">
        <f t="shared" si="124"/>
        <v>3.5982663925596575E-12</v>
      </c>
      <c r="DS139" s="59">
        <f t="shared" si="125"/>
        <v>293.3333333333369</v>
      </c>
      <c r="DT139" s="59">
        <f ca="1">AVERAGE(OFFSET($DS$3,0,0,'Données projet'!$E$14+1,1))-AVERAGE(OFFSET($H$3,0,0,'Données projet'!$E$14+1,1))</f>
        <v>376.33792692771908</v>
      </c>
      <c r="DU139" s="59">
        <f t="shared" si="152"/>
        <v>367.92889258044698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0.17720824792036494</v>
      </c>
      <c r="EB139" s="21">
        <f>EXP(-LN(2)/25)*EB138+(1-EXP(-LN(2)/25))/(LN(2)/25)*Calculateur!DW139*Calculateur!DY139*VLOOKUP('Données projet'!$B$14,Paramètres!$A$1:$I$89,3,0)*0.475*44/12</f>
        <v>0.44299187899914966</v>
      </c>
      <c r="EC139" s="21">
        <f>EXP(-LN(2)/2)*EC138+(1-EXP(-LN(2)/2))/(LN(2)/2)*DW139*DZ139*VLOOKUP('Données projet'!$B$14,Paramètres!$A$1:$I$89,3,0)*0.475*44/12</f>
        <v>1.4511924547268946E-15</v>
      </c>
      <c r="ED139" s="22">
        <f t="shared" si="126"/>
        <v>0.62020012691951598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-3.0859155231155454E-13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469.68830256438338</v>
      </c>
      <c r="T140" s="59">
        <f t="shared" si="142"/>
        <v>332.61387922152159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0.28937731577268544</v>
      </c>
      <c r="AA140" s="21">
        <f>EXP(-LN(2)/25)*AA139+(1-EXP(-LN(2)/25))/(LN(2)/25)*Calculateur!V140*Calculateur!X140*VLOOKUP('Données projet'!$B$9,Paramètres!$A$1:$I$89,3,0)*0.475*44/12</f>
        <v>0.58077674275757041</v>
      </c>
      <c r="AB140" s="21">
        <f>EXP(-LN(2)/2)*AB139+(1-EXP(-LN(2)/2))/(LN(2)/2)*V140*Y140*VLOOKUP('Données projet'!$B$9,Paramètres!$A$1:$I$89,3,0)*0.475*44/12</f>
        <v>1.6920365764248293E-15</v>
      </c>
      <c r="AC140" s="22">
        <f t="shared" si="111"/>
        <v>0.87015405853025751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-3.6711753637064249E-13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550.66682372933292</v>
      </c>
      <c r="AO140" s="59">
        <f t="shared" si="144"/>
        <v>387.28615589698444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0.34425922048819496</v>
      </c>
      <c r="AV140" s="21">
        <f>EXP(-LN(2)/25)*AV139+(1-EXP(-LN(2)/25))/(LN(2)/25)*Calculateur!AQ140*Calculateur!AS140*VLOOKUP('Données projet'!$B$10,Paramètres!$A$1:$I$89,3,0)*0.475*44/12</f>
        <v>0.69092405603917917</v>
      </c>
      <c r="AW140" s="21">
        <f>EXP(-LN(2)/2)*AW139+(1-EXP(-LN(2)/2))/(LN(2)/2)*AQ140*AT140*VLOOKUP('Données projet'!$B$10,Paramètres!$A$1:$I$89,3,0)*0.475*44/12</f>
        <v>2.0129400650571154E-15</v>
      </c>
      <c r="AX140" s="21">
        <f t="shared" si="114"/>
        <v>1.0351832765273761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1.3301360013429075E-13</v>
      </c>
      <c r="BF140" s="13">
        <f t="shared" si="145"/>
        <v>1.9329766731057041E-12</v>
      </c>
      <c r="BG140" s="20">
        <f t="shared" si="115"/>
        <v>3.5982663925596575E-12</v>
      </c>
      <c r="BH140" s="59">
        <f t="shared" si="116"/>
        <v>293.3333333333369</v>
      </c>
      <c r="BI140" s="59">
        <f ca="1">AVERAGE(OFFSET($BH$3,0,0,'Données projet'!$E$11+1,1))-AVERAGE(OFFSET($H$3,0,0,'Données projet'!$E$11+1,1))</f>
        <v>376.33792692771908</v>
      </c>
      <c r="BJ140" s="59">
        <f t="shared" si="146"/>
        <v>367.92889258044698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0.17373330226500516</v>
      </c>
      <c r="BQ140" s="21">
        <f>EXP(-LN(2)/25)*BQ139+(1-EXP(-LN(2)/25))/(LN(2)/25)*Calculateur!BL140*Calculateur!BN140*VLOOKUP('Données projet'!$B$11,Paramètres!$A$1:$I$89,3,0)*0.475*44/12</f>
        <v>0.43087824277198744</v>
      </c>
      <c r="BR140" s="21">
        <f>EXP(-LN(2)/2)*BR139+(1-EXP(-LN(2)/2))/(LN(2)/2)*BL140*BO140*VLOOKUP('Données projet'!$B$11,Paramètres!$A$1:$I$89,3,0)*0.475*44/12</f>
        <v>1.026148025544139E-15</v>
      </c>
      <c r="BS140" s="22">
        <f t="shared" si="117"/>
        <v>0.60461154503699366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-1.0286385077051818E-13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388.50131600273431</v>
      </c>
      <c r="CE140" s="59">
        <f t="shared" si="148"/>
        <v>247.01165577562955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0.15987642369069727</v>
      </c>
      <c r="CM140" s="21">
        <f>EXP(-LN(2)/2)*CM139+(1-EXP(-LN(2)/2))/(LN(2)/2)*CG140*CJ140*VLOOKUP('Données projet'!$B$12,Paramètres!$A$1:$I$89,3,0)*0.475*44/12</f>
        <v>4.8589241952043386E-16</v>
      </c>
      <c r="CN140" s="22">
        <f t="shared" si="120"/>
        <v>0.15987642369069777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-1.223725121235475E-13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454.43000549907373</v>
      </c>
      <c r="CZ140" s="59">
        <f t="shared" si="150"/>
        <v>285.83623046025156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0.19019781439065708</v>
      </c>
      <c r="DH140" s="21">
        <f>EXP(-LN(2)/2)*DH139+(1-EXP(-LN(2)/2))/(LN(2)/2)*DB140*DE140*VLOOKUP('Données projet'!$B$13,Paramètres!$A$1:$I$89,3,0)*0.475*44/12</f>
        <v>5.7804443011913783E-16</v>
      </c>
      <c r="DI140" s="22">
        <f t="shared" si="123"/>
        <v>0.19019781439065767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1.7053025658242404E-13</v>
      </c>
      <c r="DP140" s="17">
        <f>DO140*VLOOKUP('Données projet'!$B$14,Paramètres!$A$1:$I$89,3,0)*VLOOKUP('Données projet'!$B$14,Paramètres!$A$1:$I$89,5,0)</f>
        <v>1.3301360013429075E-13</v>
      </c>
      <c r="DQ140" s="13">
        <f t="shared" si="151"/>
        <v>1.9329766731057041E-12</v>
      </c>
      <c r="DR140" s="20">
        <f t="shared" si="124"/>
        <v>3.5982663925596575E-12</v>
      </c>
      <c r="DS140" s="59">
        <f t="shared" si="125"/>
        <v>293.3333333333369</v>
      </c>
      <c r="DT140" s="59">
        <f ca="1">AVERAGE(OFFSET($DS$3,0,0,'Données projet'!$E$14+1,1))-AVERAGE(OFFSET($H$3,0,0,'Données projet'!$E$14+1,1))</f>
        <v>376.33792692771908</v>
      </c>
      <c r="DU140" s="59">
        <f t="shared" si="152"/>
        <v>367.92889258044698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0.17373330226500516</v>
      </c>
      <c r="EB140" s="21">
        <f>EXP(-LN(2)/25)*EB139+(1-EXP(-LN(2)/25))/(LN(2)/25)*Calculateur!DW140*Calculateur!DY140*VLOOKUP('Données projet'!$B$14,Paramètres!$A$1:$I$89,3,0)*0.475*44/12</f>
        <v>0.43087824277198744</v>
      </c>
      <c r="EC140" s="21">
        <f>EXP(-LN(2)/2)*EC139+(1-EXP(-LN(2)/2))/(LN(2)/2)*DW140*DZ140*VLOOKUP('Données projet'!$B$14,Paramètres!$A$1:$I$89,3,0)*0.475*44/12</f>
        <v>1.026148025544139E-15</v>
      </c>
      <c r="ED140" s="22">
        <f t="shared" si="126"/>
        <v>0.60461154503699366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-3.0859155231155454E-13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469.68830256438338</v>
      </c>
      <c r="T141" s="59">
        <f t="shared" si="142"/>
        <v>332.61387922152159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0.28370280311311752</v>
      </c>
      <c r="AA141" s="21">
        <f>EXP(-LN(2)/25)*AA140+(1-EXP(-LN(2)/25))/(LN(2)/25)*Calculateur!V141*Calculateur!X141*VLOOKUP('Données projet'!$B$9,Paramètres!$A$1:$I$89,3,0)*0.475*44/12</f>
        <v>0.56489537218514307</v>
      </c>
      <c r="AB141" s="21">
        <f>EXP(-LN(2)/2)*AB140+(1-EXP(-LN(2)/2))/(LN(2)/2)*V141*Y141*VLOOKUP('Données projet'!$B$9,Paramètres!$A$1:$I$89,3,0)*0.475*44/12</f>
        <v>1.1964505372056668E-15</v>
      </c>
      <c r="AC141" s="22">
        <f t="shared" si="111"/>
        <v>0.84859817529826176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-3.6711753637064249E-13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550.66682372933292</v>
      </c>
      <c r="AO141" s="59">
        <f t="shared" si="144"/>
        <v>387.28615589698444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0.33750850715181241</v>
      </c>
      <c r="AV141" s="21">
        <f>EXP(-LN(2)/25)*AV140+(1-EXP(-LN(2)/25))/(LN(2)/25)*Calculateur!AQ141*Calculateur!AS141*VLOOKUP('Données projet'!$B$10,Paramètres!$A$1:$I$89,3,0)*0.475*44/12</f>
        <v>0.67203070139267085</v>
      </c>
      <c r="AW141" s="21">
        <f>EXP(-LN(2)/2)*AW140+(1-EXP(-LN(2)/2))/(LN(2)/2)*AQ141*AT141*VLOOKUP('Données projet'!$B$10,Paramètres!$A$1:$I$89,3,0)*0.475*44/12</f>
        <v>1.4233635701239765E-15</v>
      </c>
      <c r="AX141" s="21">
        <f t="shared" si="114"/>
        <v>1.0095392085444845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1.3301360013429075E-13</v>
      </c>
      <c r="BF141" s="13">
        <f t="shared" si="145"/>
        <v>1.9329766731057041E-12</v>
      </c>
      <c r="BG141" s="20">
        <f t="shared" si="115"/>
        <v>3.5982663925596575E-12</v>
      </c>
      <c r="BH141" s="59">
        <f t="shared" si="116"/>
        <v>293.3333333333369</v>
      </c>
      <c r="BI141" s="59">
        <f ca="1">AVERAGE(OFFSET($BH$3,0,0,'Données projet'!$E$11+1,1))-AVERAGE(OFFSET($H$3,0,0,'Données projet'!$E$11+1,1))</f>
        <v>376.33792692771908</v>
      </c>
      <c r="BJ141" s="59">
        <f t="shared" si="146"/>
        <v>367.92889258044698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0.17032649817443943</v>
      </c>
      <c r="BQ141" s="21">
        <f>EXP(-LN(2)/25)*BQ140+(1-EXP(-LN(2)/25))/(LN(2)/25)*Calculateur!BL141*Calculateur!BN141*VLOOKUP('Données projet'!$B$11,Paramètres!$A$1:$I$89,3,0)*0.475*44/12</f>
        <v>0.41909585456448545</v>
      </c>
      <c r="BR141" s="21">
        <f>EXP(-LN(2)/2)*BR140+(1-EXP(-LN(2)/2))/(LN(2)/2)*BL141*BO141*VLOOKUP('Données projet'!$B$11,Paramètres!$A$1:$I$89,3,0)*0.475*44/12</f>
        <v>7.2559622736344728E-16</v>
      </c>
      <c r="BS141" s="22">
        <f t="shared" si="117"/>
        <v>0.58942235273892563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-1.0286385077051818E-13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388.50131600273431</v>
      </c>
      <c r="CE141" s="59">
        <f t="shared" si="148"/>
        <v>247.01165577562955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0.15550459447733944</v>
      </c>
      <c r="CM141" s="21">
        <f>EXP(-LN(2)/2)*CM140+(1-EXP(-LN(2)/2))/(LN(2)/2)*CG141*CJ141*VLOOKUP('Données projet'!$B$12,Paramètres!$A$1:$I$89,3,0)*0.475*44/12</f>
        <v>3.4357782477003758E-16</v>
      </c>
      <c r="CN141" s="22">
        <f t="shared" si="120"/>
        <v>0.15550459447733977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-1.223725121235475E-13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454.43000549907373</v>
      </c>
      <c r="CZ141" s="59">
        <f t="shared" si="150"/>
        <v>285.83623046025156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0.18499684515407622</v>
      </c>
      <c r="DH141" s="21">
        <f>EXP(-LN(2)/2)*DH140+(1-EXP(-LN(2)/2))/(LN(2)/2)*DB141*DE141*VLOOKUP('Données projet'!$B$13,Paramètres!$A$1:$I$89,3,0)*0.475*44/12</f>
        <v>4.0873913636435576E-16</v>
      </c>
      <c r="DI141" s="22">
        <f t="shared" si="123"/>
        <v>0.18499684515407663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1.7053025658242404E-13</v>
      </c>
      <c r="DP141" s="17">
        <f>DO141*VLOOKUP('Données projet'!$B$14,Paramètres!$A$1:$I$89,3,0)*VLOOKUP('Données projet'!$B$14,Paramètres!$A$1:$I$89,5,0)</f>
        <v>1.3301360013429075E-13</v>
      </c>
      <c r="DQ141" s="13">
        <f t="shared" si="151"/>
        <v>1.9329766731057041E-12</v>
      </c>
      <c r="DR141" s="20">
        <f t="shared" si="124"/>
        <v>3.5982663925596575E-12</v>
      </c>
      <c r="DS141" s="59">
        <f t="shared" si="125"/>
        <v>293.3333333333369</v>
      </c>
      <c r="DT141" s="59">
        <f ca="1">AVERAGE(OFFSET($DS$3,0,0,'Données projet'!$E$14+1,1))-AVERAGE(OFFSET($H$3,0,0,'Données projet'!$E$14+1,1))</f>
        <v>376.33792692771908</v>
      </c>
      <c r="DU141" s="59">
        <f t="shared" si="152"/>
        <v>367.92889258044698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0.17032649817443943</v>
      </c>
      <c r="EB141" s="21">
        <f>EXP(-LN(2)/25)*EB140+(1-EXP(-LN(2)/25))/(LN(2)/25)*Calculateur!DW141*Calculateur!DY141*VLOOKUP('Données projet'!$B$14,Paramètres!$A$1:$I$89,3,0)*0.475*44/12</f>
        <v>0.41909585456448545</v>
      </c>
      <c r="EC141" s="21">
        <f>EXP(-LN(2)/2)*EC140+(1-EXP(-LN(2)/2))/(LN(2)/2)*DW141*DZ141*VLOOKUP('Données projet'!$B$14,Paramètres!$A$1:$I$89,3,0)*0.475*44/12</f>
        <v>7.2559622736344728E-16</v>
      </c>
      <c r="ED141" s="22">
        <f t="shared" si="126"/>
        <v>0.58942235273892563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-3.0859155231155454E-13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469.68830256438338</v>
      </c>
      <c r="T142" s="59">
        <f t="shared" si="142"/>
        <v>332.61387922152159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0.27813956418569274</v>
      </c>
      <c r="AA142" s="21">
        <f>EXP(-LN(2)/25)*AA141+(1-EXP(-LN(2)/25))/(LN(2)/25)*Calculateur!V142*Calculateur!X142*VLOOKUP('Données projet'!$B$9,Paramètres!$A$1:$I$89,3,0)*0.475*44/12</f>
        <v>0.54944827852618383</v>
      </c>
      <c r="AB142" s="21">
        <f>EXP(-LN(2)/2)*AB141+(1-EXP(-LN(2)/2))/(LN(2)/2)*V142*Y142*VLOOKUP('Données projet'!$B$9,Paramètres!$A$1:$I$89,3,0)*0.475*44/12</f>
        <v>8.4601828821241466E-16</v>
      </c>
      <c r="AC142" s="22">
        <f t="shared" si="111"/>
        <v>0.82758784271187746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-3.6711753637064249E-13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550.66682372933292</v>
      </c>
      <c r="AO142" s="59">
        <f t="shared" si="144"/>
        <v>387.28615589698444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0.33089017118642777</v>
      </c>
      <c r="AV142" s="21">
        <f>EXP(-LN(2)/25)*AV141+(1-EXP(-LN(2)/25))/(LN(2)/25)*Calculateur!AQ142*Calculateur!AS142*VLOOKUP('Données projet'!$B$10,Paramètres!$A$1:$I$89,3,0)*0.475*44/12</f>
        <v>0.6536539865225296</v>
      </c>
      <c r="AW142" s="21">
        <f>EXP(-LN(2)/2)*AW141+(1-EXP(-LN(2)/2))/(LN(2)/2)*AQ142*AT142*VLOOKUP('Données projet'!$B$10,Paramètres!$A$1:$I$89,3,0)*0.475*44/12</f>
        <v>1.0064700325285577E-15</v>
      </c>
      <c r="AX142" s="21">
        <f t="shared" si="114"/>
        <v>0.98454415770895831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1.3301360013429075E-13</v>
      </c>
      <c r="BF142" s="13">
        <f t="shared" si="145"/>
        <v>1.9329766731057041E-12</v>
      </c>
      <c r="BG142" s="20">
        <f t="shared" si="115"/>
        <v>3.5982663925596575E-12</v>
      </c>
      <c r="BH142" s="59">
        <f t="shared" si="116"/>
        <v>293.3333333333369</v>
      </c>
      <c r="BI142" s="59">
        <f ca="1">AVERAGE(OFFSET($BH$3,0,0,'Données projet'!$E$11+1,1))-AVERAGE(OFFSET($H$3,0,0,'Données projet'!$E$11+1,1))</f>
        <v>376.33792692771908</v>
      </c>
      <c r="BJ142" s="59">
        <f t="shared" si="146"/>
        <v>367.92889258044698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0.16698649943414437</v>
      </c>
      <c r="BQ142" s="21">
        <f>EXP(-LN(2)/25)*BQ141+(1-EXP(-LN(2)/25))/(LN(2)/25)*Calculateur!BL142*Calculateur!BN142*VLOOKUP('Données projet'!$B$11,Paramètres!$A$1:$I$89,3,0)*0.475*44/12</f>
        <v>0.40763565638212645</v>
      </c>
      <c r="BR142" s="21">
        <f>EXP(-LN(2)/2)*BR141+(1-EXP(-LN(2)/2))/(LN(2)/2)*BL142*BO142*VLOOKUP('Données projet'!$B$11,Paramètres!$A$1:$I$89,3,0)*0.475*44/12</f>
        <v>5.1307401277206949E-16</v>
      </c>
      <c r="BS142" s="22">
        <f t="shared" si="117"/>
        <v>0.57462215581627141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-1.0286385077051818E-13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388.50131600273431</v>
      </c>
      <c r="CE142" s="59">
        <f t="shared" si="148"/>
        <v>247.01165577562955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0.15125231316372539</v>
      </c>
      <c r="CM142" s="21">
        <f>EXP(-LN(2)/2)*CM141+(1-EXP(-LN(2)/2))/(LN(2)/2)*CG142*CJ142*VLOOKUP('Données projet'!$B$12,Paramètres!$A$1:$I$89,3,0)*0.475*44/12</f>
        <v>2.4294620976021693E-16</v>
      </c>
      <c r="CN142" s="22">
        <f t="shared" si="120"/>
        <v>0.15125231316372564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-1.223725121235475E-13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454.43000549907373</v>
      </c>
      <c r="CZ142" s="59">
        <f t="shared" si="150"/>
        <v>285.83623046025156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0.17993809669477673</v>
      </c>
      <c r="DH142" s="21">
        <f>EXP(-LN(2)/2)*DH141+(1-EXP(-LN(2)/2))/(LN(2)/2)*DB142*DE142*VLOOKUP('Données projet'!$B$13,Paramètres!$A$1:$I$89,3,0)*0.475*44/12</f>
        <v>2.8902221505956891E-16</v>
      </c>
      <c r="DI142" s="22">
        <f t="shared" si="123"/>
        <v>0.17993809669477701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1.7053025658242404E-13</v>
      </c>
      <c r="DP142" s="17">
        <f>DO142*VLOOKUP('Données projet'!$B$14,Paramètres!$A$1:$I$89,3,0)*VLOOKUP('Données projet'!$B$14,Paramètres!$A$1:$I$89,5,0)</f>
        <v>1.3301360013429075E-13</v>
      </c>
      <c r="DQ142" s="13">
        <f t="shared" si="151"/>
        <v>1.9329766731057041E-12</v>
      </c>
      <c r="DR142" s="20">
        <f t="shared" si="124"/>
        <v>3.5982663925596575E-12</v>
      </c>
      <c r="DS142" s="59">
        <f t="shared" si="125"/>
        <v>293.3333333333369</v>
      </c>
      <c r="DT142" s="59">
        <f ca="1">AVERAGE(OFFSET($DS$3,0,0,'Données projet'!$E$14+1,1))-AVERAGE(OFFSET($H$3,0,0,'Données projet'!$E$14+1,1))</f>
        <v>376.33792692771908</v>
      </c>
      <c r="DU142" s="59">
        <f t="shared" si="152"/>
        <v>367.92889258044698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0.16698649943414437</v>
      </c>
      <c r="EB142" s="21">
        <f>EXP(-LN(2)/25)*EB141+(1-EXP(-LN(2)/25))/(LN(2)/25)*Calculateur!DW142*Calculateur!DY142*VLOOKUP('Données projet'!$B$14,Paramètres!$A$1:$I$89,3,0)*0.475*44/12</f>
        <v>0.40763565638212645</v>
      </c>
      <c r="EC142" s="21">
        <f>EXP(-LN(2)/2)*EC141+(1-EXP(-LN(2)/2))/(LN(2)/2)*DW142*DZ142*VLOOKUP('Données projet'!$B$14,Paramètres!$A$1:$I$89,3,0)*0.475*44/12</f>
        <v>5.1307401277206949E-16</v>
      </c>
      <c r="ED142" s="22">
        <f t="shared" si="126"/>
        <v>0.57462215581627141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-3.0859155231155454E-13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469.68830256438338</v>
      </c>
      <c r="T143" s="59">
        <f t="shared" si="142"/>
        <v>332.61387922152159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0.27268541698039406</v>
      </c>
      <c r="AA143" s="21">
        <f>EXP(-LN(2)/25)*AA142+(1-EXP(-LN(2)/25))/(LN(2)/25)*Calculateur!V143*Calculateur!X143*VLOOKUP('Données projet'!$B$9,Paramètres!$A$1:$I$89,3,0)*0.475*44/12</f>
        <v>0.53442358645565613</v>
      </c>
      <c r="AB143" s="21">
        <f>EXP(-LN(2)/2)*AB142+(1-EXP(-LN(2)/2))/(LN(2)/2)*V143*Y143*VLOOKUP('Données projet'!$B$9,Paramètres!$A$1:$I$89,3,0)*0.475*44/12</f>
        <v>5.9822526860283339E-16</v>
      </c>
      <c r="AC143" s="22">
        <f t="shared" si="111"/>
        <v>0.80710900343605074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-3.6711753637064249E-13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550.66682372933292</v>
      </c>
      <c r="AO143" s="59">
        <f t="shared" si="144"/>
        <v>387.28615589698444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0.32440161675253798</v>
      </c>
      <c r="AV143" s="21">
        <f>EXP(-LN(2)/25)*AV142+(1-EXP(-LN(2)/25))/(LN(2)/25)*Calculateur!AQ143*Calculateur!AS143*VLOOKUP('Données projet'!$B$10,Paramètres!$A$1:$I$89,3,0)*0.475*44/12</f>
        <v>0.63577978388690182</v>
      </c>
      <c r="AW143" s="21">
        <f>EXP(-LN(2)/2)*AW142+(1-EXP(-LN(2)/2))/(LN(2)/2)*AQ143*AT143*VLOOKUP('Données projet'!$B$10,Paramètres!$A$1:$I$89,3,0)*0.475*44/12</f>
        <v>7.1168178506198823E-16</v>
      </c>
      <c r="AX143" s="21">
        <f t="shared" si="114"/>
        <v>0.96018140063944046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1.3301360013429075E-13</v>
      </c>
      <c r="BF143" s="13">
        <f t="shared" si="145"/>
        <v>1.9329766731057041E-12</v>
      </c>
      <c r="BG143" s="20">
        <f t="shared" si="115"/>
        <v>3.5982663925596575E-12</v>
      </c>
      <c r="BH143" s="59">
        <f t="shared" si="116"/>
        <v>293.3333333333369</v>
      </c>
      <c r="BI143" s="59">
        <f ca="1">AVERAGE(OFFSET($BH$3,0,0,'Données projet'!$E$11+1,1))-AVERAGE(OFFSET($H$3,0,0,'Données projet'!$E$11+1,1))</f>
        <v>376.33792692771908</v>
      </c>
      <c r="BJ143" s="59">
        <f t="shared" si="146"/>
        <v>367.92889258044698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0.16371199603194844</v>
      </c>
      <c r="BQ143" s="21">
        <f>EXP(-LN(2)/25)*BQ142+(1-EXP(-LN(2)/25))/(LN(2)/25)*Calculateur!BL143*Calculateur!BN143*VLOOKUP('Données projet'!$B$11,Paramètres!$A$1:$I$89,3,0)*0.475*44/12</f>
        <v>0.39648883792172968</v>
      </c>
      <c r="BR143" s="21">
        <f>EXP(-LN(2)/2)*BR142+(1-EXP(-LN(2)/2))/(LN(2)/2)*BL143*BO143*VLOOKUP('Données projet'!$B$11,Paramètres!$A$1:$I$89,3,0)*0.475*44/12</f>
        <v>3.6279811368172364E-16</v>
      </c>
      <c r="BS143" s="22">
        <f t="shared" si="117"/>
        <v>0.56020083395367848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-1.0286385077051818E-13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388.50131600273431</v>
      </c>
      <c r="CE143" s="59">
        <f t="shared" si="148"/>
        <v>247.01165577562955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0.14711631070624986</v>
      </c>
      <c r="CM143" s="21">
        <f>EXP(-LN(2)/2)*CM142+(1-EXP(-LN(2)/2))/(LN(2)/2)*CG143*CJ143*VLOOKUP('Données projet'!$B$12,Paramètres!$A$1:$I$89,3,0)*0.475*44/12</f>
        <v>1.7178891238501879E-16</v>
      </c>
      <c r="CN143" s="22">
        <f t="shared" si="120"/>
        <v>0.14711631070625003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-1.223725121235475E-13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454.43000549907373</v>
      </c>
      <c r="CZ143" s="59">
        <f t="shared" si="150"/>
        <v>285.83623046025156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0.17501767997812481</v>
      </c>
      <c r="DH143" s="21">
        <f>EXP(-LN(2)/2)*DH142+(1-EXP(-LN(2)/2))/(LN(2)/2)*DB143*DE143*VLOOKUP('Données projet'!$B$13,Paramètres!$A$1:$I$89,3,0)*0.475*44/12</f>
        <v>2.0436956818217788E-16</v>
      </c>
      <c r="DI143" s="22">
        <f t="shared" si="123"/>
        <v>0.17501767997812501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1.7053025658242404E-13</v>
      </c>
      <c r="DP143" s="17">
        <f>DO143*VLOOKUP('Données projet'!$B$14,Paramètres!$A$1:$I$89,3,0)*VLOOKUP('Données projet'!$B$14,Paramètres!$A$1:$I$89,5,0)</f>
        <v>1.3301360013429075E-13</v>
      </c>
      <c r="DQ143" s="13">
        <f t="shared" si="151"/>
        <v>1.9329766731057041E-12</v>
      </c>
      <c r="DR143" s="20">
        <f t="shared" si="124"/>
        <v>3.5982663925596575E-12</v>
      </c>
      <c r="DS143" s="59">
        <f t="shared" si="125"/>
        <v>293.3333333333369</v>
      </c>
      <c r="DT143" s="59">
        <f ca="1">AVERAGE(OFFSET($DS$3,0,0,'Données projet'!$E$14+1,1))-AVERAGE(OFFSET($H$3,0,0,'Données projet'!$E$14+1,1))</f>
        <v>376.33792692771908</v>
      </c>
      <c r="DU143" s="59">
        <f t="shared" si="152"/>
        <v>367.92889258044698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0.16371199603194844</v>
      </c>
      <c r="EB143" s="21">
        <f>EXP(-LN(2)/25)*EB142+(1-EXP(-LN(2)/25))/(LN(2)/25)*Calculateur!DW143*Calculateur!DY143*VLOOKUP('Données projet'!$B$14,Paramètres!$A$1:$I$89,3,0)*0.475*44/12</f>
        <v>0.39648883792172968</v>
      </c>
      <c r="EC143" s="21">
        <f>EXP(-LN(2)/2)*EC142+(1-EXP(-LN(2)/2))/(LN(2)/2)*DW143*DZ143*VLOOKUP('Données projet'!$B$14,Paramètres!$A$1:$I$89,3,0)*0.475*44/12</f>
        <v>3.6279811368172364E-16</v>
      </c>
      <c r="ED143" s="22">
        <f t="shared" si="126"/>
        <v>0.56020083395367848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-3.0859155231155454E-13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469.68830256438338</v>
      </c>
      <c r="T144" s="59">
        <f t="shared" si="142"/>
        <v>332.61387922152159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0.26733822227508997</v>
      </c>
      <c r="AA144" s="21">
        <f>EXP(-LN(2)/25)*AA143+(1-EXP(-LN(2)/25))/(LN(2)/25)*Calculateur!V144*Calculateur!X144*VLOOKUP('Données projet'!$B$9,Paramètres!$A$1:$I$89,3,0)*0.475*44/12</f>
        <v>0.5198097453799112</v>
      </c>
      <c r="AB144" s="21">
        <f>EXP(-LN(2)/2)*AB143+(1-EXP(-LN(2)/2))/(LN(2)/2)*V144*Y144*VLOOKUP('Données projet'!$B$9,Paramètres!$A$1:$I$89,3,0)*0.475*44/12</f>
        <v>4.2300914410620733E-16</v>
      </c>
      <c r="AC144" s="22">
        <f t="shared" si="111"/>
        <v>0.78714796765500161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-3.6711753637064249E-13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550.66682372933292</v>
      </c>
      <c r="AO144" s="59">
        <f t="shared" si="144"/>
        <v>387.28615589698444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0.31804029891346935</v>
      </c>
      <c r="AV144" s="21">
        <f>EXP(-LN(2)/25)*AV143+(1-EXP(-LN(2)/25))/(LN(2)/25)*Calculateur!AQ144*Calculateur!AS144*VLOOKUP('Données projet'!$B$10,Paramètres!$A$1:$I$89,3,0)*0.475*44/12</f>
        <v>0.61839435226230877</v>
      </c>
      <c r="AW144" s="21">
        <f>EXP(-LN(2)/2)*AW143+(1-EXP(-LN(2)/2))/(LN(2)/2)*AQ144*AT144*VLOOKUP('Données projet'!$B$10,Paramètres!$A$1:$I$89,3,0)*0.475*44/12</f>
        <v>5.0323501626427885E-16</v>
      </c>
      <c r="AX144" s="21">
        <f t="shared" si="114"/>
        <v>0.93643465117577873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1.3301360013429075E-13</v>
      </c>
      <c r="BF144" s="13">
        <f t="shared" si="145"/>
        <v>1.9329766731057041E-12</v>
      </c>
      <c r="BG144" s="20">
        <f t="shared" si="115"/>
        <v>3.5982663925596575E-12</v>
      </c>
      <c r="BH144" s="59">
        <f t="shared" si="116"/>
        <v>293.3333333333369</v>
      </c>
      <c r="BI144" s="59">
        <f ca="1">AVERAGE(OFFSET($BH$3,0,0,'Données projet'!$E$11+1,1))-AVERAGE(OFFSET($H$3,0,0,'Données projet'!$E$11+1,1))</f>
        <v>376.33792692771908</v>
      </c>
      <c r="BJ144" s="59">
        <f t="shared" si="146"/>
        <v>367.92889258044698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0.1605017036442197</v>
      </c>
      <c r="BQ144" s="21">
        <f>EXP(-LN(2)/25)*BQ143+(1-EXP(-LN(2)/25))/(LN(2)/25)*Calculateur!BL144*Calculateur!BN144*VLOOKUP('Données projet'!$B$11,Paramètres!$A$1:$I$89,3,0)*0.475*44/12</f>
        <v>0.38564682979831816</v>
      </c>
      <c r="BR144" s="21">
        <f>EXP(-LN(2)/2)*BR143+(1-EXP(-LN(2)/2))/(LN(2)/2)*BL144*BO144*VLOOKUP('Données projet'!$B$11,Paramètres!$A$1:$I$89,3,0)*0.475*44/12</f>
        <v>2.5653700638603474E-16</v>
      </c>
      <c r="BS144" s="22">
        <f t="shared" si="117"/>
        <v>0.54614853344253811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-1.0286385077051818E-13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388.50131600273431</v>
      </c>
      <c r="CE144" s="59">
        <f t="shared" si="148"/>
        <v>247.01165577562955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0.14309340745347693</v>
      </c>
      <c r="CM144" s="21">
        <f>EXP(-LN(2)/2)*CM143+(1-EXP(-LN(2)/2))/(LN(2)/2)*CG144*CJ144*VLOOKUP('Données projet'!$B$12,Paramètres!$A$1:$I$89,3,0)*0.475*44/12</f>
        <v>1.2147310488010846E-16</v>
      </c>
      <c r="CN144" s="22">
        <f t="shared" si="120"/>
        <v>0.14309340745347704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-1.223725121235475E-13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454.43000549907373</v>
      </c>
      <c r="CZ144" s="59">
        <f t="shared" si="150"/>
        <v>285.83623046025156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0.17023181231534321</v>
      </c>
      <c r="DH144" s="21">
        <f>EXP(-LN(2)/2)*DH143+(1-EXP(-LN(2)/2))/(LN(2)/2)*DB144*DE144*VLOOKUP('Données projet'!$B$13,Paramètres!$A$1:$I$89,3,0)*0.475*44/12</f>
        <v>1.4451110752978446E-16</v>
      </c>
      <c r="DI144" s="22">
        <f t="shared" si="123"/>
        <v>0.17023181231534334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1.7053025658242404E-13</v>
      </c>
      <c r="DP144" s="17">
        <f>DO144*VLOOKUP('Données projet'!$B$14,Paramètres!$A$1:$I$89,3,0)*VLOOKUP('Données projet'!$B$14,Paramètres!$A$1:$I$89,5,0)</f>
        <v>1.3301360013429075E-13</v>
      </c>
      <c r="DQ144" s="13">
        <f t="shared" si="151"/>
        <v>1.9329766731057041E-12</v>
      </c>
      <c r="DR144" s="20">
        <f t="shared" si="124"/>
        <v>3.5982663925596575E-12</v>
      </c>
      <c r="DS144" s="59">
        <f t="shared" si="125"/>
        <v>293.3333333333369</v>
      </c>
      <c r="DT144" s="59">
        <f ca="1">AVERAGE(OFFSET($DS$3,0,0,'Données projet'!$E$14+1,1))-AVERAGE(OFFSET($H$3,0,0,'Données projet'!$E$14+1,1))</f>
        <v>376.33792692771908</v>
      </c>
      <c r="DU144" s="59">
        <f t="shared" si="152"/>
        <v>367.92889258044698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0.1605017036442197</v>
      </c>
      <c r="EB144" s="21">
        <f>EXP(-LN(2)/25)*EB143+(1-EXP(-LN(2)/25))/(LN(2)/25)*Calculateur!DW144*Calculateur!DY144*VLOOKUP('Données projet'!$B$14,Paramètres!$A$1:$I$89,3,0)*0.475*44/12</f>
        <v>0.38564682979831816</v>
      </c>
      <c r="EC144" s="21">
        <f>EXP(-LN(2)/2)*EC143+(1-EXP(-LN(2)/2))/(LN(2)/2)*DW144*DZ144*VLOOKUP('Données projet'!$B$14,Paramètres!$A$1:$I$89,3,0)*0.475*44/12</f>
        <v>2.5653700638603474E-16</v>
      </c>
      <c r="ED144" s="22">
        <f t="shared" si="126"/>
        <v>0.54614853344253811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-3.0859155231155454E-13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469.68830256438338</v>
      </c>
      <c r="T145" s="59">
        <f t="shared" si="142"/>
        <v>332.61387922152159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0.26209588279649015</v>
      </c>
      <c r="AA145" s="21">
        <f>EXP(-LN(2)/25)*AA144+(1-EXP(-LN(2)/25))/(LN(2)/25)*Calculateur!V145*Calculateur!X145*VLOOKUP('Données projet'!$B$9,Paramètres!$A$1:$I$89,3,0)*0.475*44/12</f>
        <v>0.50559552055689105</v>
      </c>
      <c r="AB145" s="21">
        <f>EXP(-LN(2)/2)*AB144+(1-EXP(-LN(2)/2))/(LN(2)/2)*V145*Y145*VLOOKUP('Données projet'!$B$9,Paramètres!$A$1:$I$89,3,0)*0.475*44/12</f>
        <v>2.9911263430141669E-16</v>
      </c>
      <c r="AC145" s="22">
        <f t="shared" si="111"/>
        <v>0.7676914033533816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-3.6711753637064249E-13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550.66682372933292</v>
      </c>
      <c r="AO145" s="59">
        <f t="shared" si="144"/>
        <v>387.28615589698444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0.31180372263720407</v>
      </c>
      <c r="AV145" s="21">
        <f>EXP(-LN(2)/25)*AV144+(1-EXP(-LN(2)/25))/(LN(2)/25)*Calculateur!AQ145*Calculateur!AS145*VLOOKUP('Données projet'!$B$10,Paramètres!$A$1:$I$89,3,0)*0.475*44/12</f>
        <v>0.60148432617975034</v>
      </c>
      <c r="AW145" s="21">
        <f>EXP(-LN(2)/2)*AW144+(1-EXP(-LN(2)/2))/(LN(2)/2)*AQ145*AT145*VLOOKUP('Données projet'!$B$10,Paramètres!$A$1:$I$89,3,0)*0.475*44/12</f>
        <v>3.5584089253099412E-16</v>
      </c>
      <c r="AX145" s="21">
        <f t="shared" si="114"/>
        <v>0.91328804881695469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1.3301360013429075E-13</v>
      </c>
      <c r="BF145" s="13">
        <f t="shared" si="145"/>
        <v>1.9329766731057041E-12</v>
      </c>
      <c r="BG145" s="20">
        <f t="shared" si="115"/>
        <v>3.5982663925596575E-12</v>
      </c>
      <c r="BH145" s="59">
        <f t="shared" si="116"/>
        <v>293.3333333333369</v>
      </c>
      <c r="BI145" s="59">
        <f ca="1">AVERAGE(OFFSET($BH$3,0,0,'Données projet'!$E$11+1,1))-AVERAGE(OFFSET($H$3,0,0,'Données projet'!$E$11+1,1))</f>
        <v>376.33792692771908</v>
      </c>
      <c r="BJ145" s="59">
        <f t="shared" si="146"/>
        <v>367.92889258044698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0.1573543631321293</v>
      </c>
      <c r="BQ145" s="21">
        <f>EXP(-LN(2)/25)*BQ144+(1-EXP(-LN(2)/25))/(LN(2)/25)*Calculateur!BL145*Calculateur!BN145*VLOOKUP('Données projet'!$B$11,Paramètres!$A$1:$I$89,3,0)*0.475*44/12</f>
        <v>0.37510129695719779</v>
      </c>
      <c r="BR145" s="21">
        <f>EXP(-LN(2)/2)*BR144+(1-EXP(-LN(2)/2))/(LN(2)/2)*BL145*BO145*VLOOKUP('Données projet'!$B$11,Paramètres!$A$1:$I$89,3,0)*0.475*44/12</f>
        <v>1.8139905684086182E-16</v>
      </c>
      <c r="BS145" s="22">
        <f t="shared" si="117"/>
        <v>0.53245566008932732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-1.0286385077051818E-13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388.50131600273431</v>
      </c>
      <c r="CE145" s="59">
        <f t="shared" si="148"/>
        <v>247.01165577562955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0.13918051070170634</v>
      </c>
      <c r="CM145" s="21">
        <f>EXP(-LN(2)/2)*CM144+(1-EXP(-LN(2)/2))/(LN(2)/2)*CG145*CJ145*VLOOKUP('Données projet'!$B$12,Paramètres!$A$1:$I$89,3,0)*0.475*44/12</f>
        <v>8.5894456192509395E-17</v>
      </c>
      <c r="CN145" s="22">
        <f t="shared" si="120"/>
        <v>0.13918051070170642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-1.223725121235475E-13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454.43000549907373</v>
      </c>
      <c r="CZ145" s="59">
        <f t="shared" si="150"/>
        <v>285.83623046025156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0.1655768144554782</v>
      </c>
      <c r="DH145" s="21">
        <f>EXP(-LN(2)/2)*DH144+(1-EXP(-LN(2)/2))/(LN(2)/2)*DB145*DE145*VLOOKUP('Données projet'!$B$13,Paramètres!$A$1:$I$89,3,0)*0.475*44/12</f>
        <v>1.0218478409108894E-16</v>
      </c>
      <c r="DI145" s="22">
        <f t="shared" si="123"/>
        <v>0.16557681445547831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1.7053025658242404E-13</v>
      </c>
      <c r="DP145" s="17">
        <f>DO145*VLOOKUP('Données projet'!$B$14,Paramètres!$A$1:$I$89,3,0)*VLOOKUP('Données projet'!$B$14,Paramètres!$A$1:$I$89,5,0)</f>
        <v>1.3301360013429075E-13</v>
      </c>
      <c r="DQ145" s="13">
        <f t="shared" si="151"/>
        <v>1.9329766731057041E-12</v>
      </c>
      <c r="DR145" s="20">
        <f t="shared" si="124"/>
        <v>3.5982663925596575E-12</v>
      </c>
      <c r="DS145" s="59">
        <f t="shared" si="125"/>
        <v>293.3333333333369</v>
      </c>
      <c r="DT145" s="59">
        <f ca="1">AVERAGE(OFFSET($DS$3,0,0,'Données projet'!$E$14+1,1))-AVERAGE(OFFSET($H$3,0,0,'Données projet'!$E$14+1,1))</f>
        <v>376.33792692771908</v>
      </c>
      <c r="DU145" s="59">
        <f t="shared" si="152"/>
        <v>367.92889258044698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0.1573543631321293</v>
      </c>
      <c r="EB145" s="21">
        <f>EXP(-LN(2)/25)*EB144+(1-EXP(-LN(2)/25))/(LN(2)/25)*Calculateur!DW145*Calculateur!DY145*VLOOKUP('Données projet'!$B$14,Paramètres!$A$1:$I$89,3,0)*0.475*44/12</f>
        <v>0.37510129695719779</v>
      </c>
      <c r="EC145" s="21">
        <f>EXP(-LN(2)/2)*EC144+(1-EXP(-LN(2)/2))/(LN(2)/2)*DW145*DZ145*VLOOKUP('Données projet'!$B$14,Paramètres!$A$1:$I$89,3,0)*0.475*44/12</f>
        <v>1.8139905684086182E-16</v>
      </c>
      <c r="ED145" s="22">
        <f t="shared" si="126"/>
        <v>0.53245566008932732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-3.0859155231155454E-13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469.68830256438338</v>
      </c>
      <c r="T146" s="59">
        <f t="shared" si="142"/>
        <v>332.61387922152159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0.25695634239755438</v>
      </c>
      <c r="AA146" s="21">
        <f>EXP(-LN(2)/25)*AA145+(1-EXP(-LN(2)/25))/(LN(2)/25)*Calculateur!V146*Calculateur!X146*VLOOKUP('Données projet'!$B$9,Paramètres!$A$1:$I$89,3,0)*0.475*44/12</f>
        <v>0.49176998445914999</v>
      </c>
      <c r="AB146" s="21">
        <f>EXP(-LN(2)/2)*AB145+(1-EXP(-LN(2)/2))/(LN(2)/2)*V146*Y146*VLOOKUP('Données projet'!$B$9,Paramètres!$A$1:$I$89,3,0)*0.475*44/12</f>
        <v>2.1150457205310367E-16</v>
      </c>
      <c r="AC146" s="22">
        <f t="shared" si="111"/>
        <v>0.74872632685670459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-3.6711753637064249E-13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550.66682372933292</v>
      </c>
      <c r="AO146" s="59">
        <f t="shared" si="144"/>
        <v>387.28615589698444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0.30568944181778046</v>
      </c>
      <c r="AV146" s="21">
        <f>EXP(-LN(2)/25)*AV145+(1-EXP(-LN(2)/25))/(LN(2)/25)*Calculateur!AQ146*Calculateur!AS146*VLOOKUP('Données projet'!$B$10,Paramètres!$A$1:$I$89,3,0)*0.475*44/12</f>
        <v>0.58503670564967902</v>
      </c>
      <c r="AW146" s="21">
        <f>EXP(-LN(2)/2)*AW145+(1-EXP(-LN(2)/2))/(LN(2)/2)*AQ146*AT146*VLOOKUP('Données projet'!$B$10,Paramètres!$A$1:$I$89,3,0)*0.475*44/12</f>
        <v>2.5161750813213943E-16</v>
      </c>
      <c r="AX146" s="21">
        <f t="shared" si="114"/>
        <v>0.89072614746745971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1.3301360013429075E-13</v>
      </c>
      <c r="BF146" s="13">
        <f t="shared" si="145"/>
        <v>1.9329766731057041E-12</v>
      </c>
      <c r="BG146" s="20">
        <f t="shared" si="115"/>
        <v>3.5982663925596575E-12</v>
      </c>
      <c r="BH146" s="59">
        <f t="shared" si="116"/>
        <v>293.3333333333369</v>
      </c>
      <c r="BI146" s="59">
        <f ca="1">AVERAGE(OFFSET($BH$3,0,0,'Données projet'!$E$11+1,1))-AVERAGE(OFFSET($H$3,0,0,'Données projet'!$E$11+1,1))</f>
        <v>376.33792692771908</v>
      </c>
      <c r="BJ146" s="59">
        <f t="shared" si="146"/>
        <v>367.92889258044698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0.15426874004779284</v>
      </c>
      <c r="BQ146" s="21">
        <f>EXP(-LN(2)/25)*BQ145+(1-EXP(-LN(2)/25))/(LN(2)/25)*Calculateur!BL146*Calculateur!BN146*VLOOKUP('Données projet'!$B$11,Paramètres!$A$1:$I$89,3,0)*0.475*44/12</f>
        <v>0.36484413226618334</v>
      </c>
      <c r="BR146" s="21">
        <f>EXP(-LN(2)/2)*BR145+(1-EXP(-LN(2)/2))/(LN(2)/2)*BL146*BO146*VLOOKUP('Données projet'!$B$11,Paramètres!$A$1:$I$89,3,0)*0.475*44/12</f>
        <v>1.2826850319301737E-16</v>
      </c>
      <c r="BS146" s="22">
        <f t="shared" si="117"/>
        <v>0.51911287231397629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-1.0286385077051818E-13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388.50131600273431</v>
      </c>
      <c r="CE146" s="59">
        <f t="shared" si="148"/>
        <v>247.01165577562955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0.13537461231738324</v>
      </c>
      <c r="CM146" s="21">
        <f>EXP(-LN(2)/2)*CM145+(1-EXP(-LN(2)/2))/(LN(2)/2)*CG146*CJ146*VLOOKUP('Données projet'!$B$12,Paramètres!$A$1:$I$89,3,0)*0.475*44/12</f>
        <v>6.0736552440054232E-17</v>
      </c>
      <c r="CN146" s="22">
        <f t="shared" si="120"/>
        <v>0.13537461231738329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-1.223725121235475E-13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454.43000549907373</v>
      </c>
      <c r="CZ146" s="59">
        <f t="shared" si="150"/>
        <v>285.83623046025156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0.16104910775688691</v>
      </c>
      <c r="DH146" s="21">
        <f>EXP(-LN(2)/2)*DH145+(1-EXP(-LN(2)/2))/(LN(2)/2)*DB146*DE146*VLOOKUP('Données projet'!$B$13,Paramètres!$A$1:$I$89,3,0)*0.475*44/12</f>
        <v>7.2255553764892229E-17</v>
      </c>
      <c r="DI146" s="22">
        <f t="shared" si="123"/>
        <v>0.16104910775688699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1.7053025658242404E-13</v>
      </c>
      <c r="DP146" s="17">
        <f>DO146*VLOOKUP('Données projet'!$B$14,Paramètres!$A$1:$I$89,3,0)*VLOOKUP('Données projet'!$B$14,Paramètres!$A$1:$I$89,5,0)</f>
        <v>1.3301360013429075E-13</v>
      </c>
      <c r="DQ146" s="13">
        <f t="shared" si="151"/>
        <v>1.9329766731057041E-12</v>
      </c>
      <c r="DR146" s="20">
        <f t="shared" si="124"/>
        <v>3.5982663925596575E-12</v>
      </c>
      <c r="DS146" s="59">
        <f t="shared" si="125"/>
        <v>293.3333333333369</v>
      </c>
      <c r="DT146" s="59">
        <f ca="1">AVERAGE(OFFSET($DS$3,0,0,'Données projet'!$E$14+1,1))-AVERAGE(OFFSET($H$3,0,0,'Données projet'!$E$14+1,1))</f>
        <v>376.33792692771908</v>
      </c>
      <c r="DU146" s="59">
        <f t="shared" si="152"/>
        <v>367.92889258044698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0.15426874004779284</v>
      </c>
      <c r="EB146" s="21">
        <f>EXP(-LN(2)/25)*EB145+(1-EXP(-LN(2)/25))/(LN(2)/25)*Calculateur!DW146*Calculateur!DY146*VLOOKUP('Données projet'!$B$14,Paramètres!$A$1:$I$89,3,0)*0.475*44/12</f>
        <v>0.36484413226618334</v>
      </c>
      <c r="EC146" s="21">
        <f>EXP(-LN(2)/2)*EC145+(1-EXP(-LN(2)/2))/(LN(2)/2)*DW146*DZ146*VLOOKUP('Données projet'!$B$14,Paramètres!$A$1:$I$89,3,0)*0.475*44/12</f>
        <v>1.2826850319301737E-16</v>
      </c>
      <c r="ED146" s="22">
        <f t="shared" si="126"/>
        <v>0.51911287231397629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-3.0859155231155454E-13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469.68830256438338</v>
      </c>
      <c r="T147" s="59">
        <f t="shared" si="142"/>
        <v>332.61387922152159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0.25191758525103158</v>
      </c>
      <c r="AA147" s="21">
        <f>EXP(-LN(2)/25)*AA146+(1-EXP(-LN(2)/25))/(LN(2)/25)*Calculateur!V147*Calculateur!X147*VLOOKUP('Données projet'!$B$9,Paramètres!$A$1:$I$89,3,0)*0.475*44/12</f>
        <v>0.47832250837305501</v>
      </c>
      <c r="AB147" s="21">
        <f>EXP(-LN(2)/2)*AB146+(1-EXP(-LN(2)/2))/(LN(2)/2)*V147*Y147*VLOOKUP('Données projet'!$B$9,Paramètres!$A$1:$I$89,3,0)*0.475*44/12</f>
        <v>1.4955631715070835E-16</v>
      </c>
      <c r="AC147" s="22">
        <f t="shared" si="111"/>
        <v>0.73024009362408671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-3.6711753637064249E-13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550.66682372933292</v>
      </c>
      <c r="AO147" s="59">
        <f t="shared" si="144"/>
        <v>387.28615589698444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0.29969505831588267</v>
      </c>
      <c r="AV147" s="21">
        <f>EXP(-LN(2)/25)*AV146+(1-EXP(-LN(2)/25))/(LN(2)/25)*Calculateur!AQ147*Calculateur!AS147*VLOOKUP('Données projet'!$B$10,Paramètres!$A$1:$I$89,3,0)*0.475*44/12</f>
        <v>0.56903884616794531</v>
      </c>
      <c r="AW147" s="21">
        <f>EXP(-LN(2)/2)*AW146+(1-EXP(-LN(2)/2))/(LN(2)/2)*AQ147*AT147*VLOOKUP('Données projet'!$B$10,Paramètres!$A$1:$I$89,3,0)*0.475*44/12</f>
        <v>1.7792044626549706E-16</v>
      </c>
      <c r="AX147" s="21">
        <f t="shared" si="114"/>
        <v>0.86873390448382826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1.3301360013429075E-13</v>
      </c>
      <c r="BF147" s="13">
        <f t="shared" si="145"/>
        <v>1.9329766731057041E-12</v>
      </c>
      <c r="BG147" s="20">
        <f t="shared" si="115"/>
        <v>3.5982663925596575E-12</v>
      </c>
      <c r="BH147" s="59">
        <f t="shared" si="116"/>
        <v>293.3333333333369</v>
      </c>
      <c r="BI147" s="59">
        <f ca="1">AVERAGE(OFFSET($BH$3,0,0,'Données projet'!$E$11+1,1))-AVERAGE(OFFSET($H$3,0,0,'Données projet'!$E$11+1,1))</f>
        <v>376.33792692771908</v>
      </c>
      <c r="BJ147" s="59">
        <f t="shared" si="146"/>
        <v>367.92889258044698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0.15124362415009598</v>
      </c>
      <c r="BQ147" s="21">
        <f>EXP(-LN(2)/25)*BQ146+(1-EXP(-LN(2)/25))/(LN(2)/25)*Calculateur!BL147*Calculateur!BN147*VLOOKUP('Données projet'!$B$11,Paramètres!$A$1:$I$89,3,0)*0.475*44/12</f>
        <v>0.3548674502830455</v>
      </c>
      <c r="BR147" s="21">
        <f>EXP(-LN(2)/2)*BR146+(1-EXP(-LN(2)/2))/(LN(2)/2)*BL147*BO147*VLOOKUP('Données projet'!$B$11,Paramètres!$A$1:$I$89,3,0)*0.475*44/12</f>
        <v>9.0699528420430909E-17</v>
      </c>
      <c r="BS147" s="22">
        <f t="shared" si="117"/>
        <v>0.50611107443314163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-1.0286385077051818E-13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388.50131600273431</v>
      </c>
      <c r="CE147" s="59">
        <f t="shared" si="148"/>
        <v>247.01165577562955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0.13167278642452293</v>
      </c>
      <c r="CM147" s="21">
        <f>EXP(-LN(2)/2)*CM146+(1-EXP(-LN(2)/2))/(LN(2)/2)*CG147*CJ147*VLOOKUP('Données projet'!$B$12,Paramètres!$A$1:$I$89,3,0)*0.475*44/12</f>
        <v>4.2947228096254698E-17</v>
      </c>
      <c r="CN147" s="22">
        <f t="shared" si="120"/>
        <v>0.13167278642452299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-1.223725121235475E-13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454.43000549907373</v>
      </c>
      <c r="CZ147" s="59">
        <f t="shared" si="150"/>
        <v>285.83623046025156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0.15664521143607035</v>
      </c>
      <c r="DH147" s="21">
        <f>EXP(-LN(2)/2)*DH146+(1-EXP(-LN(2)/2))/(LN(2)/2)*DB147*DE147*VLOOKUP('Données projet'!$B$13,Paramètres!$A$1:$I$89,3,0)*0.475*44/12</f>
        <v>5.109239204554447E-17</v>
      </c>
      <c r="DI147" s="22">
        <f t="shared" si="123"/>
        <v>0.15664521143607041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1.7053025658242404E-13</v>
      </c>
      <c r="DP147" s="17">
        <f>DO147*VLOOKUP('Données projet'!$B$14,Paramètres!$A$1:$I$89,3,0)*VLOOKUP('Données projet'!$B$14,Paramètres!$A$1:$I$89,5,0)</f>
        <v>1.3301360013429075E-13</v>
      </c>
      <c r="DQ147" s="13">
        <f t="shared" si="151"/>
        <v>1.9329766731057041E-12</v>
      </c>
      <c r="DR147" s="20">
        <f t="shared" si="124"/>
        <v>3.5982663925596575E-12</v>
      </c>
      <c r="DS147" s="59">
        <f t="shared" si="125"/>
        <v>293.3333333333369</v>
      </c>
      <c r="DT147" s="59">
        <f ca="1">AVERAGE(OFFSET($DS$3,0,0,'Données projet'!$E$14+1,1))-AVERAGE(OFFSET($H$3,0,0,'Données projet'!$E$14+1,1))</f>
        <v>376.33792692771908</v>
      </c>
      <c r="DU147" s="59">
        <f t="shared" si="152"/>
        <v>367.92889258044698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0.15124362415009598</v>
      </c>
      <c r="EB147" s="21">
        <f>EXP(-LN(2)/25)*EB146+(1-EXP(-LN(2)/25))/(LN(2)/25)*Calculateur!DW147*Calculateur!DY147*VLOOKUP('Données projet'!$B$14,Paramètres!$A$1:$I$89,3,0)*0.475*44/12</f>
        <v>0.3548674502830455</v>
      </c>
      <c r="EC147" s="21">
        <f>EXP(-LN(2)/2)*EC146+(1-EXP(-LN(2)/2))/(LN(2)/2)*DW147*DZ147*VLOOKUP('Données projet'!$B$14,Paramètres!$A$1:$I$89,3,0)*0.475*44/12</f>
        <v>9.0699528420430909E-17</v>
      </c>
      <c r="ED147" s="22">
        <f t="shared" si="126"/>
        <v>0.50611107443314163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-3.0859155231155454E-13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469.68830256438338</v>
      </c>
      <c r="T148" s="59">
        <f t="shared" si="142"/>
        <v>332.61387922152159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0.24697763505881373</v>
      </c>
      <c r="AA148" s="21">
        <f>EXP(-LN(2)/25)*AA147+(1-EXP(-LN(2)/25))/(LN(2)/25)*Calculateur!V148*Calculateur!X148*VLOOKUP('Données projet'!$B$9,Paramètres!$A$1:$I$89,3,0)*0.475*44/12</f>
        <v>0.46524275422770633</v>
      </c>
      <c r="AB148" s="21">
        <f>EXP(-LN(2)/2)*AB147+(1-EXP(-LN(2)/2))/(LN(2)/2)*V148*Y148*VLOOKUP('Données projet'!$B$9,Paramètres!$A$1:$I$89,3,0)*0.475*44/12</f>
        <v>1.0575228602655183E-16</v>
      </c>
      <c r="AC148" s="22">
        <f t="shared" si="111"/>
        <v>0.71222038928652021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-3.6711753637064249E-13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550.66682372933292</v>
      </c>
      <c r="AO148" s="59">
        <f t="shared" si="144"/>
        <v>387.28615589698444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0.29381822101824417</v>
      </c>
      <c r="AV148" s="21">
        <f>EXP(-LN(2)/25)*AV147+(1-EXP(-LN(2)/25))/(LN(2)/25)*Calculateur!AQ148*Calculateur!AS148*VLOOKUP('Données projet'!$B$10,Paramètres!$A$1:$I$89,3,0)*0.475*44/12</f>
        <v>0.55347844899503051</v>
      </c>
      <c r="AW148" s="21">
        <f>EXP(-LN(2)/2)*AW147+(1-EXP(-LN(2)/2))/(LN(2)/2)*AQ148*AT148*VLOOKUP('Données projet'!$B$10,Paramètres!$A$1:$I$89,3,0)*0.475*44/12</f>
        <v>1.2580875406606971E-16</v>
      </c>
      <c r="AX148" s="21">
        <f t="shared" si="114"/>
        <v>0.8472966700132748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1.3301360013429075E-13</v>
      </c>
      <c r="BF148" s="13">
        <f t="shared" si="145"/>
        <v>1.9329766731057041E-12</v>
      </c>
      <c r="BG148" s="20">
        <f t="shared" si="115"/>
        <v>3.5982663925596575E-12</v>
      </c>
      <c r="BH148" s="59">
        <f t="shared" si="116"/>
        <v>293.3333333333369</v>
      </c>
      <c r="BI148" s="59">
        <f ca="1">AVERAGE(OFFSET($BH$3,0,0,'Données projet'!$E$11+1,1))-AVERAGE(OFFSET($H$3,0,0,'Données projet'!$E$11+1,1))</f>
        <v>376.33792692771908</v>
      </c>
      <c r="BJ148" s="59">
        <f t="shared" si="146"/>
        <v>367.92889258044698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0.14827782893001445</v>
      </c>
      <c r="BQ148" s="21">
        <f>EXP(-LN(2)/25)*BQ147+(1-EXP(-LN(2)/25))/(LN(2)/25)*Calculateur!BL148*Calculateur!BN148*VLOOKUP('Données projet'!$B$11,Paramètres!$A$1:$I$89,3,0)*0.475*44/12</f>
        <v>0.34516358119338747</v>
      </c>
      <c r="BR148" s="21">
        <f>EXP(-LN(2)/2)*BR147+(1-EXP(-LN(2)/2))/(LN(2)/2)*BL148*BO148*VLOOKUP('Données projet'!$B$11,Paramètres!$A$1:$I$89,3,0)*0.475*44/12</f>
        <v>6.4134251596508686E-17</v>
      </c>
      <c r="BS148" s="22">
        <f t="shared" si="117"/>
        <v>0.49344141012340198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-1.0286385077051818E-13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388.50131600273431</v>
      </c>
      <c r="CE148" s="59">
        <f t="shared" si="148"/>
        <v>247.01165577562955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0.12807218715537347</v>
      </c>
      <c r="CM148" s="21">
        <f>EXP(-LN(2)/2)*CM147+(1-EXP(-LN(2)/2))/(LN(2)/2)*CG148*CJ148*VLOOKUP('Données projet'!$B$12,Paramètres!$A$1:$I$89,3,0)*0.475*44/12</f>
        <v>3.0368276220027116E-17</v>
      </c>
      <c r="CN148" s="22">
        <f t="shared" si="120"/>
        <v>0.1280721871553735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-1.223725121235475E-13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454.43000549907373</v>
      </c>
      <c r="CZ148" s="59">
        <f t="shared" si="150"/>
        <v>285.83623046025156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0.15236173989173735</v>
      </c>
      <c r="DH148" s="21">
        <f>EXP(-LN(2)/2)*DH147+(1-EXP(-LN(2)/2))/(LN(2)/2)*DB148*DE148*VLOOKUP('Données projet'!$B$13,Paramètres!$A$1:$I$89,3,0)*0.475*44/12</f>
        <v>3.6127776882446114E-17</v>
      </c>
      <c r="DI148" s="22">
        <f t="shared" si="123"/>
        <v>0.15236173989173737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1.7053025658242404E-13</v>
      </c>
      <c r="DP148" s="17">
        <f>DO148*VLOOKUP('Données projet'!$B$14,Paramètres!$A$1:$I$89,3,0)*VLOOKUP('Données projet'!$B$14,Paramètres!$A$1:$I$89,5,0)</f>
        <v>1.3301360013429075E-13</v>
      </c>
      <c r="DQ148" s="13">
        <f t="shared" si="151"/>
        <v>1.9329766731057041E-12</v>
      </c>
      <c r="DR148" s="20">
        <f t="shared" si="124"/>
        <v>3.5982663925596575E-12</v>
      </c>
      <c r="DS148" s="59">
        <f t="shared" si="125"/>
        <v>293.3333333333369</v>
      </c>
      <c r="DT148" s="59">
        <f ca="1">AVERAGE(OFFSET($DS$3,0,0,'Données projet'!$E$14+1,1))-AVERAGE(OFFSET($H$3,0,0,'Données projet'!$E$14+1,1))</f>
        <v>376.33792692771908</v>
      </c>
      <c r="DU148" s="59">
        <f t="shared" si="152"/>
        <v>367.92889258044698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0.14827782893001445</v>
      </c>
      <c r="EB148" s="21">
        <f>EXP(-LN(2)/25)*EB147+(1-EXP(-LN(2)/25))/(LN(2)/25)*Calculateur!DW148*Calculateur!DY148*VLOOKUP('Données projet'!$B$14,Paramètres!$A$1:$I$89,3,0)*0.475*44/12</f>
        <v>0.34516358119338747</v>
      </c>
      <c r="EC148" s="21">
        <f>EXP(-LN(2)/2)*EC147+(1-EXP(-LN(2)/2))/(LN(2)/2)*DW148*DZ148*VLOOKUP('Données projet'!$B$14,Paramètres!$A$1:$I$89,3,0)*0.475*44/12</f>
        <v>6.4134251596508686E-17</v>
      </c>
      <c r="ED148" s="22">
        <f t="shared" si="126"/>
        <v>0.49344141012340198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-3.0859155231155454E-13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469.68830256438338</v>
      </c>
      <c r="T149" s="59">
        <f t="shared" si="142"/>
        <v>332.61387922152159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0.24213455427679317</v>
      </c>
      <c r="AA149" s="21">
        <f>EXP(-LN(2)/25)*AA148+(1-EXP(-LN(2)/25))/(LN(2)/25)*Calculateur!V149*Calculateur!X149*VLOOKUP('Données projet'!$B$9,Paramètres!$A$1:$I$89,3,0)*0.475*44/12</f>
        <v>0.45252066664729657</v>
      </c>
      <c r="AB149" s="21">
        <f>EXP(-LN(2)/2)*AB148+(1-EXP(-LN(2)/2))/(LN(2)/2)*V149*Y149*VLOOKUP('Données projet'!$B$9,Paramètres!$A$1:$I$89,3,0)*0.475*44/12</f>
        <v>7.4778158575354173E-17</v>
      </c>
      <c r="AC149" s="22">
        <f t="shared" si="111"/>
        <v>0.69465522092408982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-3.6711753637064249E-13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550.66682372933292</v>
      </c>
      <c r="AO149" s="59">
        <f t="shared" si="144"/>
        <v>387.28615589698444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0.28805662491549555</v>
      </c>
      <c r="AV149" s="21">
        <f>EXP(-LN(2)/25)*AV148+(1-EXP(-LN(2)/25))/(LN(2)/25)*Calculateur!AQ149*Calculateur!AS149*VLOOKUP('Données projet'!$B$10,Paramètres!$A$1:$I$89,3,0)*0.475*44/12</f>
        <v>0.53834355170109471</v>
      </c>
      <c r="AW149" s="21">
        <f>EXP(-LN(2)/2)*AW148+(1-EXP(-LN(2)/2))/(LN(2)/2)*AQ149*AT149*VLOOKUP('Données projet'!$B$10,Paramètres!$A$1:$I$89,3,0)*0.475*44/12</f>
        <v>8.8960223132748529E-17</v>
      </c>
      <c r="AX149" s="21">
        <f t="shared" si="114"/>
        <v>0.82640017661659038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1.3301360013429075E-13</v>
      </c>
      <c r="BF149" s="13">
        <f t="shared" si="145"/>
        <v>1.9329766731057041E-12</v>
      </c>
      <c r="BG149" s="20">
        <f t="shared" si="115"/>
        <v>3.5982663925596575E-12</v>
      </c>
      <c r="BH149" s="59">
        <f t="shared" si="116"/>
        <v>293.3333333333369</v>
      </c>
      <c r="BI149" s="59">
        <f ca="1">AVERAGE(OFFSET($BH$3,0,0,'Données projet'!$E$11+1,1))-AVERAGE(OFFSET($H$3,0,0,'Données projet'!$E$11+1,1))</f>
        <v>376.33792692771908</v>
      </c>
      <c r="BJ149" s="59">
        <f t="shared" si="146"/>
        <v>367.92889258044698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0.14537019114524224</v>
      </c>
      <c r="BQ149" s="21">
        <f>EXP(-LN(2)/25)*BQ148+(1-EXP(-LN(2)/25))/(LN(2)/25)*Calculateur!BL149*Calculateur!BN149*VLOOKUP('Données projet'!$B$11,Paramètres!$A$1:$I$89,3,0)*0.475*44/12</f>
        <v>0.33572506491429044</v>
      </c>
      <c r="BR149" s="21">
        <f>EXP(-LN(2)/2)*BR148+(1-EXP(-LN(2)/2))/(LN(2)/2)*BL149*BO149*VLOOKUP('Données projet'!$B$11,Paramètres!$A$1:$I$89,3,0)*0.475*44/12</f>
        <v>4.5349764210215455E-17</v>
      </c>
      <c r="BS149" s="22">
        <f t="shared" si="117"/>
        <v>0.48109525605953274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-1.0286385077051818E-13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388.50131600273431</v>
      </c>
      <c r="CE149" s="59">
        <f t="shared" si="148"/>
        <v>247.01165577562955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0.12457004646258617</v>
      </c>
      <c r="CM149" s="21">
        <f>EXP(-LN(2)/2)*CM148+(1-EXP(-LN(2)/2))/(LN(2)/2)*CG149*CJ149*VLOOKUP('Données projet'!$B$12,Paramètres!$A$1:$I$89,3,0)*0.475*44/12</f>
        <v>2.1473614048127349E-17</v>
      </c>
      <c r="CN149" s="22">
        <f t="shared" si="120"/>
        <v>0.1245700464625862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-1.223725121235475E-13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454.43000549907373</v>
      </c>
      <c r="CZ149" s="59">
        <f t="shared" si="150"/>
        <v>285.83623046025156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0.1481954001020421</v>
      </c>
      <c r="DH149" s="21">
        <f>EXP(-LN(2)/2)*DH148+(1-EXP(-LN(2)/2))/(LN(2)/2)*DB149*DE149*VLOOKUP('Données projet'!$B$13,Paramètres!$A$1:$I$89,3,0)*0.475*44/12</f>
        <v>2.5546196022772235E-17</v>
      </c>
      <c r="DI149" s="22">
        <f t="shared" si="123"/>
        <v>0.14819540010204213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1.7053025658242404E-13</v>
      </c>
      <c r="DP149" s="17">
        <f>DO149*VLOOKUP('Données projet'!$B$14,Paramètres!$A$1:$I$89,3,0)*VLOOKUP('Données projet'!$B$14,Paramètres!$A$1:$I$89,5,0)</f>
        <v>1.3301360013429075E-13</v>
      </c>
      <c r="DQ149" s="13">
        <f t="shared" si="151"/>
        <v>1.9329766731057041E-12</v>
      </c>
      <c r="DR149" s="20">
        <f t="shared" si="124"/>
        <v>3.5982663925596575E-12</v>
      </c>
      <c r="DS149" s="59">
        <f t="shared" si="125"/>
        <v>293.3333333333369</v>
      </c>
      <c r="DT149" s="59">
        <f ca="1">AVERAGE(OFFSET($DS$3,0,0,'Données projet'!$E$14+1,1))-AVERAGE(OFFSET($H$3,0,0,'Données projet'!$E$14+1,1))</f>
        <v>376.33792692771908</v>
      </c>
      <c r="DU149" s="59">
        <f t="shared" si="152"/>
        <v>367.92889258044698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0.14537019114524224</v>
      </c>
      <c r="EB149" s="21">
        <f>EXP(-LN(2)/25)*EB148+(1-EXP(-LN(2)/25))/(LN(2)/25)*Calculateur!DW149*Calculateur!DY149*VLOOKUP('Données projet'!$B$14,Paramètres!$A$1:$I$89,3,0)*0.475*44/12</f>
        <v>0.33572506491429044</v>
      </c>
      <c r="EC149" s="21">
        <f>EXP(-LN(2)/2)*EC148+(1-EXP(-LN(2)/2))/(LN(2)/2)*DW149*DZ149*VLOOKUP('Données projet'!$B$14,Paramètres!$A$1:$I$89,3,0)*0.475*44/12</f>
        <v>4.5349764210215455E-17</v>
      </c>
      <c r="ED149" s="22">
        <f t="shared" si="126"/>
        <v>0.48109525605953274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-3.0859155231155454E-13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469.68830256438338</v>
      </c>
      <c r="T150" s="59">
        <f t="shared" si="142"/>
        <v>332.61387922152159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0.23738644335492043</v>
      </c>
      <c r="AA150" s="21">
        <f>EXP(-LN(2)/25)*AA149+(1-EXP(-LN(2)/25))/(LN(2)/25)*Calculateur!V150*Calculateur!X150*VLOOKUP('Données projet'!$B$9,Paramètres!$A$1:$I$89,3,0)*0.475*44/12</f>
        <v>0.44014646522079864</v>
      </c>
      <c r="AB150" s="21">
        <f>EXP(-LN(2)/2)*AB149+(1-EXP(-LN(2)/2))/(LN(2)/2)*V150*Y150*VLOOKUP('Données projet'!$B$9,Paramètres!$A$1:$I$89,3,0)*0.475*44/12</f>
        <v>5.2876143013275917E-17</v>
      </c>
      <c r="AC150" s="22">
        <f t="shared" si="111"/>
        <v>0.67753290857571913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-3.6711753637064249E-13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550.66682372933292</v>
      </c>
      <c r="AO150" s="59">
        <f t="shared" si="144"/>
        <v>387.28615589698444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0.28240801019809525</v>
      </c>
      <c r="AV150" s="21">
        <f>EXP(-LN(2)/25)*AV149+(1-EXP(-LN(2)/25))/(LN(2)/25)*Calculateur!AQ150*Calculateur!AS150*VLOOKUP('Données projet'!$B$10,Paramètres!$A$1:$I$89,3,0)*0.475*44/12</f>
        <v>0.52362251896957135</v>
      </c>
      <c r="AW150" s="21">
        <f>EXP(-LN(2)/2)*AW149+(1-EXP(-LN(2)/2))/(LN(2)/2)*AQ150*AT150*VLOOKUP('Données projet'!$B$10,Paramètres!$A$1:$I$89,3,0)*0.475*44/12</f>
        <v>6.2904377033034857E-17</v>
      </c>
      <c r="AX150" s="21">
        <f t="shared" si="114"/>
        <v>0.80603052916766671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1.3301360013429075E-13</v>
      </c>
      <c r="BF150" s="13">
        <f t="shared" si="145"/>
        <v>1.9329766731057041E-12</v>
      </c>
      <c r="BG150" s="20">
        <f t="shared" si="115"/>
        <v>3.5982663925596575E-12</v>
      </c>
      <c r="BH150" s="59">
        <f t="shared" si="116"/>
        <v>293.3333333333369</v>
      </c>
      <c r="BI150" s="59">
        <f ca="1">AVERAGE(OFFSET($BH$3,0,0,'Données projet'!$E$11+1,1))-AVERAGE(OFFSET($H$3,0,0,'Données projet'!$E$11+1,1))</f>
        <v>376.33792692771908</v>
      </c>
      <c r="BJ150" s="59">
        <f t="shared" si="146"/>
        <v>367.92889258044698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0.1425195703639455</v>
      </c>
      <c r="BQ150" s="21">
        <f>EXP(-LN(2)/25)*BQ149+(1-EXP(-LN(2)/25))/(LN(2)/25)*Calculateur!BL150*Calculateur!BN150*VLOOKUP('Données projet'!$B$11,Paramètres!$A$1:$I$89,3,0)*0.475*44/12</f>
        <v>0.32654464535919531</v>
      </c>
      <c r="BR150" s="21">
        <f>EXP(-LN(2)/2)*BR149+(1-EXP(-LN(2)/2))/(LN(2)/2)*BL150*BO150*VLOOKUP('Données projet'!$B$11,Paramètres!$A$1:$I$89,3,0)*0.475*44/12</f>
        <v>3.2067125798254343E-17</v>
      </c>
      <c r="BS150" s="22">
        <f t="shared" si="117"/>
        <v>0.46906421572314089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-1.0286385077051818E-13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388.50131600273431</v>
      </c>
      <c r="CE150" s="59">
        <f t="shared" si="148"/>
        <v>247.01165577562955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0.12116367199121271</v>
      </c>
      <c r="CM150" s="21">
        <f>EXP(-LN(2)/2)*CM149+(1-EXP(-LN(2)/2))/(LN(2)/2)*CG150*CJ150*VLOOKUP('Données projet'!$B$12,Paramètres!$A$1:$I$89,3,0)*0.475*44/12</f>
        <v>1.5184138110013558E-17</v>
      </c>
      <c r="CN150" s="22">
        <f t="shared" si="120"/>
        <v>0.12116367199121272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-1.223725121235475E-13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454.43000549907373</v>
      </c>
      <c r="CZ150" s="59">
        <f t="shared" si="150"/>
        <v>285.83623046025156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0.14414298909299436</v>
      </c>
      <c r="DH150" s="21">
        <f>EXP(-LN(2)/2)*DH149+(1-EXP(-LN(2)/2))/(LN(2)/2)*DB150*DE150*VLOOKUP('Données projet'!$B$13,Paramètres!$A$1:$I$89,3,0)*0.475*44/12</f>
        <v>1.8063888441223057E-17</v>
      </c>
      <c r="DI150" s="22">
        <f t="shared" si="123"/>
        <v>0.14414298909299439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1.7053025658242404E-13</v>
      </c>
      <c r="DP150" s="17">
        <f>DO150*VLOOKUP('Données projet'!$B$14,Paramètres!$A$1:$I$89,3,0)*VLOOKUP('Données projet'!$B$14,Paramètres!$A$1:$I$89,5,0)</f>
        <v>1.3301360013429075E-13</v>
      </c>
      <c r="DQ150" s="13">
        <f t="shared" si="151"/>
        <v>1.9329766731057041E-12</v>
      </c>
      <c r="DR150" s="20">
        <f t="shared" si="124"/>
        <v>3.5982663925596575E-12</v>
      </c>
      <c r="DS150" s="59">
        <f t="shared" si="125"/>
        <v>293.3333333333369</v>
      </c>
      <c r="DT150" s="59">
        <f ca="1">AVERAGE(OFFSET($DS$3,0,0,'Données projet'!$E$14+1,1))-AVERAGE(OFFSET($H$3,0,0,'Données projet'!$E$14+1,1))</f>
        <v>376.33792692771908</v>
      </c>
      <c r="DU150" s="59">
        <f t="shared" si="152"/>
        <v>367.92889258044698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0.1425195703639455</v>
      </c>
      <c r="EB150" s="21">
        <f>EXP(-LN(2)/25)*EB149+(1-EXP(-LN(2)/25))/(LN(2)/25)*Calculateur!DW150*Calculateur!DY150*VLOOKUP('Données projet'!$B$14,Paramètres!$A$1:$I$89,3,0)*0.475*44/12</f>
        <v>0.32654464535919531</v>
      </c>
      <c r="EC150" s="21">
        <f>EXP(-LN(2)/2)*EC149+(1-EXP(-LN(2)/2))/(LN(2)/2)*DW150*DZ150*VLOOKUP('Données projet'!$B$14,Paramètres!$A$1:$I$89,3,0)*0.475*44/12</f>
        <v>3.2067125798254343E-17</v>
      </c>
      <c r="ED150" s="22">
        <f t="shared" si="126"/>
        <v>0.46906421572314089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-3.0859155231155454E-13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469.68830256438338</v>
      </c>
      <c r="T151" s="59">
        <f t="shared" si="142"/>
        <v>332.61387922152159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0.23273143999216392</v>
      </c>
      <c r="AA151" s="21">
        <f>EXP(-LN(2)/25)*AA150+(1-EXP(-LN(2)/25))/(LN(2)/25)*Calculateur!V151*Calculateur!X151*VLOOKUP('Données projet'!$B$9,Paramètres!$A$1:$I$89,3,0)*0.475*44/12</f>
        <v>0.42811063698303925</v>
      </c>
      <c r="AB151" s="21">
        <f>EXP(-LN(2)/2)*AB150+(1-EXP(-LN(2)/2))/(LN(2)/2)*V151*Y151*VLOOKUP('Données projet'!$B$9,Paramètres!$A$1:$I$89,3,0)*0.475*44/12</f>
        <v>3.7389079287677087E-17</v>
      </c>
      <c r="AC151" s="22">
        <f t="shared" si="111"/>
        <v>0.66084207697520314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-3.6711753637064249E-13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550.66682372933292</v>
      </c>
      <c r="AO151" s="59">
        <f t="shared" si="144"/>
        <v>387.28615589698444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0.27687016136998838</v>
      </c>
      <c r="AV151" s="21">
        <f>EXP(-LN(2)/25)*AV150+(1-EXP(-LN(2)/25))/(LN(2)/25)*Calculateur!AQ151*Calculateur!AS151*VLOOKUP('Données projet'!$B$10,Paramètres!$A$1:$I$89,3,0)*0.475*44/12</f>
        <v>0.50930403365223686</v>
      </c>
      <c r="AW151" s="21">
        <f>EXP(-LN(2)/2)*AW150+(1-EXP(-LN(2)/2))/(LN(2)/2)*AQ151*AT151*VLOOKUP('Données projet'!$B$10,Paramètres!$A$1:$I$89,3,0)*0.475*44/12</f>
        <v>4.4480111566374264E-17</v>
      </c>
      <c r="AX151" s="21">
        <f t="shared" si="114"/>
        <v>0.78617419502222519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1.3301360013429075E-13</v>
      </c>
      <c r="BF151" s="13">
        <f t="shared" si="145"/>
        <v>1.9329766731057041E-12</v>
      </c>
      <c r="BG151" s="20">
        <f t="shared" si="115"/>
        <v>3.5982663925596575E-12</v>
      </c>
      <c r="BH151" s="59">
        <f t="shared" si="116"/>
        <v>293.3333333333369</v>
      </c>
      <c r="BI151" s="59">
        <f ca="1">AVERAGE(OFFSET($BH$3,0,0,'Données projet'!$E$11+1,1))-AVERAGE(OFFSET($H$3,0,0,'Données projet'!$E$11+1,1))</f>
        <v>376.33792692771908</v>
      </c>
      <c r="BJ151" s="59">
        <f t="shared" si="146"/>
        <v>367.92889258044698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0.13972484851746297</v>
      </c>
      <c r="BQ151" s="21">
        <f>EXP(-LN(2)/25)*BQ150+(1-EXP(-LN(2)/25))/(LN(2)/25)*Calculateur!BL151*Calculateur!BN151*VLOOKUP('Données projet'!$B$11,Paramètres!$A$1:$I$89,3,0)*0.475*44/12</f>
        <v>0.31761526485961156</v>
      </c>
      <c r="BR151" s="21">
        <f>EXP(-LN(2)/2)*BR150+(1-EXP(-LN(2)/2))/(LN(2)/2)*BL151*BO151*VLOOKUP('Données projet'!$B$11,Paramètres!$A$1:$I$89,3,0)*0.475*44/12</f>
        <v>2.2674882105107727E-17</v>
      </c>
      <c r="BS151" s="22">
        <f t="shared" si="117"/>
        <v>0.45734011337707453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-1.0286385077051818E-13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388.50131600273431</v>
      </c>
      <c r="CE151" s="59">
        <f t="shared" si="148"/>
        <v>247.01165577562955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0.11785044500889241</v>
      </c>
      <c r="CM151" s="21">
        <f>EXP(-LN(2)/2)*CM150+(1-EXP(-LN(2)/2))/(LN(2)/2)*CG151*CJ151*VLOOKUP('Données projet'!$B$12,Paramètres!$A$1:$I$89,3,0)*0.475*44/12</f>
        <v>1.0736807024063674E-17</v>
      </c>
      <c r="CN151" s="22">
        <f t="shared" si="120"/>
        <v>0.11785044500889243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-1.223725121235475E-13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454.43000549907373</v>
      </c>
      <c r="CZ151" s="59">
        <f t="shared" si="150"/>
        <v>285.83623046025156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0.14020139147609609</v>
      </c>
      <c r="DH151" s="21">
        <f>EXP(-LN(2)/2)*DH150+(1-EXP(-LN(2)/2))/(LN(2)/2)*DB151*DE151*VLOOKUP('Données projet'!$B$13,Paramètres!$A$1:$I$89,3,0)*0.475*44/12</f>
        <v>1.2773098011386118E-17</v>
      </c>
      <c r="DI151" s="22">
        <f t="shared" si="123"/>
        <v>0.14020139147609609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1.7053025658242404E-13</v>
      </c>
      <c r="DP151" s="17">
        <f>DO151*VLOOKUP('Données projet'!$B$14,Paramètres!$A$1:$I$89,3,0)*VLOOKUP('Données projet'!$B$14,Paramètres!$A$1:$I$89,5,0)</f>
        <v>1.3301360013429075E-13</v>
      </c>
      <c r="DQ151" s="13">
        <f t="shared" si="151"/>
        <v>1.9329766731057041E-12</v>
      </c>
      <c r="DR151" s="20">
        <f t="shared" si="124"/>
        <v>3.5982663925596575E-12</v>
      </c>
      <c r="DS151" s="59">
        <f t="shared" si="125"/>
        <v>293.3333333333369</v>
      </c>
      <c r="DT151" s="59">
        <f ca="1">AVERAGE(OFFSET($DS$3,0,0,'Données projet'!$E$14+1,1))-AVERAGE(OFFSET($H$3,0,0,'Données projet'!$E$14+1,1))</f>
        <v>376.33792692771908</v>
      </c>
      <c r="DU151" s="59">
        <f t="shared" si="152"/>
        <v>367.92889258044698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0.13972484851746297</v>
      </c>
      <c r="EB151" s="21">
        <f>EXP(-LN(2)/25)*EB150+(1-EXP(-LN(2)/25))/(LN(2)/25)*Calculateur!DW151*Calculateur!DY151*VLOOKUP('Données projet'!$B$14,Paramètres!$A$1:$I$89,3,0)*0.475*44/12</f>
        <v>0.31761526485961156</v>
      </c>
      <c r="EC151" s="21">
        <f>EXP(-LN(2)/2)*EC150+(1-EXP(-LN(2)/2))/(LN(2)/2)*DW151*DZ151*VLOOKUP('Données projet'!$B$14,Paramètres!$A$1:$I$89,3,0)*0.475*44/12</f>
        <v>2.2674882105107727E-17</v>
      </c>
      <c r="ED151" s="22">
        <f t="shared" si="126"/>
        <v>0.45734011337707453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-3.0859155231155454E-13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469.68830256438338</v>
      </c>
      <c r="T152" s="59">
        <f t="shared" si="142"/>
        <v>332.61387922152159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0.22816771840607936</v>
      </c>
      <c r="AA152" s="21">
        <f>EXP(-LN(2)/25)*AA151+(1-EXP(-LN(2)/25))/(LN(2)/25)*Calculateur!V152*Calculateur!X152*VLOOKUP('Données projet'!$B$9,Paramètres!$A$1:$I$89,3,0)*0.475*44/12</f>
        <v>0.41640392910137808</v>
      </c>
      <c r="AB152" s="21">
        <f>EXP(-LN(2)/2)*AB151+(1-EXP(-LN(2)/2))/(LN(2)/2)*V152*Y152*VLOOKUP('Données projet'!$B$9,Paramètres!$A$1:$I$89,3,0)*0.475*44/12</f>
        <v>2.6438071506637958E-17</v>
      </c>
      <c r="AC152" s="22">
        <f t="shared" si="111"/>
        <v>0.64457164750745743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-3.6711753637064249E-13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550.66682372933292</v>
      </c>
      <c r="AO152" s="59">
        <f t="shared" si="144"/>
        <v>387.28615589698444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0.27144090637964641</v>
      </c>
      <c r="AV152" s="21">
        <f>EXP(-LN(2)/25)*AV151+(1-EXP(-LN(2)/25))/(LN(2)/25)*Calculateur!AQ152*Calculateur!AS152*VLOOKUP('Données projet'!$B$10,Paramètres!$A$1:$I$89,3,0)*0.475*44/12</f>
        <v>0.49537708806888137</v>
      </c>
      <c r="AW152" s="21">
        <f>EXP(-LN(2)/2)*AW151+(1-EXP(-LN(2)/2))/(LN(2)/2)*AQ152*AT152*VLOOKUP('Données projet'!$B$10,Paramètres!$A$1:$I$89,3,0)*0.475*44/12</f>
        <v>3.1452188516517428E-17</v>
      </c>
      <c r="AX152" s="21">
        <f t="shared" si="114"/>
        <v>0.76681799444852783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1.3301360013429075E-13</v>
      </c>
      <c r="BF152" s="13">
        <f t="shared" si="145"/>
        <v>1.9329766731057041E-12</v>
      </c>
      <c r="BG152" s="20">
        <f t="shared" si="115"/>
        <v>3.5982663925596575E-12</v>
      </c>
      <c r="BH152" s="59">
        <f t="shared" si="116"/>
        <v>293.3333333333369</v>
      </c>
      <c r="BI152" s="59">
        <f ca="1">AVERAGE(OFFSET($BH$3,0,0,'Données projet'!$E$11+1,1))-AVERAGE(OFFSET($H$3,0,0,'Données projet'!$E$11+1,1))</f>
        <v>376.33792692771908</v>
      </c>
      <c r="BJ152" s="59">
        <f t="shared" si="146"/>
        <v>367.92889258044698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0.13698492946177798</v>
      </c>
      <c r="BQ152" s="21">
        <f>EXP(-LN(2)/25)*BQ151+(1-EXP(-LN(2)/25))/(LN(2)/25)*Calculateur!BL152*Calculateur!BN152*VLOOKUP('Données projet'!$B$11,Paramètres!$A$1:$I$89,3,0)*0.475*44/12</f>
        <v>0.30893005873936463</v>
      </c>
      <c r="BR152" s="21">
        <f>EXP(-LN(2)/2)*BR151+(1-EXP(-LN(2)/2))/(LN(2)/2)*BL152*BO152*VLOOKUP('Données projet'!$B$11,Paramètres!$A$1:$I$89,3,0)*0.475*44/12</f>
        <v>1.6033562899127172E-17</v>
      </c>
      <c r="BS152" s="22">
        <f t="shared" si="117"/>
        <v>0.44591498820114261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-1.0286385077051818E-13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388.50131600273431</v>
      </c>
      <c r="CE152" s="59">
        <f t="shared" si="148"/>
        <v>247.01165577562955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0.11462781839263869</v>
      </c>
      <c r="CM152" s="21">
        <f>EXP(-LN(2)/2)*CM151+(1-EXP(-LN(2)/2))/(LN(2)/2)*CG152*CJ152*VLOOKUP('Données projet'!$B$12,Paramètres!$A$1:$I$89,3,0)*0.475*44/12</f>
        <v>7.592069055006779E-18</v>
      </c>
      <c r="CN152" s="22">
        <f t="shared" si="120"/>
        <v>0.11462781839263871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-1.223725121235475E-13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454.43000549907373</v>
      </c>
      <c r="CZ152" s="59">
        <f t="shared" si="150"/>
        <v>285.83623046025156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0.13636757705331148</v>
      </c>
      <c r="DH152" s="21">
        <f>EXP(-LN(2)/2)*DH151+(1-EXP(-LN(2)/2))/(LN(2)/2)*DB152*DE152*VLOOKUP('Données projet'!$B$13,Paramètres!$A$1:$I$89,3,0)*0.475*44/12</f>
        <v>9.0319442206115286E-18</v>
      </c>
      <c r="DI152" s="22">
        <f t="shared" si="123"/>
        <v>0.13636757705331148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1.7053025658242404E-13</v>
      </c>
      <c r="DP152" s="17">
        <f>DO152*VLOOKUP('Données projet'!$B$14,Paramètres!$A$1:$I$89,3,0)*VLOOKUP('Données projet'!$B$14,Paramètres!$A$1:$I$89,5,0)</f>
        <v>1.3301360013429075E-13</v>
      </c>
      <c r="DQ152" s="13">
        <f t="shared" si="151"/>
        <v>1.9329766731057041E-12</v>
      </c>
      <c r="DR152" s="20">
        <f t="shared" si="124"/>
        <v>3.5982663925596575E-12</v>
      </c>
      <c r="DS152" s="59">
        <f t="shared" si="125"/>
        <v>293.3333333333369</v>
      </c>
      <c r="DT152" s="59">
        <f ca="1">AVERAGE(OFFSET($DS$3,0,0,'Données projet'!$E$14+1,1))-AVERAGE(OFFSET($H$3,0,0,'Données projet'!$E$14+1,1))</f>
        <v>376.33792692771908</v>
      </c>
      <c r="DU152" s="59">
        <f t="shared" si="152"/>
        <v>367.92889258044698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0.13698492946177798</v>
      </c>
      <c r="EB152" s="21">
        <f>EXP(-LN(2)/25)*EB151+(1-EXP(-LN(2)/25))/(LN(2)/25)*Calculateur!DW152*Calculateur!DY152*VLOOKUP('Données projet'!$B$14,Paramètres!$A$1:$I$89,3,0)*0.475*44/12</f>
        <v>0.30893005873936463</v>
      </c>
      <c r="EC152" s="21">
        <f>EXP(-LN(2)/2)*EC151+(1-EXP(-LN(2)/2))/(LN(2)/2)*DW152*DZ152*VLOOKUP('Données projet'!$B$14,Paramètres!$A$1:$I$89,3,0)*0.475*44/12</f>
        <v>1.6033562899127172E-17</v>
      </c>
      <c r="ED152" s="22">
        <f t="shared" si="126"/>
        <v>0.44591498820114261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-3.0859155231155454E-13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469.68830256438338</v>
      </c>
      <c r="T153" s="59">
        <f t="shared" si="142"/>
        <v>332.61387922152159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0.2236934886167026</v>
      </c>
      <c r="AA153" s="21">
        <f>EXP(-LN(2)/25)*AA152+(1-EXP(-LN(2)/25))/(LN(2)/25)*Calculateur!V153*Calculateur!X153*VLOOKUP('Données projet'!$B$9,Paramètres!$A$1:$I$89,3,0)*0.475*44/12</f>
        <v>0.40501734176236998</v>
      </c>
      <c r="AB153" s="21">
        <f>EXP(-LN(2)/2)*AB152+(1-EXP(-LN(2)/2))/(LN(2)/2)*V153*Y153*VLOOKUP('Données projet'!$B$9,Paramètres!$A$1:$I$89,3,0)*0.475*44/12</f>
        <v>1.8694539643838543E-17</v>
      </c>
      <c r="AC153" s="22">
        <f t="shared" si="111"/>
        <v>0.6287108303790726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-3.6711753637064249E-13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550.66682372933292</v>
      </c>
      <c r="AO153" s="59">
        <f t="shared" si="144"/>
        <v>387.28615589698444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0.26611811576814648</v>
      </c>
      <c r="AV153" s="21">
        <f>EXP(-LN(2)/25)*AV152+(1-EXP(-LN(2)/25))/(LN(2)/25)*Calculateur!AQ153*Calculateur!AS153*VLOOKUP('Données projet'!$B$10,Paramètres!$A$1:$I$89,3,0)*0.475*44/12</f>
        <v>0.48183097554488896</v>
      </c>
      <c r="AW153" s="21">
        <f>EXP(-LN(2)/2)*AW152+(1-EXP(-LN(2)/2))/(LN(2)/2)*AQ153*AT153*VLOOKUP('Données projet'!$B$10,Paramètres!$A$1:$I$89,3,0)*0.475*44/12</f>
        <v>2.2240055783187132E-17</v>
      </c>
      <c r="AX153" s="21">
        <f t="shared" si="114"/>
        <v>0.74794909131303544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1.3301360013429075E-13</v>
      </c>
      <c r="BF153" s="13">
        <f t="shared" si="145"/>
        <v>1.9329766731057041E-12</v>
      </c>
      <c r="BG153" s="20">
        <f t="shared" si="115"/>
        <v>3.5982663925596575E-12</v>
      </c>
      <c r="BH153" s="59">
        <f t="shared" si="116"/>
        <v>293.3333333333369</v>
      </c>
      <c r="BI153" s="59">
        <f ca="1">AVERAGE(OFFSET($BH$3,0,0,'Données projet'!$E$11+1,1))-AVERAGE(OFFSET($H$3,0,0,'Données projet'!$E$11+1,1))</f>
        <v>376.33792692771908</v>
      </c>
      <c r="BJ153" s="59">
        <f t="shared" si="146"/>
        <v>367.92889258044698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0.13429873854758936</v>
      </c>
      <c r="BQ153" s="21">
        <f>EXP(-LN(2)/25)*BQ152+(1-EXP(-LN(2)/25))/(LN(2)/25)*Calculateur!BL153*Calculateur!BN153*VLOOKUP('Données projet'!$B$11,Paramètres!$A$1:$I$89,3,0)*0.475*44/12</f>
        <v>0.30048235003721097</v>
      </c>
      <c r="BR153" s="21">
        <f>EXP(-LN(2)/2)*BR152+(1-EXP(-LN(2)/2))/(LN(2)/2)*BL153*BO153*VLOOKUP('Données projet'!$B$11,Paramètres!$A$1:$I$89,3,0)*0.475*44/12</f>
        <v>1.1337441052553864E-17</v>
      </c>
      <c r="BS153" s="22">
        <f t="shared" si="117"/>
        <v>0.43478108858480036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-1.0286385077051818E-13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388.50131600273431</v>
      </c>
      <c r="CE153" s="59">
        <f t="shared" si="148"/>
        <v>247.01165577562955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0.111493314670677</v>
      </c>
      <c r="CM153" s="21">
        <f>EXP(-LN(2)/2)*CM152+(1-EXP(-LN(2)/2))/(LN(2)/2)*CG153*CJ153*VLOOKUP('Données projet'!$B$12,Paramètres!$A$1:$I$89,3,0)*0.475*44/12</f>
        <v>5.3684035120318372E-18</v>
      </c>
      <c r="CN153" s="22">
        <f t="shared" si="120"/>
        <v>0.111493314670677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-1.223725121235475E-13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454.43000549907373</v>
      </c>
      <c r="CZ153" s="59">
        <f t="shared" si="150"/>
        <v>285.83623046025156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0.13263859848752949</v>
      </c>
      <c r="DH153" s="21">
        <f>EXP(-LN(2)/2)*DH152+(1-EXP(-LN(2)/2))/(LN(2)/2)*DB153*DE153*VLOOKUP('Données projet'!$B$13,Paramètres!$A$1:$I$89,3,0)*0.475*44/12</f>
        <v>6.3865490056930588E-18</v>
      </c>
      <c r="DI153" s="22">
        <f t="shared" si="123"/>
        <v>0.13263859848752949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1.7053025658242404E-13</v>
      </c>
      <c r="DP153" s="17">
        <f>DO153*VLOOKUP('Données projet'!$B$14,Paramètres!$A$1:$I$89,3,0)*VLOOKUP('Données projet'!$B$14,Paramètres!$A$1:$I$89,5,0)</f>
        <v>1.3301360013429075E-13</v>
      </c>
      <c r="DQ153" s="13">
        <f t="shared" si="151"/>
        <v>1.9329766731057041E-12</v>
      </c>
      <c r="DR153" s="20">
        <f t="shared" si="124"/>
        <v>3.5982663925596575E-12</v>
      </c>
      <c r="DS153" s="59">
        <f t="shared" si="125"/>
        <v>293.3333333333369</v>
      </c>
      <c r="DT153" s="59">
        <f ca="1">AVERAGE(OFFSET($DS$3,0,0,'Données projet'!$E$14+1,1))-AVERAGE(OFFSET($H$3,0,0,'Données projet'!$E$14+1,1))</f>
        <v>376.33792692771908</v>
      </c>
      <c r="DU153" s="59">
        <f t="shared" si="152"/>
        <v>367.92889258044698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0.13429873854758936</v>
      </c>
      <c r="EB153" s="21">
        <f>EXP(-LN(2)/25)*EB152+(1-EXP(-LN(2)/25))/(LN(2)/25)*Calculateur!DW153*Calculateur!DY153*VLOOKUP('Données projet'!$B$14,Paramètres!$A$1:$I$89,3,0)*0.475*44/12</f>
        <v>0.30048235003721097</v>
      </c>
      <c r="EC153" s="21">
        <f>EXP(-LN(2)/2)*EC152+(1-EXP(-LN(2)/2))/(LN(2)/2)*DW153*DZ153*VLOOKUP('Données projet'!$B$14,Paramètres!$A$1:$I$89,3,0)*0.475*44/12</f>
        <v>1.1337441052553864E-17</v>
      </c>
      <c r="ED153" s="22">
        <f t="shared" si="126"/>
        <v>0.43478108858480036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-3.0859155231155454E-13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469.68830256438338</v>
      </c>
      <c r="T154" s="59">
        <f t="shared" si="142"/>
        <v>332.61387922152159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0.21930699574448484</v>
      </c>
      <c r="AA154" s="21">
        <f>EXP(-LN(2)/25)*AA153+(1-EXP(-LN(2)/25))/(LN(2)/25)*Calculateur!V154*Calculateur!X154*VLOOKUP('Données projet'!$B$9,Paramètres!$A$1:$I$89,3,0)*0.475*44/12</f>
        <v>0.39394212125294165</v>
      </c>
      <c r="AB154" s="21">
        <f>EXP(-LN(2)/2)*AB153+(1-EXP(-LN(2)/2))/(LN(2)/2)*V154*Y154*VLOOKUP('Données projet'!$B$9,Paramètres!$A$1:$I$89,3,0)*0.475*44/12</f>
        <v>1.3219035753318979E-17</v>
      </c>
      <c r="AC154" s="22">
        <f t="shared" ref="AC154:AC203" si="163">SUM(Z154:AB154)</f>
        <v>0.61324911699742646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-3.6711753637064249E-13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550.66682372933292</v>
      </c>
      <c r="AO154" s="59">
        <f t="shared" si="144"/>
        <v>387.28615589698444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0.26089970183395639</v>
      </c>
      <c r="AV154" s="21">
        <f>EXP(-LN(2)/25)*AV153+(1-EXP(-LN(2)/25))/(LN(2)/25)*Calculateur!AQ154*Calculateur!AS154*VLOOKUP('Données projet'!$B$10,Paramètres!$A$1:$I$89,3,0)*0.475*44/12</f>
        <v>0.46865528218022423</v>
      </c>
      <c r="AW154" s="21">
        <f>EXP(-LN(2)/2)*AW153+(1-EXP(-LN(2)/2))/(LN(2)/2)*AQ154*AT154*VLOOKUP('Données projet'!$B$10,Paramètres!$A$1:$I$89,3,0)*0.475*44/12</f>
        <v>1.5726094258258714E-17</v>
      </c>
      <c r="AX154" s="21">
        <f t="shared" ref="AX154:AX203" si="166">SUM(AU154:AW154)</f>
        <v>0.72955498401418062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1.3301360013429075E-13</v>
      </c>
      <c r="BF154" s="13">
        <f t="shared" ref="BF154:BF203" si="167">EXP(-1.0587+0.8836*LN(BE154)+0.284)</f>
        <v>1.9329766731057041E-12</v>
      </c>
      <c r="BG154" s="20">
        <f t="shared" ref="BG154:BG203" si="168">(BE154+BF154)*0.475*44/12</f>
        <v>3.5982663925596575E-12</v>
      </c>
      <c r="BH154" s="59">
        <f t="shared" si="116"/>
        <v>293.3333333333369</v>
      </c>
      <c r="BI154" s="59">
        <f ca="1">AVERAGE(OFFSET($BH$3,0,0,'Données projet'!$E$11+1,1))-AVERAGE(OFFSET($H$3,0,0,'Données projet'!$E$11+1,1))</f>
        <v>376.33792692771908</v>
      </c>
      <c r="BJ154" s="59">
        <f t="shared" si="146"/>
        <v>367.92889258044698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0.1316652221988133</v>
      </c>
      <c r="BQ154" s="21">
        <f>EXP(-LN(2)/25)*BQ153+(1-EXP(-LN(2)/25))/(LN(2)/25)*Calculateur!BL154*Calculateur!BN154*VLOOKUP('Données projet'!$B$11,Paramètres!$A$1:$I$89,3,0)*0.475*44/12</f>
        <v>0.2922656443737634</v>
      </c>
      <c r="BR154" s="21">
        <f>EXP(-LN(2)/2)*BR153+(1-EXP(-LN(2)/2))/(LN(2)/2)*BL154*BO154*VLOOKUP('Données projet'!$B$11,Paramètres!$A$1:$I$89,3,0)*0.475*44/12</f>
        <v>8.0167814495635858E-18</v>
      </c>
      <c r="BS154" s="22">
        <f t="shared" ref="BS154:BS203" si="169">SUM(BP154:BR154)</f>
        <v>0.42393086657257673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-1.0286385077051818E-13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388.50131600273431</v>
      </c>
      <c r="CE154" s="59">
        <f t="shared" si="148"/>
        <v>247.01165577562955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0.10844452411782873</v>
      </c>
      <c r="CM154" s="21">
        <f>EXP(-LN(2)/2)*CM153+(1-EXP(-LN(2)/2))/(LN(2)/2)*CG154*CJ154*VLOOKUP('Données projet'!$B$12,Paramètres!$A$1:$I$89,3,0)*0.475*44/12</f>
        <v>3.7960345275033895E-18</v>
      </c>
      <c r="CN154" s="22">
        <f t="shared" ref="CN154:CN203" si="172">SUM(CK154:CM154)</f>
        <v>0.10844452411782873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-1.223725121235475E-13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454.43000549907373</v>
      </c>
      <c r="CZ154" s="59">
        <f t="shared" si="150"/>
        <v>285.83623046025156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0.12901158903672724</v>
      </c>
      <c r="DH154" s="21">
        <f>EXP(-LN(2)/2)*DH153+(1-EXP(-LN(2)/2))/(LN(2)/2)*DB154*DE154*VLOOKUP('Données projet'!$B$13,Paramètres!$A$1:$I$89,3,0)*0.475*44/12</f>
        <v>4.5159721103057643E-18</v>
      </c>
      <c r="DI154" s="22">
        <f t="shared" ref="DI154:DI203" si="175">SUM(DF154:DH154)</f>
        <v>0.12901158903672724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1.7053025658242404E-13</v>
      </c>
      <c r="DP154" s="17">
        <f>DO154*VLOOKUP('Données projet'!$B$14,Paramètres!$A$1:$I$89,3,0)*VLOOKUP('Données projet'!$B$14,Paramètres!$A$1:$I$89,5,0)</f>
        <v>1.3301360013429075E-13</v>
      </c>
      <c r="DQ154" s="13">
        <f t="shared" ref="DQ154:DQ203" si="176">EXP(-1.0587+0.8836*LN(DP154)+0.284)</f>
        <v>1.9329766731057041E-12</v>
      </c>
      <c r="DR154" s="20">
        <f t="shared" ref="DR154:DR203" si="177">(DP154+DQ154)*0.475*44/12</f>
        <v>3.5982663925596575E-12</v>
      </c>
      <c r="DS154" s="59">
        <f t="shared" si="125"/>
        <v>293.3333333333369</v>
      </c>
      <c r="DT154" s="59">
        <f ca="1">AVERAGE(OFFSET($DS$3,0,0,'Données projet'!$E$14+1,1))-AVERAGE(OFFSET($H$3,0,0,'Données projet'!$E$14+1,1))</f>
        <v>376.33792692771908</v>
      </c>
      <c r="DU154" s="59">
        <f t="shared" si="152"/>
        <v>367.92889258044698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0.1316652221988133</v>
      </c>
      <c r="EB154" s="21">
        <f>EXP(-LN(2)/25)*EB153+(1-EXP(-LN(2)/25))/(LN(2)/25)*Calculateur!DW154*Calculateur!DY154*VLOOKUP('Données projet'!$B$14,Paramètres!$A$1:$I$89,3,0)*0.475*44/12</f>
        <v>0.2922656443737634</v>
      </c>
      <c r="EC154" s="21">
        <f>EXP(-LN(2)/2)*EC153+(1-EXP(-LN(2)/2))/(LN(2)/2)*DW154*DZ154*VLOOKUP('Données projet'!$B$14,Paramètres!$A$1:$I$89,3,0)*0.475*44/12</f>
        <v>8.0167814495635858E-18</v>
      </c>
      <c r="ED154" s="22">
        <f t="shared" ref="ED154:ED203" si="178">SUM(EA154:EC154)</f>
        <v>0.42393086657257673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-3.0859155231155454E-13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469.68830256438338</v>
      </c>
      <c r="T155" s="59">
        <f t="shared" si="142"/>
        <v>332.61387922152159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0.2150065193219948</v>
      </c>
      <c r="AA155" s="21">
        <f>EXP(-LN(2)/25)*AA154+(1-EXP(-LN(2)/25))/(LN(2)/25)*Calculateur!V155*Calculateur!X155*VLOOKUP('Données projet'!$B$9,Paramètres!$A$1:$I$89,3,0)*0.475*44/12</f>
        <v>0.38316975323076419</v>
      </c>
      <c r="AB155" s="21">
        <f>EXP(-LN(2)/2)*AB154+(1-EXP(-LN(2)/2))/(LN(2)/2)*V155*Y155*VLOOKUP('Données projet'!$B$9,Paramètres!$A$1:$I$89,3,0)*0.475*44/12</f>
        <v>9.3472698219192717E-18</v>
      </c>
      <c r="AC155" s="22">
        <f t="shared" si="163"/>
        <v>0.59817627255275896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-3.6711753637064249E-13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550.66682372933292</v>
      </c>
      <c r="AO155" s="59">
        <f t="shared" si="144"/>
        <v>387.28615589698444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0.25578361781409753</v>
      </c>
      <c r="AV155" s="21">
        <f>EXP(-LN(2)/25)*AV154+(1-EXP(-LN(2)/25))/(LN(2)/25)*Calculateur!AQ155*Calculateur!AS155*VLOOKUP('Données projet'!$B$10,Paramètres!$A$1:$I$89,3,0)*0.475*44/12</f>
        <v>0.45583987884349586</v>
      </c>
      <c r="AW155" s="21">
        <f>EXP(-LN(2)/2)*AW154+(1-EXP(-LN(2)/2))/(LN(2)/2)*AQ155*AT155*VLOOKUP('Données projet'!$B$10,Paramètres!$A$1:$I$89,3,0)*0.475*44/12</f>
        <v>1.1120027891593566E-17</v>
      </c>
      <c r="AX155" s="21">
        <f t="shared" si="166"/>
        <v>0.71162349665759339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1.3301360013429075E-13</v>
      </c>
      <c r="BF155" s="13">
        <f t="shared" si="167"/>
        <v>1.9329766731057041E-12</v>
      </c>
      <c r="BG155" s="20">
        <f t="shared" si="168"/>
        <v>3.5982663925596575E-12</v>
      </c>
      <c r="BH155" s="59">
        <f t="shared" si="116"/>
        <v>293.3333333333369</v>
      </c>
      <c r="BI155" s="59">
        <f ca="1">AVERAGE(OFFSET($BH$3,0,0,'Données projet'!$E$11+1,1))-AVERAGE(OFFSET($H$3,0,0,'Données projet'!$E$11+1,1))</f>
        <v>376.33792692771908</v>
      </c>
      <c r="BJ155" s="59">
        <f t="shared" si="146"/>
        <v>367.92889258044698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0.12908334749935038</v>
      </c>
      <c r="BQ155" s="21">
        <f>EXP(-LN(2)/25)*BQ154+(1-EXP(-LN(2)/25))/(LN(2)/25)*Calculateur!BL155*Calculateur!BN155*VLOOKUP('Données projet'!$B$11,Paramètres!$A$1:$I$89,3,0)*0.475*44/12</f>
        <v>0.28427362495878056</v>
      </c>
      <c r="BR155" s="21">
        <f>EXP(-LN(2)/2)*BR154+(1-EXP(-LN(2)/2))/(LN(2)/2)*BL155*BO155*VLOOKUP('Données projet'!$B$11,Paramètres!$A$1:$I$89,3,0)*0.475*44/12</f>
        <v>5.6687205262769318E-18</v>
      </c>
      <c r="BS155" s="22">
        <f t="shared" si="169"/>
        <v>0.41335697245813097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-1.0286385077051818E-13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388.50131600273431</v>
      </c>
      <c r="CE155" s="59">
        <f t="shared" si="148"/>
        <v>247.01165577562955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0.10547910290297703</v>
      </c>
      <c r="CM155" s="21">
        <f>EXP(-LN(2)/2)*CM154+(1-EXP(-LN(2)/2))/(LN(2)/2)*CG155*CJ155*VLOOKUP('Données projet'!$B$12,Paramètres!$A$1:$I$89,3,0)*0.475*44/12</f>
        <v>2.6842017560159186E-18</v>
      </c>
      <c r="CN155" s="22">
        <f t="shared" si="172"/>
        <v>0.10547910290297703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-1.223725121235475E-13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454.43000549907373</v>
      </c>
      <c r="CZ155" s="59">
        <f t="shared" si="150"/>
        <v>285.83623046025156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0.12548376035009332</v>
      </c>
      <c r="DH155" s="21">
        <f>EXP(-LN(2)/2)*DH154+(1-EXP(-LN(2)/2))/(LN(2)/2)*DB155*DE155*VLOOKUP('Données projet'!$B$13,Paramètres!$A$1:$I$89,3,0)*0.475*44/12</f>
        <v>3.1932745028465294E-18</v>
      </c>
      <c r="DI155" s="22">
        <f t="shared" si="175"/>
        <v>0.12548376035009332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1.7053025658242404E-13</v>
      </c>
      <c r="DP155" s="17">
        <f>DO155*VLOOKUP('Données projet'!$B$14,Paramètres!$A$1:$I$89,3,0)*VLOOKUP('Données projet'!$B$14,Paramètres!$A$1:$I$89,5,0)</f>
        <v>1.3301360013429075E-13</v>
      </c>
      <c r="DQ155" s="13">
        <f t="shared" si="176"/>
        <v>1.9329766731057041E-12</v>
      </c>
      <c r="DR155" s="20">
        <f t="shared" si="177"/>
        <v>3.5982663925596575E-12</v>
      </c>
      <c r="DS155" s="59">
        <f t="shared" si="125"/>
        <v>293.3333333333369</v>
      </c>
      <c r="DT155" s="59">
        <f ca="1">AVERAGE(OFFSET($DS$3,0,0,'Données projet'!$E$14+1,1))-AVERAGE(OFFSET($H$3,0,0,'Données projet'!$E$14+1,1))</f>
        <v>376.33792692771908</v>
      </c>
      <c r="DU155" s="59">
        <f t="shared" si="152"/>
        <v>367.92889258044698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0.12908334749935038</v>
      </c>
      <c r="EB155" s="21">
        <f>EXP(-LN(2)/25)*EB154+(1-EXP(-LN(2)/25))/(LN(2)/25)*Calculateur!DW155*Calculateur!DY155*VLOOKUP('Données projet'!$B$14,Paramètres!$A$1:$I$89,3,0)*0.475*44/12</f>
        <v>0.28427362495878056</v>
      </c>
      <c r="EC155" s="21">
        <f>EXP(-LN(2)/2)*EC154+(1-EXP(-LN(2)/2))/(LN(2)/2)*DW155*DZ155*VLOOKUP('Données projet'!$B$14,Paramètres!$A$1:$I$89,3,0)*0.475*44/12</f>
        <v>5.6687205262769318E-18</v>
      </c>
      <c r="ED155" s="22">
        <f t="shared" si="178"/>
        <v>0.41335697245813097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-3.0859155231155454E-13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469.68830256438338</v>
      </c>
      <c r="T156" s="59">
        <f t="shared" si="142"/>
        <v>332.61387922152159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0.21079037261911818</v>
      </c>
      <c r="AA156" s="21">
        <f>EXP(-LN(2)/25)*AA155+(1-EXP(-LN(2)/25))/(LN(2)/25)*Calculateur!V156*Calculateur!X156*VLOOKUP('Données projet'!$B$9,Paramètres!$A$1:$I$89,3,0)*0.475*44/12</f>
        <v>0.37269195617864737</v>
      </c>
      <c r="AB156" s="21">
        <f>EXP(-LN(2)/2)*AB155+(1-EXP(-LN(2)/2))/(LN(2)/2)*V156*Y156*VLOOKUP('Données projet'!$B$9,Paramètres!$A$1:$I$89,3,0)*0.475*44/12</f>
        <v>6.6095178766594896E-18</v>
      </c>
      <c r="AC156" s="22">
        <f t="shared" si="163"/>
        <v>0.58348232879776551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-3.6711753637064249E-13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550.66682372933292</v>
      </c>
      <c r="AO156" s="59">
        <f t="shared" si="144"/>
        <v>387.28615589698444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0.25076785708136495</v>
      </c>
      <c r="AV156" s="21">
        <f>EXP(-LN(2)/25)*AV155+(1-EXP(-LN(2)/25))/(LN(2)/25)*Calculateur!AQ156*Calculateur!AS156*VLOOKUP('Données projet'!$B$10,Paramètres!$A$1:$I$89,3,0)*0.475*44/12</f>
        <v>0.44337491338494306</v>
      </c>
      <c r="AW156" s="21">
        <f>EXP(-LN(2)/2)*AW155+(1-EXP(-LN(2)/2))/(LN(2)/2)*AQ156*AT156*VLOOKUP('Données projet'!$B$10,Paramètres!$A$1:$I$89,3,0)*0.475*44/12</f>
        <v>7.8630471291293571E-18</v>
      </c>
      <c r="AX156" s="21">
        <f t="shared" si="166"/>
        <v>0.69414277046630801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1.3301360013429075E-13</v>
      </c>
      <c r="BF156" s="13">
        <f t="shared" si="167"/>
        <v>1.9329766731057041E-12</v>
      </c>
      <c r="BG156" s="20">
        <f t="shared" si="168"/>
        <v>3.5982663925596575E-12</v>
      </c>
      <c r="BH156" s="59">
        <f t="shared" si="116"/>
        <v>293.3333333333369</v>
      </c>
      <c r="BI156" s="59">
        <f ca="1">AVERAGE(OFFSET($BH$3,0,0,'Données projet'!$E$11+1,1))-AVERAGE(OFFSET($H$3,0,0,'Données projet'!$E$11+1,1))</f>
        <v>376.33792692771908</v>
      </c>
      <c r="BJ156" s="59">
        <f t="shared" si="146"/>
        <v>367.92889258044698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0.12655210178795584</v>
      </c>
      <c r="BQ156" s="21">
        <f>EXP(-LN(2)/25)*BQ155+(1-EXP(-LN(2)/25))/(LN(2)/25)*Calculateur!BL156*Calculateur!BN156*VLOOKUP('Données projet'!$B$11,Paramètres!$A$1:$I$89,3,0)*0.475*44/12</f>
        <v>0.27650014773498249</v>
      </c>
      <c r="BR156" s="21">
        <f>EXP(-LN(2)/2)*BR155+(1-EXP(-LN(2)/2))/(LN(2)/2)*BL156*BO156*VLOOKUP('Données projet'!$B$11,Paramètres!$A$1:$I$89,3,0)*0.475*44/12</f>
        <v>4.0083907247817929E-18</v>
      </c>
      <c r="BS156" s="22">
        <f t="shared" si="169"/>
        <v>0.40305224952293833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-1.0286385077051818E-13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388.50131600273431</v>
      </c>
      <c r="CE156" s="59">
        <f t="shared" si="148"/>
        <v>247.01165577562955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0.10259477128719018</v>
      </c>
      <c r="CM156" s="21">
        <f>EXP(-LN(2)/2)*CM155+(1-EXP(-LN(2)/2))/(LN(2)/2)*CG156*CJ156*VLOOKUP('Données projet'!$B$12,Paramètres!$A$1:$I$89,3,0)*0.475*44/12</f>
        <v>1.8980172637516947E-18</v>
      </c>
      <c r="CN156" s="22">
        <f t="shared" si="172"/>
        <v>0.10259477128719018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-1.223725121235475E-13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454.43000549907373</v>
      </c>
      <c r="CZ156" s="59">
        <f t="shared" si="150"/>
        <v>285.83623046025156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0.12205240032441586</v>
      </c>
      <c r="DH156" s="21">
        <f>EXP(-LN(2)/2)*DH155+(1-EXP(-LN(2)/2))/(LN(2)/2)*DB156*DE156*VLOOKUP('Données projet'!$B$13,Paramètres!$A$1:$I$89,3,0)*0.475*44/12</f>
        <v>2.2579860551528821E-18</v>
      </c>
      <c r="DI156" s="22">
        <f t="shared" si="175"/>
        <v>0.12205240032441586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1.7053025658242404E-13</v>
      </c>
      <c r="DP156" s="17">
        <f>DO156*VLOOKUP('Données projet'!$B$14,Paramètres!$A$1:$I$89,3,0)*VLOOKUP('Données projet'!$B$14,Paramètres!$A$1:$I$89,5,0)</f>
        <v>1.3301360013429075E-13</v>
      </c>
      <c r="DQ156" s="13">
        <f t="shared" si="176"/>
        <v>1.9329766731057041E-12</v>
      </c>
      <c r="DR156" s="20">
        <f t="shared" si="177"/>
        <v>3.5982663925596575E-12</v>
      </c>
      <c r="DS156" s="59">
        <f t="shared" si="125"/>
        <v>293.3333333333369</v>
      </c>
      <c r="DT156" s="59">
        <f ca="1">AVERAGE(OFFSET($DS$3,0,0,'Données projet'!$E$14+1,1))-AVERAGE(OFFSET($H$3,0,0,'Données projet'!$E$14+1,1))</f>
        <v>376.33792692771908</v>
      </c>
      <c r="DU156" s="59">
        <f t="shared" si="152"/>
        <v>367.92889258044698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0.12655210178795584</v>
      </c>
      <c r="EB156" s="21">
        <f>EXP(-LN(2)/25)*EB155+(1-EXP(-LN(2)/25))/(LN(2)/25)*Calculateur!DW156*Calculateur!DY156*VLOOKUP('Données projet'!$B$14,Paramètres!$A$1:$I$89,3,0)*0.475*44/12</f>
        <v>0.27650014773498249</v>
      </c>
      <c r="EC156" s="21">
        <f>EXP(-LN(2)/2)*EC155+(1-EXP(-LN(2)/2))/(LN(2)/2)*DW156*DZ156*VLOOKUP('Données projet'!$B$14,Paramètres!$A$1:$I$89,3,0)*0.475*44/12</f>
        <v>4.0083907247817929E-18</v>
      </c>
      <c r="ED156" s="22">
        <f t="shared" si="178"/>
        <v>0.40305224952293833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-3.0859155231155454E-13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469.68830256438338</v>
      </c>
      <c r="T157" s="59">
        <f t="shared" si="142"/>
        <v>332.61387922152159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0.20665690198148939</v>
      </c>
      <c r="AA157" s="21">
        <f>EXP(-LN(2)/25)*AA156+(1-EXP(-LN(2)/25))/(LN(2)/25)*Calculateur!V157*Calculateur!X157*VLOOKUP('Données projet'!$B$9,Paramètres!$A$1:$I$89,3,0)*0.475*44/12</f>
        <v>0.3625006750379241</v>
      </c>
      <c r="AB157" s="21">
        <f>EXP(-LN(2)/2)*AB156+(1-EXP(-LN(2)/2))/(LN(2)/2)*V157*Y157*VLOOKUP('Données projet'!$B$9,Paramètres!$A$1:$I$89,3,0)*0.475*44/12</f>
        <v>4.6736349109596358E-18</v>
      </c>
      <c r="AC157" s="22">
        <f t="shared" si="163"/>
        <v>0.5691575770194135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-3.6711753637064249E-13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550.66682372933292</v>
      </c>
      <c r="AO157" s="59">
        <f t="shared" si="144"/>
        <v>387.28615589698444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0.24585045235728933</v>
      </c>
      <c r="AV157" s="21">
        <f>EXP(-LN(2)/25)*AV156+(1-EXP(-LN(2)/25))/(LN(2)/25)*Calculateur!AQ157*Calculateur!AS157*VLOOKUP('Données projet'!$B$10,Paramètres!$A$1:$I$89,3,0)*0.475*44/12</f>
        <v>0.43125080306235847</v>
      </c>
      <c r="AW157" s="21">
        <f>EXP(-LN(2)/2)*AW156+(1-EXP(-LN(2)/2))/(LN(2)/2)*AQ157*AT157*VLOOKUP('Données projet'!$B$10,Paramètres!$A$1:$I$89,3,0)*0.475*44/12</f>
        <v>5.560013945796783E-18</v>
      </c>
      <c r="AX157" s="21">
        <f t="shared" si="166"/>
        <v>0.67710125541964783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1.3301360013429075E-13</v>
      </c>
      <c r="BF157" s="13">
        <f t="shared" si="167"/>
        <v>1.9329766731057041E-12</v>
      </c>
      <c r="BG157" s="20">
        <f t="shared" si="168"/>
        <v>3.5982663925596575E-12</v>
      </c>
      <c r="BH157" s="59">
        <f t="shared" si="116"/>
        <v>293.3333333333369</v>
      </c>
      <c r="BI157" s="59">
        <f ca="1">AVERAGE(OFFSET($BH$3,0,0,'Données projet'!$E$11+1,1))-AVERAGE(OFFSET($H$3,0,0,'Données projet'!$E$11+1,1))</f>
        <v>376.33792692771908</v>
      </c>
      <c r="BJ157" s="59">
        <f t="shared" si="146"/>
        <v>367.92889258044698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0.12407049226105432</v>
      </c>
      <c r="BQ157" s="21">
        <f>EXP(-LN(2)/25)*BQ156+(1-EXP(-LN(2)/25))/(LN(2)/25)*Calculateur!BL157*Calculateur!BN157*VLOOKUP('Données projet'!$B$11,Paramètres!$A$1:$I$89,3,0)*0.475*44/12</f>
        <v>0.26893923665465858</v>
      </c>
      <c r="BR157" s="21">
        <f>EXP(-LN(2)/2)*BR156+(1-EXP(-LN(2)/2))/(LN(2)/2)*BL157*BO157*VLOOKUP('Données projet'!$B$11,Paramètres!$A$1:$I$89,3,0)*0.475*44/12</f>
        <v>2.8343602631384659E-18</v>
      </c>
      <c r="BS157" s="22">
        <f t="shared" si="169"/>
        <v>0.3930097289157129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-1.0286385077051818E-13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388.50131600273431</v>
      </c>
      <c r="CE157" s="59">
        <f t="shared" si="148"/>
        <v>247.01165577562955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9.978931187111742E-2</v>
      </c>
      <c r="CM157" s="21">
        <f>EXP(-LN(2)/2)*CM156+(1-EXP(-LN(2)/2))/(LN(2)/2)*CG157*CJ157*VLOOKUP('Données projet'!$B$12,Paramètres!$A$1:$I$89,3,0)*0.475*44/12</f>
        <v>1.3421008780079593E-18</v>
      </c>
      <c r="CN157" s="22">
        <f t="shared" si="172"/>
        <v>9.978931187111742E-2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-1.223725121235475E-13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454.43000549907373</v>
      </c>
      <c r="CZ157" s="59">
        <f t="shared" si="150"/>
        <v>285.83623046025156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0.11871487101908793</v>
      </c>
      <c r="DH157" s="21">
        <f>EXP(-LN(2)/2)*DH156+(1-EXP(-LN(2)/2))/(LN(2)/2)*DB157*DE157*VLOOKUP('Données projet'!$B$13,Paramètres!$A$1:$I$89,3,0)*0.475*44/12</f>
        <v>1.5966372514232647E-18</v>
      </c>
      <c r="DI157" s="22">
        <f t="shared" si="175"/>
        <v>0.11871487101908793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1.7053025658242404E-13</v>
      </c>
      <c r="DP157" s="17">
        <f>DO157*VLOOKUP('Données projet'!$B$14,Paramètres!$A$1:$I$89,3,0)*VLOOKUP('Données projet'!$B$14,Paramètres!$A$1:$I$89,5,0)</f>
        <v>1.3301360013429075E-13</v>
      </c>
      <c r="DQ157" s="13">
        <f t="shared" si="176"/>
        <v>1.9329766731057041E-12</v>
      </c>
      <c r="DR157" s="20">
        <f t="shared" si="177"/>
        <v>3.5982663925596575E-12</v>
      </c>
      <c r="DS157" s="59">
        <f t="shared" si="125"/>
        <v>293.3333333333369</v>
      </c>
      <c r="DT157" s="59">
        <f ca="1">AVERAGE(OFFSET($DS$3,0,0,'Données projet'!$E$14+1,1))-AVERAGE(OFFSET($H$3,0,0,'Données projet'!$E$14+1,1))</f>
        <v>376.33792692771908</v>
      </c>
      <c r="DU157" s="59">
        <f t="shared" si="152"/>
        <v>367.92889258044698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0.12407049226105432</v>
      </c>
      <c r="EB157" s="21">
        <f>EXP(-LN(2)/25)*EB156+(1-EXP(-LN(2)/25))/(LN(2)/25)*Calculateur!DW157*Calculateur!DY157*VLOOKUP('Données projet'!$B$14,Paramètres!$A$1:$I$89,3,0)*0.475*44/12</f>
        <v>0.26893923665465858</v>
      </c>
      <c r="EC157" s="21">
        <f>EXP(-LN(2)/2)*EC156+(1-EXP(-LN(2)/2))/(LN(2)/2)*DW157*DZ157*VLOOKUP('Données projet'!$B$14,Paramètres!$A$1:$I$89,3,0)*0.475*44/12</f>
        <v>2.8343602631384659E-18</v>
      </c>
      <c r="ED157" s="22">
        <f t="shared" si="178"/>
        <v>0.3930097289157129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-3.0859155231155454E-13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469.68830256438338</v>
      </c>
      <c r="T158" s="59">
        <f t="shared" si="142"/>
        <v>332.61387922152159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0.20260448618189636</v>
      </c>
      <c r="AA158" s="21">
        <f>EXP(-LN(2)/25)*AA157+(1-EXP(-LN(2)/25))/(LN(2)/25)*Calculateur!V158*Calculateur!X158*VLOOKUP('Données projet'!$B$9,Paramètres!$A$1:$I$89,3,0)*0.475*44/12</f>
        <v>0.35258807501593009</v>
      </c>
      <c r="AB158" s="21">
        <f>EXP(-LN(2)/2)*AB157+(1-EXP(-LN(2)/2))/(LN(2)/2)*V158*Y158*VLOOKUP('Données projet'!$B$9,Paramètres!$A$1:$I$89,3,0)*0.475*44/12</f>
        <v>3.3047589383297448E-18</v>
      </c>
      <c r="AC158" s="22">
        <f t="shared" si="163"/>
        <v>0.55519256119782645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-3.6711753637064249E-13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550.66682372933292</v>
      </c>
      <c r="AO158" s="59">
        <f t="shared" si="144"/>
        <v>387.28615589698444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0.24102947494053209</v>
      </c>
      <c r="AV158" s="21">
        <f>EXP(-LN(2)/25)*AV157+(1-EXP(-LN(2)/25))/(LN(2)/25)*Calculateur!AQ158*Calculateur!AS158*VLOOKUP('Données projet'!$B$10,Paramètres!$A$1:$I$89,3,0)*0.475*44/12</f>
        <v>0.41945822717412418</v>
      </c>
      <c r="AW158" s="21">
        <f>EXP(-LN(2)/2)*AW157+(1-EXP(-LN(2)/2))/(LN(2)/2)*AQ158*AT158*VLOOKUP('Données projet'!$B$10,Paramètres!$A$1:$I$89,3,0)*0.475*44/12</f>
        <v>3.9315235645646786E-18</v>
      </c>
      <c r="AX158" s="21">
        <f t="shared" si="166"/>
        <v>0.66048770211465624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1.3301360013429075E-13</v>
      </c>
      <c r="BF158" s="13">
        <f t="shared" si="167"/>
        <v>1.9329766731057041E-12</v>
      </c>
      <c r="BG158" s="20">
        <f t="shared" si="168"/>
        <v>3.5982663925596575E-12</v>
      </c>
      <c r="BH158" s="59">
        <f t="shared" si="116"/>
        <v>293.3333333333369</v>
      </c>
      <c r="BI158" s="59">
        <f ca="1">AVERAGE(OFFSET($BH$3,0,0,'Données projet'!$E$11+1,1))-AVERAGE(OFFSET($H$3,0,0,'Données projet'!$E$11+1,1))</f>
        <v>376.33792692771908</v>
      </c>
      <c r="BJ158" s="59">
        <f t="shared" si="146"/>
        <v>367.92889258044698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0.12163754558334298</v>
      </c>
      <c r="BQ158" s="21">
        <f>EXP(-LN(2)/25)*BQ157+(1-EXP(-LN(2)/25))/(LN(2)/25)*Calculateur!BL158*Calculateur!BN158*VLOOKUP('Données projet'!$B$11,Paramètres!$A$1:$I$89,3,0)*0.475*44/12</f>
        <v>0.26158507908543716</v>
      </c>
      <c r="BR158" s="21">
        <f>EXP(-LN(2)/2)*BR157+(1-EXP(-LN(2)/2))/(LN(2)/2)*BL158*BO158*VLOOKUP('Données projet'!$B$11,Paramètres!$A$1:$I$89,3,0)*0.475*44/12</f>
        <v>2.0041953623908964E-18</v>
      </c>
      <c r="BS158" s="22">
        <f t="shared" si="169"/>
        <v>0.38322262466878015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-1.0286385077051818E-13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388.50131600273431</v>
      </c>
      <c r="CE158" s="59">
        <f t="shared" si="148"/>
        <v>247.01165577562955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9.7060567890309868E-2</v>
      </c>
      <c r="CM158" s="21">
        <f>EXP(-LN(2)/2)*CM157+(1-EXP(-LN(2)/2))/(LN(2)/2)*CG158*CJ158*VLOOKUP('Données projet'!$B$12,Paramètres!$A$1:$I$89,3,0)*0.475*44/12</f>
        <v>9.4900863187584737E-19</v>
      </c>
      <c r="CN158" s="22">
        <f t="shared" si="172"/>
        <v>9.7060567890309868E-2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-1.223725121235475E-13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454.43000549907373</v>
      </c>
      <c r="CZ158" s="59">
        <f t="shared" si="150"/>
        <v>285.83623046025156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0.11546860662812723</v>
      </c>
      <c r="DH158" s="21">
        <f>EXP(-LN(2)/2)*DH157+(1-EXP(-LN(2)/2))/(LN(2)/2)*DB158*DE158*VLOOKUP('Données projet'!$B$13,Paramètres!$A$1:$I$89,3,0)*0.475*44/12</f>
        <v>1.1289930275764411E-18</v>
      </c>
      <c r="DI158" s="22">
        <f t="shared" si="175"/>
        <v>0.11546860662812723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1.7053025658242404E-13</v>
      </c>
      <c r="DP158" s="17">
        <f>DO158*VLOOKUP('Données projet'!$B$14,Paramètres!$A$1:$I$89,3,0)*VLOOKUP('Données projet'!$B$14,Paramètres!$A$1:$I$89,5,0)</f>
        <v>1.3301360013429075E-13</v>
      </c>
      <c r="DQ158" s="13">
        <f t="shared" si="176"/>
        <v>1.9329766731057041E-12</v>
      </c>
      <c r="DR158" s="20">
        <f t="shared" si="177"/>
        <v>3.5982663925596575E-12</v>
      </c>
      <c r="DS158" s="59">
        <f t="shared" si="125"/>
        <v>293.3333333333369</v>
      </c>
      <c r="DT158" s="59">
        <f ca="1">AVERAGE(OFFSET($DS$3,0,0,'Données projet'!$E$14+1,1))-AVERAGE(OFFSET($H$3,0,0,'Données projet'!$E$14+1,1))</f>
        <v>376.33792692771908</v>
      </c>
      <c r="DU158" s="59">
        <f t="shared" si="152"/>
        <v>367.92889258044698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0.12163754558334298</v>
      </c>
      <c r="EB158" s="21">
        <f>EXP(-LN(2)/25)*EB157+(1-EXP(-LN(2)/25))/(LN(2)/25)*Calculateur!DW158*Calculateur!DY158*VLOOKUP('Données projet'!$B$14,Paramètres!$A$1:$I$89,3,0)*0.475*44/12</f>
        <v>0.26158507908543716</v>
      </c>
      <c r="EC158" s="21">
        <f>EXP(-LN(2)/2)*EC157+(1-EXP(-LN(2)/2))/(LN(2)/2)*DW158*DZ158*VLOOKUP('Données projet'!$B$14,Paramètres!$A$1:$I$89,3,0)*0.475*44/12</f>
        <v>2.0041953623908964E-18</v>
      </c>
      <c r="ED158" s="22">
        <f t="shared" si="178"/>
        <v>0.38322262466878015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-3.0859155231155454E-13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469.68830256438338</v>
      </c>
      <c r="T159" s="59">
        <f t="shared" si="142"/>
        <v>332.61387922152159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0.19863153578440376</v>
      </c>
      <c r="AA159" s="21">
        <f>EXP(-LN(2)/25)*AA158+(1-EXP(-LN(2)/25))/(LN(2)/25)*Calculateur!V159*Calculateur!X159*VLOOKUP('Données projet'!$B$9,Paramètres!$A$1:$I$89,3,0)*0.475*44/12</f>
        <v>0.34294653556281846</v>
      </c>
      <c r="AB159" s="21">
        <f>EXP(-LN(2)/2)*AB158+(1-EXP(-LN(2)/2))/(LN(2)/2)*V159*Y159*VLOOKUP('Données projet'!$B$9,Paramètres!$A$1:$I$89,3,0)*0.475*44/12</f>
        <v>2.3368174554798179E-18</v>
      </c>
      <c r="AC159" s="22">
        <f t="shared" si="163"/>
        <v>0.54157807134722225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-3.6711753637064249E-13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550.66682372933292</v>
      </c>
      <c r="AO159" s="59">
        <f t="shared" si="144"/>
        <v>387.28615589698444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0.23630303395041161</v>
      </c>
      <c r="AV159" s="21">
        <f>EXP(-LN(2)/25)*AV158+(1-EXP(-LN(2)/25))/(LN(2)/25)*Calculateur!AQ159*Calculateur!AS159*VLOOKUP('Données projet'!$B$10,Paramètres!$A$1:$I$89,3,0)*0.475*44/12</f>
        <v>0.40798811989369826</v>
      </c>
      <c r="AW159" s="21">
        <f>EXP(-LN(2)/2)*AW158+(1-EXP(-LN(2)/2))/(LN(2)/2)*AQ159*AT159*VLOOKUP('Données projet'!$B$10,Paramètres!$A$1:$I$89,3,0)*0.475*44/12</f>
        <v>2.7800069728983915E-18</v>
      </c>
      <c r="AX159" s="21">
        <f t="shared" si="166"/>
        <v>0.64429115384410984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1.3301360013429075E-13</v>
      </c>
      <c r="BF159" s="13">
        <f t="shared" si="167"/>
        <v>1.9329766731057041E-12</v>
      </c>
      <c r="BG159" s="20">
        <f t="shared" si="168"/>
        <v>3.5982663925596575E-12</v>
      </c>
      <c r="BH159" s="59">
        <f t="shared" si="116"/>
        <v>293.3333333333369</v>
      </c>
      <c r="BI159" s="59">
        <f ca="1">AVERAGE(OFFSET($BH$3,0,0,'Données projet'!$E$11+1,1))-AVERAGE(OFFSET($H$3,0,0,'Données projet'!$E$11+1,1))</f>
        <v>376.33792692771908</v>
      </c>
      <c r="BJ159" s="59">
        <f t="shared" si="146"/>
        <v>367.92889258044698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0.11925230750603062</v>
      </c>
      <c r="BQ159" s="21">
        <f>EXP(-LN(2)/25)*BQ158+(1-EXP(-LN(2)/25))/(LN(2)/25)*Calculateur!BL159*Calculateur!BN159*VLOOKUP('Données projet'!$B$11,Paramètres!$A$1:$I$89,3,0)*0.475*44/12</f>
        <v>0.25443202134168441</v>
      </c>
      <c r="BR159" s="21">
        <f>EXP(-LN(2)/2)*BR158+(1-EXP(-LN(2)/2))/(LN(2)/2)*BL159*BO159*VLOOKUP('Données projet'!$B$11,Paramètres!$A$1:$I$89,3,0)*0.475*44/12</f>
        <v>1.417180131569233E-18</v>
      </c>
      <c r="BS159" s="22">
        <f t="shared" si="169"/>
        <v>0.37368432884771502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-1.0286385077051818E-13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388.50131600273431</v>
      </c>
      <c r="CE159" s="59">
        <f t="shared" si="148"/>
        <v>247.01165577562955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9.4406441557155912E-2</v>
      </c>
      <c r="CM159" s="21">
        <f>EXP(-LN(2)/2)*CM158+(1-EXP(-LN(2)/2))/(LN(2)/2)*CG159*CJ159*VLOOKUP('Données projet'!$B$12,Paramètres!$A$1:$I$89,3,0)*0.475*44/12</f>
        <v>6.7105043900397965E-19</v>
      </c>
      <c r="CN159" s="22">
        <f t="shared" si="172"/>
        <v>9.4406441557155912E-2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-1.223725121235475E-13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454.43000549907373</v>
      </c>
      <c r="CZ159" s="59">
        <f t="shared" si="150"/>
        <v>285.83623046025156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0.11231111150765098</v>
      </c>
      <c r="DH159" s="21">
        <f>EXP(-LN(2)/2)*DH158+(1-EXP(-LN(2)/2))/(LN(2)/2)*DB159*DE159*VLOOKUP('Données projet'!$B$13,Paramètres!$A$1:$I$89,3,0)*0.475*44/12</f>
        <v>7.9831862571163235E-19</v>
      </c>
      <c r="DI159" s="22">
        <f t="shared" si="175"/>
        <v>0.11231111150765098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1.7053025658242404E-13</v>
      </c>
      <c r="DP159" s="17">
        <f>DO159*VLOOKUP('Données projet'!$B$14,Paramètres!$A$1:$I$89,3,0)*VLOOKUP('Données projet'!$B$14,Paramètres!$A$1:$I$89,5,0)</f>
        <v>1.3301360013429075E-13</v>
      </c>
      <c r="DQ159" s="13">
        <f t="shared" si="176"/>
        <v>1.9329766731057041E-12</v>
      </c>
      <c r="DR159" s="20">
        <f t="shared" si="177"/>
        <v>3.5982663925596575E-12</v>
      </c>
      <c r="DS159" s="59">
        <f t="shared" si="125"/>
        <v>293.3333333333369</v>
      </c>
      <c r="DT159" s="59">
        <f ca="1">AVERAGE(OFFSET($DS$3,0,0,'Données projet'!$E$14+1,1))-AVERAGE(OFFSET($H$3,0,0,'Données projet'!$E$14+1,1))</f>
        <v>376.33792692771908</v>
      </c>
      <c r="DU159" s="59">
        <f t="shared" si="152"/>
        <v>367.92889258044698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0.11925230750603062</v>
      </c>
      <c r="EB159" s="21">
        <f>EXP(-LN(2)/25)*EB158+(1-EXP(-LN(2)/25))/(LN(2)/25)*Calculateur!DW159*Calculateur!DY159*VLOOKUP('Données projet'!$B$14,Paramètres!$A$1:$I$89,3,0)*0.475*44/12</f>
        <v>0.25443202134168441</v>
      </c>
      <c r="EC159" s="21">
        <f>EXP(-LN(2)/2)*EC158+(1-EXP(-LN(2)/2))/(LN(2)/2)*DW159*DZ159*VLOOKUP('Données projet'!$B$14,Paramètres!$A$1:$I$89,3,0)*0.475*44/12</f>
        <v>1.417180131569233E-18</v>
      </c>
      <c r="ED159" s="22">
        <f t="shared" si="178"/>
        <v>0.37368432884771502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-3.0859155231155454E-13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469.68830256438338</v>
      </c>
      <c r="T160" s="59">
        <f t="shared" si="142"/>
        <v>332.61387922152159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0.19473649252094555</v>
      </c>
      <c r="AA160" s="21">
        <f>EXP(-LN(2)/25)*AA159+(1-EXP(-LN(2)/25))/(LN(2)/25)*Calculateur!V160*Calculateur!X160*VLOOKUP('Données projet'!$B$9,Paramètres!$A$1:$I$89,3,0)*0.475*44/12</f>
        <v>0.33356864451307872</v>
      </c>
      <c r="AB160" s="21">
        <f>EXP(-LN(2)/2)*AB159+(1-EXP(-LN(2)/2))/(LN(2)/2)*V160*Y160*VLOOKUP('Données projet'!$B$9,Paramètres!$A$1:$I$89,3,0)*0.475*44/12</f>
        <v>1.6523794691648724E-18</v>
      </c>
      <c r="AC160" s="22">
        <f t="shared" si="163"/>
        <v>0.52830513703402426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-3.6711753637064249E-13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550.66682372933292</v>
      </c>
      <c r="AO160" s="59">
        <f t="shared" si="144"/>
        <v>387.28615589698444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0.23166927558526304</v>
      </c>
      <c r="AV160" s="21">
        <f>EXP(-LN(2)/25)*AV159+(1-EXP(-LN(2)/25))/(LN(2)/25)*Calculateur!AQ160*Calculateur!AS160*VLOOKUP('Données projet'!$B$10,Paramètres!$A$1:$I$89,3,0)*0.475*44/12</f>
        <v>0.39683166330004233</v>
      </c>
      <c r="AW160" s="21">
        <f>EXP(-LN(2)/2)*AW159+(1-EXP(-LN(2)/2))/(LN(2)/2)*AQ160*AT160*VLOOKUP('Données projet'!$B$10,Paramètres!$A$1:$I$89,3,0)*0.475*44/12</f>
        <v>1.9657617822823393E-18</v>
      </c>
      <c r="AX160" s="21">
        <f t="shared" si="166"/>
        <v>0.62850093888530534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1.3301360013429075E-13</v>
      </c>
      <c r="BF160" s="13">
        <f t="shared" si="167"/>
        <v>1.9329766731057041E-12</v>
      </c>
      <c r="BG160" s="20">
        <f t="shared" si="168"/>
        <v>3.5982663925596575E-12</v>
      </c>
      <c r="BH160" s="59">
        <f t="shared" si="116"/>
        <v>293.3333333333369</v>
      </c>
      <c r="BI160" s="59">
        <f ca="1">AVERAGE(OFFSET($BH$3,0,0,'Données projet'!$E$11+1,1))-AVERAGE(OFFSET($H$3,0,0,'Données projet'!$E$11+1,1))</f>
        <v>376.33792692771908</v>
      </c>
      <c r="BJ160" s="59">
        <f t="shared" si="146"/>
        <v>367.92889258044698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0.11691384249256279</v>
      </c>
      <c r="BQ160" s="21">
        <f>EXP(-LN(2)/25)*BQ159+(1-EXP(-LN(2)/25))/(LN(2)/25)*Calculateur!BL160*Calculateur!BN160*VLOOKUP('Données projet'!$B$11,Paramètres!$A$1:$I$89,3,0)*0.475*44/12</f>
        <v>0.24747456433809756</v>
      </c>
      <c r="BR160" s="21">
        <f>EXP(-LN(2)/2)*BR159+(1-EXP(-LN(2)/2))/(LN(2)/2)*BL160*BO160*VLOOKUP('Données projet'!$B$11,Paramètres!$A$1:$I$89,3,0)*0.475*44/12</f>
        <v>1.0020976811954482E-18</v>
      </c>
      <c r="BS160" s="22">
        <f t="shared" si="169"/>
        <v>0.36438840683066032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-1.0286385077051818E-13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388.50131600273431</v>
      </c>
      <c r="CE160" s="59">
        <f t="shared" si="148"/>
        <v>247.01165577562955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9.1824892448156489E-2</v>
      </c>
      <c r="CM160" s="21">
        <f>EXP(-LN(2)/2)*CM159+(1-EXP(-LN(2)/2))/(LN(2)/2)*CG160*CJ160*VLOOKUP('Données projet'!$B$12,Paramètres!$A$1:$I$89,3,0)*0.475*44/12</f>
        <v>4.7450431593792369E-19</v>
      </c>
      <c r="CN160" s="22">
        <f t="shared" si="172"/>
        <v>9.1824892448156489E-2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-1.223725121235475E-13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454.43000549907373</v>
      </c>
      <c r="CZ160" s="59">
        <f t="shared" si="150"/>
        <v>285.83623046025156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0.1092399582572896</v>
      </c>
      <c r="DH160" s="21">
        <f>EXP(-LN(2)/2)*DH159+(1-EXP(-LN(2)/2))/(LN(2)/2)*DB160*DE160*VLOOKUP('Données projet'!$B$13,Paramètres!$A$1:$I$89,3,0)*0.475*44/12</f>
        <v>5.6449651378822054E-19</v>
      </c>
      <c r="DI160" s="22">
        <f t="shared" si="175"/>
        <v>0.1092399582572896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1.7053025658242404E-13</v>
      </c>
      <c r="DP160" s="17">
        <f>DO160*VLOOKUP('Données projet'!$B$14,Paramètres!$A$1:$I$89,3,0)*VLOOKUP('Données projet'!$B$14,Paramètres!$A$1:$I$89,5,0)</f>
        <v>1.3301360013429075E-13</v>
      </c>
      <c r="DQ160" s="13">
        <f t="shared" si="176"/>
        <v>1.9329766731057041E-12</v>
      </c>
      <c r="DR160" s="20">
        <f t="shared" si="177"/>
        <v>3.5982663925596575E-12</v>
      </c>
      <c r="DS160" s="59">
        <f t="shared" si="125"/>
        <v>293.3333333333369</v>
      </c>
      <c r="DT160" s="59">
        <f ca="1">AVERAGE(OFFSET($DS$3,0,0,'Données projet'!$E$14+1,1))-AVERAGE(OFFSET($H$3,0,0,'Données projet'!$E$14+1,1))</f>
        <v>376.33792692771908</v>
      </c>
      <c r="DU160" s="59">
        <f t="shared" si="152"/>
        <v>367.92889258044698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0.11691384249256279</v>
      </c>
      <c r="EB160" s="21">
        <f>EXP(-LN(2)/25)*EB159+(1-EXP(-LN(2)/25))/(LN(2)/25)*Calculateur!DW160*Calculateur!DY160*VLOOKUP('Données projet'!$B$14,Paramètres!$A$1:$I$89,3,0)*0.475*44/12</f>
        <v>0.24747456433809756</v>
      </c>
      <c r="EC160" s="21">
        <f>EXP(-LN(2)/2)*EC159+(1-EXP(-LN(2)/2))/(LN(2)/2)*DW160*DZ160*VLOOKUP('Données projet'!$B$14,Paramètres!$A$1:$I$89,3,0)*0.475*44/12</f>
        <v>1.0020976811954482E-18</v>
      </c>
      <c r="ED160" s="22">
        <f t="shared" si="178"/>
        <v>0.36438840683066032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-3.0859155231155454E-13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469.68830256438338</v>
      </c>
      <c r="T161" s="59">
        <f t="shared" si="142"/>
        <v>332.61387922152159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0.19091782868014193</v>
      </c>
      <c r="AA161" s="21">
        <f>EXP(-LN(2)/25)*AA160+(1-EXP(-LN(2)/25))/(LN(2)/25)*Calculateur!V161*Calculateur!X161*VLOOKUP('Données projet'!$B$9,Paramètres!$A$1:$I$89,3,0)*0.475*44/12</f>
        <v>0.32444719238725594</v>
      </c>
      <c r="AB161" s="21">
        <f>EXP(-LN(2)/2)*AB160+(1-EXP(-LN(2)/2))/(LN(2)/2)*V161*Y161*VLOOKUP('Données projet'!$B$9,Paramètres!$A$1:$I$89,3,0)*0.475*44/12</f>
        <v>1.168408727739909E-18</v>
      </c>
      <c r="AC161" s="22">
        <f t="shared" si="163"/>
        <v>0.5153650210673979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-3.6711753637064249E-13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550.66682372933292</v>
      </c>
      <c r="AO161" s="59">
        <f t="shared" si="144"/>
        <v>387.28615589698444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0.2271263823953415</v>
      </c>
      <c r="AV161" s="21">
        <f>EXP(-LN(2)/25)*AV160+(1-EXP(-LN(2)/25))/(LN(2)/25)*Calculateur!AQ161*Calculateur!AS161*VLOOKUP('Données projet'!$B$10,Paramètres!$A$1:$I$89,3,0)*0.475*44/12</f>
        <v>0.38598028059863249</v>
      </c>
      <c r="AW161" s="21">
        <f>EXP(-LN(2)/2)*AW160+(1-EXP(-LN(2)/2))/(LN(2)/2)*AQ161*AT161*VLOOKUP('Données projet'!$B$10,Paramètres!$A$1:$I$89,3,0)*0.475*44/12</f>
        <v>1.3900034864491958E-18</v>
      </c>
      <c r="AX161" s="21">
        <f t="shared" si="166"/>
        <v>0.61310666299397398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1.3301360013429075E-13</v>
      </c>
      <c r="BF161" s="13">
        <f t="shared" si="167"/>
        <v>1.9329766731057041E-12</v>
      </c>
      <c r="BG161" s="20">
        <f t="shared" si="168"/>
        <v>3.5982663925596575E-12</v>
      </c>
      <c r="BH161" s="59">
        <f t="shared" si="116"/>
        <v>293.3333333333369</v>
      </c>
      <c r="BI161" s="59">
        <f ca="1">AVERAGE(OFFSET($BH$3,0,0,'Données projet'!$E$11+1,1))-AVERAGE(OFFSET($H$3,0,0,'Données projet'!$E$11+1,1))</f>
        <v>376.33792692771908</v>
      </c>
      <c r="BJ161" s="59">
        <f t="shared" si="146"/>
        <v>367.92889258044698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0.11462123335168624</v>
      </c>
      <c r="BQ161" s="21">
        <f>EXP(-LN(2)/25)*BQ160+(1-EXP(-LN(2)/25))/(LN(2)/25)*Calculateur!BL161*Calculateur!BN161*VLOOKUP('Données projet'!$B$11,Paramètres!$A$1:$I$89,3,0)*0.475*44/12</f>
        <v>0.24070735936215054</v>
      </c>
      <c r="BR161" s="21">
        <f>EXP(-LN(2)/2)*BR160+(1-EXP(-LN(2)/2))/(LN(2)/2)*BL161*BO161*VLOOKUP('Données projet'!$B$11,Paramètres!$A$1:$I$89,3,0)*0.475*44/12</f>
        <v>7.0859006578461648E-19</v>
      </c>
      <c r="BS161" s="22">
        <f t="shared" si="169"/>
        <v>0.35532859271383677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-1.0286385077051818E-13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388.50131600273431</v>
      </c>
      <c r="CE161" s="59">
        <f t="shared" si="148"/>
        <v>247.01165577562955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8.9313935935300431E-2</v>
      </c>
      <c r="CM161" s="21">
        <f>EXP(-LN(2)/2)*CM160+(1-EXP(-LN(2)/2))/(LN(2)/2)*CG161*CJ161*VLOOKUP('Données projet'!$B$12,Paramètres!$A$1:$I$89,3,0)*0.475*44/12</f>
        <v>3.3552521950198982E-19</v>
      </c>
      <c r="CN161" s="22">
        <f t="shared" si="172"/>
        <v>8.9313935935300431E-2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-1.223725121235475E-13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454.43000549907373</v>
      </c>
      <c r="CZ161" s="59">
        <f t="shared" si="150"/>
        <v>285.83623046025156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0.10625278585406428</v>
      </c>
      <c r="DH161" s="21">
        <f>EXP(-LN(2)/2)*DH160+(1-EXP(-LN(2)/2))/(LN(2)/2)*DB161*DE161*VLOOKUP('Données projet'!$B$13,Paramètres!$A$1:$I$89,3,0)*0.475*44/12</f>
        <v>3.9915931285581617E-19</v>
      </c>
      <c r="DI161" s="22">
        <f t="shared" si="175"/>
        <v>0.10625278585406428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1.7053025658242404E-13</v>
      </c>
      <c r="DP161" s="17">
        <f>DO161*VLOOKUP('Données projet'!$B$14,Paramètres!$A$1:$I$89,3,0)*VLOOKUP('Données projet'!$B$14,Paramètres!$A$1:$I$89,5,0)</f>
        <v>1.3301360013429075E-13</v>
      </c>
      <c r="DQ161" s="13">
        <f t="shared" si="176"/>
        <v>1.9329766731057041E-12</v>
      </c>
      <c r="DR161" s="20">
        <f t="shared" si="177"/>
        <v>3.5982663925596575E-12</v>
      </c>
      <c r="DS161" s="59">
        <f t="shared" si="125"/>
        <v>293.3333333333369</v>
      </c>
      <c r="DT161" s="59">
        <f ca="1">AVERAGE(OFFSET($DS$3,0,0,'Données projet'!$E$14+1,1))-AVERAGE(OFFSET($H$3,0,0,'Données projet'!$E$14+1,1))</f>
        <v>376.33792692771908</v>
      </c>
      <c r="DU161" s="59">
        <f t="shared" si="152"/>
        <v>367.92889258044698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0.11462123335168624</v>
      </c>
      <c r="EB161" s="21">
        <f>EXP(-LN(2)/25)*EB160+(1-EXP(-LN(2)/25))/(LN(2)/25)*Calculateur!DW161*Calculateur!DY161*VLOOKUP('Données projet'!$B$14,Paramètres!$A$1:$I$89,3,0)*0.475*44/12</f>
        <v>0.24070735936215054</v>
      </c>
      <c r="EC161" s="21">
        <f>EXP(-LN(2)/2)*EC160+(1-EXP(-LN(2)/2))/(LN(2)/2)*DW161*DZ161*VLOOKUP('Données projet'!$B$14,Paramètres!$A$1:$I$89,3,0)*0.475*44/12</f>
        <v>7.0859006578461648E-19</v>
      </c>
      <c r="ED161" s="22">
        <f t="shared" si="178"/>
        <v>0.35532859271383677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-3.0859155231155454E-13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469.68830256438338</v>
      </c>
      <c r="T162" s="59">
        <f t="shared" si="142"/>
        <v>332.61387922152159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0.18717404650810152</v>
      </c>
      <c r="AA162" s="21">
        <f>EXP(-LN(2)/25)*AA161+(1-EXP(-LN(2)/25))/(LN(2)/25)*Calculateur!V162*Calculateur!X162*VLOOKUP('Données projet'!$B$9,Paramètres!$A$1:$I$89,3,0)*0.475*44/12</f>
        <v>0.31557516684949011</v>
      </c>
      <c r="AB162" s="21">
        <f>EXP(-LN(2)/2)*AB161+(1-EXP(-LN(2)/2))/(LN(2)/2)*V162*Y162*VLOOKUP('Données projet'!$B$9,Paramètres!$A$1:$I$89,3,0)*0.475*44/12</f>
        <v>8.261897345824362E-19</v>
      </c>
      <c r="AC162" s="22">
        <f t="shared" si="163"/>
        <v>0.5027492133575916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-3.6711753637064249E-13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550.66682372933292</v>
      </c>
      <c r="AO162" s="59">
        <f t="shared" si="144"/>
        <v>387.28615589698444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0.22267257256998307</v>
      </c>
      <c r="AV162" s="21">
        <f>EXP(-LN(2)/25)*AV161+(1-EXP(-LN(2)/25))/(LN(2)/25)*Calculateur!AQ162*Calculateur!AS162*VLOOKUP('Données projet'!$B$10,Paramètres!$A$1:$I$89,3,0)*0.475*44/12</f>
        <v>0.37542562952784209</v>
      </c>
      <c r="AW162" s="21">
        <f>EXP(-LN(2)/2)*AW161+(1-EXP(-LN(2)/2))/(LN(2)/2)*AQ162*AT162*VLOOKUP('Données projet'!$B$10,Paramètres!$A$1:$I$89,3,0)*0.475*44/12</f>
        <v>9.8288089114116964E-19</v>
      </c>
      <c r="AX162" s="21">
        <f t="shared" si="166"/>
        <v>0.59809820209782516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1.3301360013429075E-13</v>
      </c>
      <c r="BF162" s="13">
        <f t="shared" si="167"/>
        <v>1.9329766731057041E-12</v>
      </c>
      <c r="BG162" s="20">
        <f t="shared" si="168"/>
        <v>3.5982663925596575E-12</v>
      </c>
      <c r="BH162" s="59">
        <f t="shared" si="116"/>
        <v>293.3333333333369</v>
      </c>
      <c r="BI162" s="59">
        <f ca="1">AVERAGE(OFFSET($BH$3,0,0,'Données projet'!$E$11+1,1))-AVERAGE(OFFSET($H$3,0,0,'Données projet'!$E$11+1,1))</f>
        <v>376.33792692771908</v>
      </c>
      <c r="BJ162" s="59">
        <f t="shared" si="146"/>
        <v>367.92889258044698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0.11237358087770878</v>
      </c>
      <c r="BQ162" s="21">
        <f>EXP(-LN(2)/25)*BQ161+(1-EXP(-LN(2)/25))/(LN(2)/25)*Calculateur!BL162*Calculateur!BN162*VLOOKUP('Données projet'!$B$11,Paramètres!$A$1:$I$89,3,0)*0.475*44/12</f>
        <v>0.23412520396214265</v>
      </c>
      <c r="BR162" s="21">
        <f>EXP(-LN(2)/2)*BR161+(1-EXP(-LN(2)/2))/(LN(2)/2)*BL162*BO162*VLOOKUP('Données projet'!$B$11,Paramètres!$A$1:$I$89,3,0)*0.475*44/12</f>
        <v>5.0104884059772411E-19</v>
      </c>
      <c r="BS162" s="22">
        <f t="shared" si="169"/>
        <v>0.34649878483985141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-1.0286385077051818E-13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388.50131600273431</v>
      </c>
      <c r="CE162" s="59">
        <f t="shared" si="148"/>
        <v>247.01165577562955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8.6871641660333884E-2</v>
      </c>
      <c r="CM162" s="21">
        <f>EXP(-LN(2)/2)*CM161+(1-EXP(-LN(2)/2))/(LN(2)/2)*CG162*CJ162*VLOOKUP('Données projet'!$B$12,Paramètres!$A$1:$I$89,3,0)*0.475*44/12</f>
        <v>2.3725215796896184E-19</v>
      </c>
      <c r="CN162" s="22">
        <f t="shared" si="172"/>
        <v>8.6871641660333884E-2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-1.223725121235475E-13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454.43000549907373</v>
      </c>
      <c r="CZ162" s="59">
        <f t="shared" si="150"/>
        <v>285.83623046025156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0.10334729783729373</v>
      </c>
      <c r="DH162" s="21">
        <f>EXP(-LN(2)/2)*DH161+(1-EXP(-LN(2)/2))/(LN(2)/2)*DB162*DE162*VLOOKUP('Données projet'!$B$13,Paramètres!$A$1:$I$89,3,0)*0.475*44/12</f>
        <v>2.8224825689411027E-19</v>
      </c>
      <c r="DI162" s="22">
        <f t="shared" si="175"/>
        <v>0.10334729783729373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1.7053025658242404E-13</v>
      </c>
      <c r="DP162" s="17">
        <f>DO162*VLOOKUP('Données projet'!$B$14,Paramètres!$A$1:$I$89,3,0)*VLOOKUP('Données projet'!$B$14,Paramètres!$A$1:$I$89,5,0)</f>
        <v>1.3301360013429075E-13</v>
      </c>
      <c r="DQ162" s="13">
        <f t="shared" si="176"/>
        <v>1.9329766731057041E-12</v>
      </c>
      <c r="DR162" s="20">
        <f t="shared" si="177"/>
        <v>3.5982663925596575E-12</v>
      </c>
      <c r="DS162" s="59">
        <f t="shared" si="125"/>
        <v>293.3333333333369</v>
      </c>
      <c r="DT162" s="59">
        <f ca="1">AVERAGE(OFFSET($DS$3,0,0,'Données projet'!$E$14+1,1))-AVERAGE(OFFSET($H$3,0,0,'Données projet'!$E$14+1,1))</f>
        <v>376.33792692771908</v>
      </c>
      <c r="DU162" s="59">
        <f t="shared" si="152"/>
        <v>367.92889258044698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0.11237358087770878</v>
      </c>
      <c r="EB162" s="21">
        <f>EXP(-LN(2)/25)*EB161+(1-EXP(-LN(2)/25))/(LN(2)/25)*Calculateur!DW162*Calculateur!DY162*VLOOKUP('Données projet'!$B$14,Paramètres!$A$1:$I$89,3,0)*0.475*44/12</f>
        <v>0.23412520396214265</v>
      </c>
      <c r="EC162" s="21">
        <f>EXP(-LN(2)/2)*EC161+(1-EXP(-LN(2)/2))/(LN(2)/2)*DW162*DZ162*VLOOKUP('Données projet'!$B$14,Paramètres!$A$1:$I$89,3,0)*0.475*44/12</f>
        <v>5.0104884059772411E-19</v>
      </c>
      <c r="ED162" s="22">
        <f t="shared" si="178"/>
        <v>0.34649878483985141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-3.0859155231155454E-13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469.68830256438338</v>
      </c>
      <c r="T163" s="59">
        <f t="shared" si="142"/>
        <v>332.61387922152159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0.18350367762097317</v>
      </c>
      <c r="AA163" s="21">
        <f>EXP(-LN(2)/25)*AA162+(1-EXP(-LN(2)/25))/(LN(2)/25)*Calculateur!V163*Calculateur!X163*VLOOKUP('Données projet'!$B$9,Paramètres!$A$1:$I$89,3,0)*0.475*44/12</f>
        <v>0.30694574731661406</v>
      </c>
      <c r="AB163" s="21">
        <f>EXP(-LN(2)/2)*AB162+(1-EXP(-LN(2)/2))/(LN(2)/2)*V163*Y163*VLOOKUP('Données projet'!$B$9,Paramètres!$A$1:$I$89,3,0)*0.475*44/12</f>
        <v>5.8420436386995448E-19</v>
      </c>
      <c r="AC163" s="22">
        <f t="shared" si="163"/>
        <v>0.49044942493758725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-3.6711753637064249E-13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550.66682372933292</v>
      </c>
      <c r="AO163" s="59">
        <f t="shared" si="144"/>
        <v>387.28615589698444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0.21830609923874417</v>
      </c>
      <c r="AV163" s="21">
        <f>EXP(-LN(2)/25)*AV162+(1-EXP(-LN(2)/25))/(LN(2)/25)*Calculateur!AQ163*Calculateur!AS163*VLOOKUP('Données projet'!$B$10,Paramètres!$A$1:$I$89,3,0)*0.475*44/12</f>
        <v>0.36515959594562741</v>
      </c>
      <c r="AW163" s="21">
        <f>EXP(-LN(2)/2)*AW162+(1-EXP(-LN(2)/2))/(LN(2)/2)*AQ163*AT163*VLOOKUP('Données projet'!$B$10,Paramètres!$A$1:$I$89,3,0)*0.475*44/12</f>
        <v>6.9500174322459788E-19</v>
      </c>
      <c r="AX163" s="21">
        <f t="shared" si="166"/>
        <v>0.58346569518437152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1.3301360013429075E-13</v>
      </c>
      <c r="BF163" s="13">
        <f t="shared" si="167"/>
        <v>1.9329766731057041E-12</v>
      </c>
      <c r="BG163" s="20">
        <f t="shared" si="168"/>
        <v>3.5982663925596575E-12</v>
      </c>
      <c r="BH163" s="59">
        <f t="shared" si="116"/>
        <v>293.3333333333369</v>
      </c>
      <c r="BI163" s="59">
        <f ca="1">AVERAGE(OFFSET($BH$3,0,0,'Données projet'!$E$11+1,1))-AVERAGE(OFFSET($H$3,0,0,'Données projet'!$E$11+1,1))</f>
        <v>376.33792692771908</v>
      </c>
      <c r="BJ163" s="59">
        <f t="shared" si="146"/>
        <v>367.92889258044698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0.11017000349781338</v>
      </c>
      <c r="BQ163" s="21">
        <f>EXP(-LN(2)/25)*BQ162+(1-EXP(-LN(2)/25))/(LN(2)/25)*Calculateur!BL163*Calculateur!BN163*VLOOKUP('Données projet'!$B$11,Paramètres!$A$1:$I$89,3,0)*0.475*44/12</f>
        <v>0.22772303794768847</v>
      </c>
      <c r="BR163" s="21">
        <f>EXP(-LN(2)/2)*BR162+(1-EXP(-LN(2)/2))/(LN(2)/2)*BL163*BO163*VLOOKUP('Données projet'!$B$11,Paramètres!$A$1:$I$89,3,0)*0.475*44/12</f>
        <v>3.5429503289230824E-19</v>
      </c>
      <c r="BS163" s="22">
        <f t="shared" si="169"/>
        <v>0.33789304144550186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-1.0286385077051818E-13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388.50131600273431</v>
      </c>
      <c r="CE163" s="59">
        <f t="shared" si="148"/>
        <v>247.01165577562955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8.4496132050750961E-2</v>
      </c>
      <c r="CM163" s="21">
        <f>EXP(-LN(2)/2)*CM162+(1-EXP(-LN(2)/2))/(LN(2)/2)*CG163*CJ163*VLOOKUP('Données projet'!$B$12,Paramètres!$A$1:$I$89,3,0)*0.475*44/12</f>
        <v>1.6776260975099491E-19</v>
      </c>
      <c r="CN163" s="22">
        <f t="shared" si="172"/>
        <v>8.4496132050750961E-2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-1.223725121235475E-13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454.43000549907373</v>
      </c>
      <c r="CZ163" s="59">
        <f t="shared" si="150"/>
        <v>285.83623046025156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0.10052126054313473</v>
      </c>
      <c r="DH163" s="21">
        <f>EXP(-LN(2)/2)*DH162+(1-EXP(-LN(2)/2))/(LN(2)/2)*DB163*DE163*VLOOKUP('Données projet'!$B$13,Paramètres!$A$1:$I$89,3,0)*0.475*44/12</f>
        <v>1.9957965642790809E-19</v>
      </c>
      <c r="DI163" s="22">
        <f t="shared" si="175"/>
        <v>0.10052126054313473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1.7053025658242404E-13</v>
      </c>
      <c r="DP163" s="17">
        <f>DO163*VLOOKUP('Données projet'!$B$14,Paramètres!$A$1:$I$89,3,0)*VLOOKUP('Données projet'!$B$14,Paramètres!$A$1:$I$89,5,0)</f>
        <v>1.3301360013429075E-13</v>
      </c>
      <c r="DQ163" s="13">
        <f t="shared" si="176"/>
        <v>1.9329766731057041E-12</v>
      </c>
      <c r="DR163" s="20">
        <f t="shared" si="177"/>
        <v>3.5982663925596575E-12</v>
      </c>
      <c r="DS163" s="59">
        <f t="shared" si="125"/>
        <v>293.3333333333369</v>
      </c>
      <c r="DT163" s="59">
        <f ca="1">AVERAGE(OFFSET($DS$3,0,0,'Données projet'!$E$14+1,1))-AVERAGE(OFFSET($H$3,0,0,'Données projet'!$E$14+1,1))</f>
        <v>376.33792692771908</v>
      </c>
      <c r="DU163" s="59">
        <f t="shared" si="152"/>
        <v>367.92889258044698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0.11017000349781338</v>
      </c>
      <c r="EB163" s="21">
        <f>EXP(-LN(2)/25)*EB162+(1-EXP(-LN(2)/25))/(LN(2)/25)*Calculateur!DW163*Calculateur!DY163*VLOOKUP('Données projet'!$B$14,Paramètres!$A$1:$I$89,3,0)*0.475*44/12</f>
        <v>0.22772303794768847</v>
      </c>
      <c r="EC163" s="21">
        <f>EXP(-LN(2)/2)*EC162+(1-EXP(-LN(2)/2))/(LN(2)/2)*DW163*DZ163*VLOOKUP('Données projet'!$B$14,Paramètres!$A$1:$I$89,3,0)*0.475*44/12</f>
        <v>3.5429503289230824E-19</v>
      </c>
      <c r="ED163" s="22">
        <f t="shared" si="178"/>
        <v>0.33789304144550186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-3.0859155231155454E-13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469.68830256438338</v>
      </c>
      <c r="T164" s="59">
        <f t="shared" si="142"/>
        <v>332.61387922152159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0.17990528242901743</v>
      </c>
      <c r="AA164" s="21">
        <f>EXP(-LN(2)/25)*AA163+(1-EXP(-LN(2)/25))/(LN(2)/25)*Calculateur!V164*Calculateur!X164*VLOOKUP('Données projet'!$B$9,Paramètres!$A$1:$I$89,3,0)*0.475*44/12</f>
        <v>0.2985522997146659</v>
      </c>
      <c r="AB164" s="21">
        <f>EXP(-LN(2)/2)*AB163+(1-EXP(-LN(2)/2))/(LN(2)/2)*V164*Y164*VLOOKUP('Données projet'!$B$9,Paramètres!$A$1:$I$89,3,0)*0.475*44/12</f>
        <v>4.130948672912181E-19</v>
      </c>
      <c r="AC164" s="22">
        <f t="shared" si="163"/>
        <v>0.47845758214368334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-3.6711753637064249E-13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550.66682372933292</v>
      </c>
      <c r="AO164" s="59">
        <f t="shared" si="144"/>
        <v>387.28615589698444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0.2140252497862451</v>
      </c>
      <c r="AV164" s="21">
        <f>EXP(-LN(2)/25)*AV163+(1-EXP(-LN(2)/25))/(LN(2)/25)*Calculateur!AQ164*Calculateur!AS164*VLOOKUP('Données projet'!$B$10,Paramètres!$A$1:$I$89,3,0)*0.475*44/12</f>
        <v>0.35517428759158565</v>
      </c>
      <c r="AW164" s="21">
        <f>EXP(-LN(2)/2)*AW163+(1-EXP(-LN(2)/2))/(LN(2)/2)*AQ164*AT164*VLOOKUP('Données projet'!$B$10,Paramètres!$A$1:$I$89,3,0)*0.475*44/12</f>
        <v>4.9144044557058482E-19</v>
      </c>
      <c r="AX164" s="21">
        <f t="shared" si="166"/>
        <v>0.56919953737783069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1.3301360013429075E-13</v>
      </c>
      <c r="BF164" s="13">
        <f t="shared" si="167"/>
        <v>1.9329766731057041E-12</v>
      </c>
      <c r="BG164" s="20">
        <f t="shared" si="168"/>
        <v>3.5982663925596575E-12</v>
      </c>
      <c r="BH164" s="59">
        <f t="shared" si="116"/>
        <v>293.3333333333369</v>
      </c>
      <c r="BI164" s="59">
        <f ca="1">AVERAGE(OFFSET($BH$3,0,0,'Données projet'!$E$11+1,1))-AVERAGE(OFFSET($H$3,0,0,'Données projet'!$E$11+1,1))</f>
        <v>376.33792692771908</v>
      </c>
      <c r="BJ164" s="59">
        <f t="shared" si="146"/>
        <v>367.92889258044698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0.10800963692628823</v>
      </c>
      <c r="BQ164" s="21">
        <f>EXP(-LN(2)/25)*BQ163+(1-EXP(-LN(2)/25))/(LN(2)/25)*Calculateur!BL164*Calculateur!BN164*VLOOKUP('Données projet'!$B$11,Paramètres!$A$1:$I$89,3,0)*0.475*44/12</f>
        <v>0.22149593949957483</v>
      </c>
      <c r="BR164" s="21">
        <f>EXP(-LN(2)/2)*BR163+(1-EXP(-LN(2)/2))/(LN(2)/2)*BL164*BO164*VLOOKUP('Données projet'!$B$11,Paramètres!$A$1:$I$89,3,0)*0.475*44/12</f>
        <v>2.5052442029886205E-19</v>
      </c>
      <c r="BS164" s="22">
        <f t="shared" si="169"/>
        <v>0.32950557642586309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-1.0286385077051818E-13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388.50131600273431</v>
      </c>
      <c r="CE164" s="59">
        <f t="shared" si="148"/>
        <v>247.01165577562955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8.2185580876364711E-2</v>
      </c>
      <c r="CM164" s="21">
        <f>EXP(-LN(2)/2)*CM163+(1-EXP(-LN(2)/2))/(LN(2)/2)*CG164*CJ164*VLOOKUP('Données projet'!$B$12,Paramètres!$A$1:$I$89,3,0)*0.475*44/12</f>
        <v>1.1862607898448092E-19</v>
      </c>
      <c r="CN164" s="22">
        <f t="shared" si="172"/>
        <v>8.2185580876364711E-2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-1.223725121235475E-13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454.43000549907373</v>
      </c>
      <c r="CZ164" s="59">
        <f t="shared" si="150"/>
        <v>285.83623046025156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9.777250138739936E-2</v>
      </c>
      <c r="DH164" s="21">
        <f>EXP(-LN(2)/2)*DH163+(1-EXP(-LN(2)/2))/(LN(2)/2)*DB164*DE164*VLOOKUP('Données projet'!$B$13,Paramètres!$A$1:$I$89,3,0)*0.475*44/12</f>
        <v>1.4112412844705513E-19</v>
      </c>
      <c r="DI164" s="22">
        <f t="shared" si="175"/>
        <v>9.777250138739936E-2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1.7053025658242404E-13</v>
      </c>
      <c r="DP164" s="17">
        <f>DO164*VLOOKUP('Données projet'!$B$14,Paramètres!$A$1:$I$89,3,0)*VLOOKUP('Données projet'!$B$14,Paramètres!$A$1:$I$89,5,0)</f>
        <v>1.3301360013429075E-13</v>
      </c>
      <c r="DQ164" s="13">
        <f t="shared" si="176"/>
        <v>1.9329766731057041E-12</v>
      </c>
      <c r="DR164" s="20">
        <f t="shared" si="177"/>
        <v>3.5982663925596575E-12</v>
      </c>
      <c r="DS164" s="59">
        <f t="shared" si="125"/>
        <v>293.3333333333369</v>
      </c>
      <c r="DT164" s="59">
        <f ca="1">AVERAGE(OFFSET($DS$3,0,0,'Données projet'!$E$14+1,1))-AVERAGE(OFFSET($H$3,0,0,'Données projet'!$E$14+1,1))</f>
        <v>376.33792692771908</v>
      </c>
      <c r="DU164" s="59">
        <f t="shared" si="152"/>
        <v>367.92889258044698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0.10800963692628823</v>
      </c>
      <c r="EB164" s="21">
        <f>EXP(-LN(2)/25)*EB163+(1-EXP(-LN(2)/25))/(LN(2)/25)*Calculateur!DW164*Calculateur!DY164*VLOOKUP('Données projet'!$B$14,Paramètres!$A$1:$I$89,3,0)*0.475*44/12</f>
        <v>0.22149593949957483</v>
      </c>
      <c r="EC164" s="21">
        <f>EXP(-LN(2)/2)*EC163+(1-EXP(-LN(2)/2))/(LN(2)/2)*DW164*DZ164*VLOOKUP('Données projet'!$B$14,Paramètres!$A$1:$I$89,3,0)*0.475*44/12</f>
        <v>2.5052442029886205E-19</v>
      </c>
      <c r="ED164" s="22">
        <f t="shared" si="178"/>
        <v>0.32950557642586309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-3.0859155231155454E-13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469.68830256438338</v>
      </c>
      <c r="T165" s="59">
        <f t="shared" si="142"/>
        <v>332.61387922152159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0.1763774495719716</v>
      </c>
      <c r="AA165" s="21">
        <f>EXP(-LN(2)/25)*AA164+(1-EXP(-LN(2)/25))/(LN(2)/25)*Calculateur!V165*Calculateur!X165*VLOOKUP('Données projet'!$B$9,Paramètres!$A$1:$I$89,3,0)*0.475*44/12</f>
        <v>0.29038837137878526</v>
      </c>
      <c r="AB165" s="21">
        <f>EXP(-LN(2)/2)*AB164+(1-EXP(-LN(2)/2))/(LN(2)/2)*V165*Y165*VLOOKUP('Données projet'!$B$9,Paramètres!$A$1:$I$89,3,0)*0.475*44/12</f>
        <v>2.9210218193497724E-19</v>
      </c>
      <c r="AC165" s="22">
        <f t="shared" si="163"/>
        <v>0.46676582095075686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-3.6711753637064249E-13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550.66682372933292</v>
      </c>
      <c r="AO165" s="59">
        <f t="shared" si="144"/>
        <v>387.28615589698444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0.20982834518044921</v>
      </c>
      <c r="AV165" s="21">
        <f>EXP(-LN(2)/25)*AV164+(1-EXP(-LN(2)/25))/(LN(2)/25)*Calculateur!AQ165*Calculateur!AS165*VLOOKUP('Données projet'!$B$10,Paramètres!$A$1:$I$89,3,0)*0.475*44/12</f>
        <v>0.3454620280195897</v>
      </c>
      <c r="AW165" s="21">
        <f>EXP(-LN(2)/2)*AW164+(1-EXP(-LN(2)/2))/(LN(2)/2)*AQ165*AT165*VLOOKUP('Données projet'!$B$10,Paramètres!$A$1:$I$89,3,0)*0.475*44/12</f>
        <v>3.4750087161229894E-19</v>
      </c>
      <c r="AX165" s="21">
        <f t="shared" si="166"/>
        <v>0.55529037320003893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1.3301360013429075E-13</v>
      </c>
      <c r="BF165" s="13">
        <f t="shared" si="167"/>
        <v>1.9329766731057041E-12</v>
      </c>
      <c r="BG165" s="20">
        <f t="shared" si="168"/>
        <v>3.5982663925596575E-12</v>
      </c>
      <c r="BH165" s="59">
        <f t="shared" si="116"/>
        <v>293.3333333333369</v>
      </c>
      <c r="BI165" s="59">
        <f ca="1">AVERAGE(OFFSET($BH$3,0,0,'Données projet'!$E$11+1,1))-AVERAGE(OFFSET($H$3,0,0,'Données projet'!$E$11+1,1))</f>
        <v>376.33792692771908</v>
      </c>
      <c r="BJ165" s="59">
        <f t="shared" si="146"/>
        <v>367.92889258044698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0.10589163382553719</v>
      </c>
      <c r="BQ165" s="21">
        <f>EXP(-LN(2)/25)*BQ164+(1-EXP(-LN(2)/25))/(LN(2)/25)*Calculateur!BL165*Calculateur!BN165*VLOOKUP('Données projet'!$B$11,Paramètres!$A$1:$I$89,3,0)*0.475*44/12</f>
        <v>0.21543912138599372</v>
      </c>
      <c r="BR165" s="21">
        <f>EXP(-LN(2)/2)*BR164+(1-EXP(-LN(2)/2))/(LN(2)/2)*BL165*BO165*VLOOKUP('Données projet'!$B$11,Paramètres!$A$1:$I$89,3,0)*0.475*44/12</f>
        <v>1.7714751644615412E-19</v>
      </c>
      <c r="BS165" s="22">
        <f t="shared" si="169"/>
        <v>0.32133075521153093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-1.0286385077051818E-13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388.50131600273431</v>
      </c>
      <c r="CE165" s="59">
        <f t="shared" si="148"/>
        <v>247.01165577562955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7.9938211845348661E-2</v>
      </c>
      <c r="CM165" s="21">
        <f>EXP(-LN(2)/2)*CM164+(1-EXP(-LN(2)/2))/(LN(2)/2)*CG165*CJ165*VLOOKUP('Données projet'!$B$12,Paramètres!$A$1:$I$89,3,0)*0.475*44/12</f>
        <v>8.3881304875497456E-20</v>
      </c>
      <c r="CN165" s="22">
        <f t="shared" si="172"/>
        <v>7.9938211845348661E-2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-1.223725121235475E-13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454.43000549907373</v>
      </c>
      <c r="CZ165" s="59">
        <f t="shared" si="150"/>
        <v>285.83623046025156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9.5098907195328541E-2</v>
      </c>
      <c r="DH165" s="21">
        <f>EXP(-LN(2)/2)*DH164+(1-EXP(-LN(2)/2))/(LN(2)/2)*DB165*DE165*VLOOKUP('Données projet'!$B$13,Paramètres!$A$1:$I$89,3,0)*0.475*44/12</f>
        <v>9.9789828213954043E-20</v>
      </c>
      <c r="DI165" s="22">
        <f t="shared" si="175"/>
        <v>9.5098907195328541E-2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1.7053025658242404E-13</v>
      </c>
      <c r="DP165" s="17">
        <f>DO165*VLOOKUP('Données projet'!$B$14,Paramètres!$A$1:$I$89,3,0)*VLOOKUP('Données projet'!$B$14,Paramètres!$A$1:$I$89,5,0)</f>
        <v>1.3301360013429075E-13</v>
      </c>
      <c r="DQ165" s="13">
        <f t="shared" si="176"/>
        <v>1.9329766731057041E-12</v>
      </c>
      <c r="DR165" s="20">
        <f t="shared" si="177"/>
        <v>3.5982663925596575E-12</v>
      </c>
      <c r="DS165" s="59">
        <f t="shared" si="125"/>
        <v>293.3333333333369</v>
      </c>
      <c r="DT165" s="59">
        <f ca="1">AVERAGE(OFFSET($DS$3,0,0,'Données projet'!$E$14+1,1))-AVERAGE(OFFSET($H$3,0,0,'Données projet'!$E$14+1,1))</f>
        <v>376.33792692771908</v>
      </c>
      <c r="DU165" s="59">
        <f t="shared" si="152"/>
        <v>367.92889258044698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0.10589163382553719</v>
      </c>
      <c r="EB165" s="21">
        <f>EXP(-LN(2)/25)*EB164+(1-EXP(-LN(2)/25))/(LN(2)/25)*Calculateur!DW165*Calculateur!DY165*VLOOKUP('Données projet'!$B$14,Paramètres!$A$1:$I$89,3,0)*0.475*44/12</f>
        <v>0.21543912138599372</v>
      </c>
      <c r="EC165" s="21">
        <f>EXP(-LN(2)/2)*EC164+(1-EXP(-LN(2)/2))/(LN(2)/2)*DW165*DZ165*VLOOKUP('Données projet'!$B$14,Paramètres!$A$1:$I$89,3,0)*0.475*44/12</f>
        <v>1.7714751644615412E-19</v>
      </c>
      <c r="ED165" s="22">
        <f t="shared" si="178"/>
        <v>0.32133075521153093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-3.0859155231155454E-13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469.68830256438338</v>
      </c>
      <c r="T166" s="59">
        <f t="shared" si="142"/>
        <v>332.61387922152159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0.17291879536548688</v>
      </c>
      <c r="AA166" s="21">
        <f>EXP(-LN(2)/25)*AA165+(1-EXP(-LN(2)/25))/(LN(2)/25)*Calculateur!V166*Calculateur!X166*VLOOKUP('Données projet'!$B$9,Paramètres!$A$1:$I$89,3,0)*0.475*44/12</f>
        <v>0.28244768609257159</v>
      </c>
      <c r="AB166" s="21">
        <f>EXP(-LN(2)/2)*AB165+(1-EXP(-LN(2)/2))/(LN(2)/2)*V166*Y166*VLOOKUP('Données projet'!$B$9,Paramètres!$A$1:$I$89,3,0)*0.475*44/12</f>
        <v>2.0654743364560905E-19</v>
      </c>
      <c r="AC166" s="22">
        <f t="shared" si="163"/>
        <v>0.45536648145805847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-3.6711753637064249E-13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550.66682372933292</v>
      </c>
      <c r="AO166" s="59">
        <f t="shared" si="144"/>
        <v>387.28615589698444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0.20571373931411394</v>
      </c>
      <c r="AV166" s="21">
        <f>EXP(-LN(2)/25)*AV165+(1-EXP(-LN(2)/25))/(LN(2)/25)*Calculateur!AQ166*Calculateur!AS166*VLOOKUP('Données projet'!$B$10,Paramètres!$A$1:$I$89,3,0)*0.475*44/12</f>
        <v>0.33601535069633554</v>
      </c>
      <c r="AW166" s="21">
        <f>EXP(-LN(2)/2)*AW165+(1-EXP(-LN(2)/2))/(LN(2)/2)*AQ166*AT166*VLOOKUP('Données projet'!$B$10,Paramètres!$A$1:$I$89,3,0)*0.475*44/12</f>
        <v>2.4572022278529241E-19</v>
      </c>
      <c r="AX166" s="21">
        <f t="shared" si="166"/>
        <v>0.54172909001044944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1.3301360013429075E-13</v>
      </c>
      <c r="BF166" s="13">
        <f t="shared" si="167"/>
        <v>1.9329766731057041E-12</v>
      </c>
      <c r="BG166" s="20">
        <f t="shared" si="168"/>
        <v>3.5982663925596575E-12</v>
      </c>
      <c r="BH166" s="59">
        <f t="shared" si="116"/>
        <v>293.3333333333369</v>
      </c>
      <c r="BI166" s="59">
        <f ca="1">AVERAGE(OFFSET($BH$3,0,0,'Données projet'!$E$11+1,1))-AVERAGE(OFFSET($H$3,0,0,'Données projet'!$E$11+1,1))</f>
        <v>376.33792692771908</v>
      </c>
      <c r="BJ166" s="59">
        <f t="shared" si="146"/>
        <v>367.92889258044698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0.10381516347373755</v>
      </c>
      <c r="BQ166" s="21">
        <f>EXP(-LN(2)/25)*BQ165+(1-EXP(-LN(2)/25))/(LN(2)/25)*Calculateur!BL166*Calculateur!BN166*VLOOKUP('Données projet'!$B$11,Paramètres!$A$1:$I$89,3,0)*0.475*44/12</f>
        <v>0.20954792728224272</v>
      </c>
      <c r="BR166" s="21">
        <f>EXP(-LN(2)/2)*BR165+(1-EXP(-LN(2)/2))/(LN(2)/2)*BL166*BO166*VLOOKUP('Données projet'!$B$11,Paramètres!$A$1:$I$89,3,0)*0.475*44/12</f>
        <v>1.2526221014943103E-19</v>
      </c>
      <c r="BS166" s="22">
        <f t="shared" si="169"/>
        <v>0.31336309075598029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-1.0286385077051818E-13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388.50131600273431</v>
      </c>
      <c r="CE166" s="59">
        <f t="shared" si="148"/>
        <v>247.01165577562955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7.7752297238669749E-2</v>
      </c>
      <c r="CM166" s="21">
        <f>EXP(-LN(2)/2)*CM165+(1-EXP(-LN(2)/2))/(LN(2)/2)*CG166*CJ166*VLOOKUP('Données projet'!$B$12,Paramètres!$A$1:$I$89,3,0)*0.475*44/12</f>
        <v>5.9313039492240461E-20</v>
      </c>
      <c r="CN166" s="22">
        <f t="shared" si="172"/>
        <v>7.7752297238669749E-2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-1.223725121235475E-13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454.43000549907373</v>
      </c>
      <c r="CZ166" s="59">
        <f t="shared" si="150"/>
        <v>285.83623046025156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9.2498422577038109E-2</v>
      </c>
      <c r="DH166" s="21">
        <f>EXP(-LN(2)/2)*DH165+(1-EXP(-LN(2)/2))/(LN(2)/2)*DB166*DE166*VLOOKUP('Données projet'!$B$13,Paramètres!$A$1:$I$89,3,0)*0.475*44/12</f>
        <v>7.0562064223527567E-20</v>
      </c>
      <c r="DI166" s="22">
        <f t="shared" si="175"/>
        <v>9.2498422577038109E-2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1.7053025658242404E-13</v>
      </c>
      <c r="DP166" s="17">
        <f>DO166*VLOOKUP('Données projet'!$B$14,Paramètres!$A$1:$I$89,3,0)*VLOOKUP('Données projet'!$B$14,Paramètres!$A$1:$I$89,5,0)</f>
        <v>1.3301360013429075E-13</v>
      </c>
      <c r="DQ166" s="13">
        <f t="shared" si="176"/>
        <v>1.9329766731057041E-12</v>
      </c>
      <c r="DR166" s="20">
        <f t="shared" si="177"/>
        <v>3.5982663925596575E-12</v>
      </c>
      <c r="DS166" s="59">
        <f t="shared" si="125"/>
        <v>293.3333333333369</v>
      </c>
      <c r="DT166" s="59">
        <f ca="1">AVERAGE(OFFSET($DS$3,0,0,'Données projet'!$E$14+1,1))-AVERAGE(OFFSET($H$3,0,0,'Données projet'!$E$14+1,1))</f>
        <v>376.33792692771908</v>
      </c>
      <c r="DU166" s="59">
        <f t="shared" si="152"/>
        <v>367.92889258044698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0.10381516347373755</v>
      </c>
      <c r="EB166" s="21">
        <f>EXP(-LN(2)/25)*EB165+(1-EXP(-LN(2)/25))/(LN(2)/25)*Calculateur!DW166*Calculateur!DY166*VLOOKUP('Données projet'!$B$14,Paramètres!$A$1:$I$89,3,0)*0.475*44/12</f>
        <v>0.20954792728224272</v>
      </c>
      <c r="EC166" s="21">
        <f>EXP(-LN(2)/2)*EC165+(1-EXP(-LN(2)/2))/(LN(2)/2)*DW166*DZ166*VLOOKUP('Données projet'!$B$14,Paramètres!$A$1:$I$89,3,0)*0.475*44/12</f>
        <v>1.2526221014943103E-19</v>
      </c>
      <c r="ED166" s="22">
        <f t="shared" si="178"/>
        <v>0.31336309075598029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-3.0859155231155454E-13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469.68830256438338</v>
      </c>
      <c r="T167" s="59">
        <f t="shared" si="142"/>
        <v>332.61387922152159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0.16952796325842054</v>
      </c>
      <c r="AA167" s="21">
        <f>EXP(-LN(2)/25)*AA166+(1-EXP(-LN(2)/25))/(LN(2)/25)*Calculateur!V167*Calculateur!X167*VLOOKUP('Données projet'!$B$9,Paramètres!$A$1:$I$89,3,0)*0.475*44/12</f>
        <v>0.27472413926309197</v>
      </c>
      <c r="AB167" s="21">
        <f>EXP(-LN(2)/2)*AB166+(1-EXP(-LN(2)/2))/(LN(2)/2)*V167*Y167*VLOOKUP('Données projet'!$B$9,Paramètres!$A$1:$I$89,3,0)*0.475*44/12</f>
        <v>1.4605109096748862E-19</v>
      </c>
      <c r="AC167" s="22">
        <f t="shared" si="163"/>
        <v>0.44425210252151248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-3.6711753637064249E-13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550.66682372933292</v>
      </c>
      <c r="AO167" s="59">
        <f t="shared" si="144"/>
        <v>387.28615589698444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0.20167981835915572</v>
      </c>
      <c r="AV167" s="21">
        <f>EXP(-LN(2)/25)*AV166+(1-EXP(-LN(2)/25))/(LN(2)/25)*Calculateur!AQ167*Calculateur!AS167*VLOOKUP('Données projet'!$B$10,Paramètres!$A$1:$I$89,3,0)*0.475*44/12</f>
        <v>0.32682699326126491</v>
      </c>
      <c r="AW167" s="21">
        <f>EXP(-LN(2)/2)*AW166+(1-EXP(-LN(2)/2))/(LN(2)/2)*AQ167*AT167*VLOOKUP('Données projet'!$B$10,Paramètres!$A$1:$I$89,3,0)*0.475*44/12</f>
        <v>1.7375043580614947E-19</v>
      </c>
      <c r="AX167" s="21">
        <f t="shared" si="166"/>
        <v>0.52850681162042057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1.3301360013429075E-13</v>
      </c>
      <c r="BF167" s="13">
        <f t="shared" si="167"/>
        <v>1.9329766731057041E-12</v>
      </c>
      <c r="BG167" s="20">
        <f t="shared" si="168"/>
        <v>3.5982663925596575E-12</v>
      </c>
      <c r="BH167" s="59">
        <f t="shared" si="116"/>
        <v>293.3333333333369</v>
      </c>
      <c r="BI167" s="59">
        <f ca="1">AVERAGE(OFFSET($BH$3,0,0,'Données projet'!$E$11+1,1))-AVERAGE(OFFSET($H$3,0,0,'Données projet'!$E$11+1,1))</f>
        <v>376.33792692771908</v>
      </c>
      <c r="BJ167" s="59">
        <f t="shared" si="146"/>
        <v>367.92889258044698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0.10177941143901485</v>
      </c>
      <c r="BQ167" s="21">
        <f>EXP(-LN(2)/25)*BQ166+(1-EXP(-LN(2)/25))/(LN(2)/25)*Calculateur!BL167*Calculateur!BN167*VLOOKUP('Données projet'!$B$11,Paramètres!$A$1:$I$89,3,0)*0.475*44/12</f>
        <v>0.20381782819106323</v>
      </c>
      <c r="BR167" s="21">
        <f>EXP(-LN(2)/2)*BR166+(1-EXP(-LN(2)/2))/(LN(2)/2)*BL167*BO167*VLOOKUP('Données projet'!$B$11,Paramètres!$A$1:$I$89,3,0)*0.475*44/12</f>
        <v>8.857375822307706E-20</v>
      </c>
      <c r="BS167" s="22">
        <f t="shared" si="169"/>
        <v>0.30559723963007807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-1.0286385077051818E-13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388.50131600273431</v>
      </c>
      <c r="CE167" s="59">
        <f t="shared" si="148"/>
        <v>247.01165577562955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7.5626156581862725E-2</v>
      </c>
      <c r="CM167" s="21">
        <f>EXP(-LN(2)/2)*CM166+(1-EXP(-LN(2)/2))/(LN(2)/2)*CG167*CJ167*VLOOKUP('Données projet'!$B$12,Paramètres!$A$1:$I$89,3,0)*0.475*44/12</f>
        <v>4.1940652437748728E-20</v>
      </c>
      <c r="CN167" s="22">
        <f t="shared" si="172"/>
        <v>7.5626156581862725E-2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-1.223725121235475E-13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454.43000549907373</v>
      </c>
      <c r="CZ167" s="59">
        <f t="shared" si="150"/>
        <v>285.83623046025156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8.9969048347388364E-2</v>
      </c>
      <c r="DH167" s="21">
        <f>EXP(-LN(2)/2)*DH166+(1-EXP(-LN(2)/2))/(LN(2)/2)*DB167*DE167*VLOOKUP('Données projet'!$B$13,Paramètres!$A$1:$I$89,3,0)*0.475*44/12</f>
        <v>4.9894914106977022E-20</v>
      </c>
      <c r="DI167" s="22">
        <f t="shared" si="175"/>
        <v>8.9969048347388364E-2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1.7053025658242404E-13</v>
      </c>
      <c r="DP167" s="17">
        <f>DO167*VLOOKUP('Données projet'!$B$14,Paramètres!$A$1:$I$89,3,0)*VLOOKUP('Données projet'!$B$14,Paramètres!$A$1:$I$89,5,0)</f>
        <v>1.3301360013429075E-13</v>
      </c>
      <c r="DQ167" s="13">
        <f t="shared" si="176"/>
        <v>1.9329766731057041E-12</v>
      </c>
      <c r="DR167" s="20">
        <f t="shared" si="177"/>
        <v>3.5982663925596575E-12</v>
      </c>
      <c r="DS167" s="59">
        <f t="shared" si="125"/>
        <v>293.3333333333369</v>
      </c>
      <c r="DT167" s="59">
        <f ca="1">AVERAGE(OFFSET($DS$3,0,0,'Données projet'!$E$14+1,1))-AVERAGE(OFFSET($H$3,0,0,'Données projet'!$E$14+1,1))</f>
        <v>376.33792692771908</v>
      </c>
      <c r="DU167" s="59">
        <f t="shared" si="152"/>
        <v>367.92889258044698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0.10177941143901485</v>
      </c>
      <c r="EB167" s="21">
        <f>EXP(-LN(2)/25)*EB166+(1-EXP(-LN(2)/25))/(LN(2)/25)*Calculateur!DW167*Calculateur!DY167*VLOOKUP('Données projet'!$B$14,Paramètres!$A$1:$I$89,3,0)*0.475*44/12</f>
        <v>0.20381782819106323</v>
      </c>
      <c r="EC167" s="21">
        <f>EXP(-LN(2)/2)*EC166+(1-EXP(-LN(2)/2))/(LN(2)/2)*DW167*DZ167*VLOOKUP('Données projet'!$B$14,Paramètres!$A$1:$I$89,3,0)*0.475*44/12</f>
        <v>8.857375822307706E-20</v>
      </c>
      <c r="ED167" s="22">
        <f t="shared" si="178"/>
        <v>0.30559723963007807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-3.0859155231155454E-13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469.68830256438338</v>
      </c>
      <c r="T168" s="59">
        <f t="shared" si="142"/>
        <v>332.61387922152159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0.1662036233007704</v>
      </c>
      <c r="AA168" s="21">
        <f>EXP(-LN(2)/25)*AA167+(1-EXP(-LN(2)/25))/(LN(2)/25)*Calculateur!V168*Calculateur!X168*VLOOKUP('Données projet'!$B$9,Paramètres!$A$1:$I$89,3,0)*0.475*44/12</f>
        <v>0.26721179322782812</v>
      </c>
      <c r="AB168" s="21">
        <f>EXP(-LN(2)/2)*AB167+(1-EXP(-LN(2)/2))/(LN(2)/2)*V168*Y168*VLOOKUP('Données projet'!$B$9,Paramètres!$A$1:$I$89,3,0)*0.475*44/12</f>
        <v>1.0327371682280452E-19</v>
      </c>
      <c r="AC168" s="22">
        <f t="shared" si="163"/>
        <v>0.4334154165285985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-3.6711753637064249E-13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550.66682372933292</v>
      </c>
      <c r="AO168" s="59">
        <f t="shared" si="144"/>
        <v>387.28615589698444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0.19772500013367539</v>
      </c>
      <c r="AV168" s="21">
        <f>EXP(-LN(2)/25)*AV167+(1-EXP(-LN(2)/25))/(LN(2)/25)*Calculateur!AQ168*Calculateur!AS168*VLOOKUP('Données projet'!$B$10,Paramètres!$A$1:$I$89,3,0)*0.475*44/12</f>
        <v>0.31788989194345102</v>
      </c>
      <c r="AW168" s="21">
        <f>EXP(-LN(2)/2)*AW167+(1-EXP(-LN(2)/2))/(LN(2)/2)*AQ168*AT168*VLOOKUP('Données projet'!$B$10,Paramètres!$A$1:$I$89,3,0)*0.475*44/12</f>
        <v>1.228601113926462E-19</v>
      </c>
      <c r="AX168" s="21">
        <f t="shared" si="166"/>
        <v>0.51561489207712641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1.3301360013429075E-13</v>
      </c>
      <c r="BF168" s="13">
        <f t="shared" si="167"/>
        <v>1.9329766731057041E-12</v>
      </c>
      <c r="BG168" s="20">
        <f t="shared" si="168"/>
        <v>3.5982663925596575E-12</v>
      </c>
      <c r="BH168" s="59">
        <f t="shared" si="116"/>
        <v>293.3333333333369</v>
      </c>
      <c r="BI168" s="59">
        <f ca="1">AVERAGE(OFFSET($BH$3,0,0,'Données projet'!$E$11+1,1))-AVERAGE(OFFSET($H$3,0,0,'Données projet'!$E$11+1,1))</f>
        <v>376.33792692771908</v>
      </c>
      <c r="BJ168" s="59">
        <f t="shared" si="146"/>
        <v>367.92889258044698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9.978357926000693E-2</v>
      </c>
      <c r="BQ168" s="21">
        <f>EXP(-LN(2)/25)*BQ167+(1-EXP(-LN(2)/25))/(LN(2)/25)*Calculateur!BL168*Calculateur!BN168*VLOOKUP('Données projet'!$B$11,Paramètres!$A$1:$I$89,3,0)*0.475*44/12</f>
        <v>0.19824441896086484</v>
      </c>
      <c r="BR168" s="21">
        <f>EXP(-LN(2)/2)*BR167+(1-EXP(-LN(2)/2))/(LN(2)/2)*BL168*BO168*VLOOKUP('Données projet'!$B$11,Paramètres!$A$1:$I$89,3,0)*0.475*44/12</f>
        <v>6.2631105074715514E-20</v>
      </c>
      <c r="BS168" s="22">
        <f t="shared" si="169"/>
        <v>0.29802799822087178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-1.0286385077051818E-13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388.50131600273431</v>
      </c>
      <c r="CE168" s="59">
        <f t="shared" si="148"/>
        <v>247.01165577562955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7.355815535312496E-2</v>
      </c>
      <c r="CM168" s="21">
        <f>EXP(-LN(2)/2)*CM167+(1-EXP(-LN(2)/2))/(LN(2)/2)*CG168*CJ168*VLOOKUP('Données projet'!$B$12,Paramètres!$A$1:$I$89,3,0)*0.475*44/12</f>
        <v>2.965651974612023E-20</v>
      </c>
      <c r="CN168" s="22">
        <f t="shared" si="172"/>
        <v>7.355815535312496E-2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-1.223725121235475E-13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454.43000549907373</v>
      </c>
      <c r="CZ168" s="59">
        <f t="shared" si="150"/>
        <v>285.83623046025156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8.7508839989062406E-2</v>
      </c>
      <c r="DH168" s="21">
        <f>EXP(-LN(2)/2)*DH167+(1-EXP(-LN(2)/2))/(LN(2)/2)*DB168*DE168*VLOOKUP('Données projet'!$B$13,Paramètres!$A$1:$I$89,3,0)*0.475*44/12</f>
        <v>3.5281032111763784E-20</v>
      </c>
      <c r="DI168" s="22">
        <f t="shared" si="175"/>
        <v>8.7508839989062406E-2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1.7053025658242404E-13</v>
      </c>
      <c r="DP168" s="17">
        <f>DO168*VLOOKUP('Données projet'!$B$14,Paramètres!$A$1:$I$89,3,0)*VLOOKUP('Données projet'!$B$14,Paramètres!$A$1:$I$89,5,0)</f>
        <v>1.3301360013429075E-13</v>
      </c>
      <c r="DQ168" s="13">
        <f t="shared" si="176"/>
        <v>1.9329766731057041E-12</v>
      </c>
      <c r="DR168" s="20">
        <f t="shared" si="177"/>
        <v>3.5982663925596575E-12</v>
      </c>
      <c r="DS168" s="59">
        <f t="shared" si="125"/>
        <v>293.3333333333369</v>
      </c>
      <c r="DT168" s="59">
        <f ca="1">AVERAGE(OFFSET($DS$3,0,0,'Données projet'!$E$14+1,1))-AVERAGE(OFFSET($H$3,0,0,'Données projet'!$E$14+1,1))</f>
        <v>376.33792692771908</v>
      </c>
      <c r="DU168" s="59">
        <f t="shared" si="152"/>
        <v>367.92889258044698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9.978357926000693E-2</v>
      </c>
      <c r="EB168" s="21">
        <f>EXP(-LN(2)/25)*EB167+(1-EXP(-LN(2)/25))/(LN(2)/25)*Calculateur!DW168*Calculateur!DY168*VLOOKUP('Données projet'!$B$14,Paramètres!$A$1:$I$89,3,0)*0.475*44/12</f>
        <v>0.19824441896086484</v>
      </c>
      <c r="EC168" s="21">
        <f>EXP(-LN(2)/2)*EC167+(1-EXP(-LN(2)/2))/(LN(2)/2)*DW168*DZ168*VLOOKUP('Données projet'!$B$14,Paramètres!$A$1:$I$89,3,0)*0.475*44/12</f>
        <v>6.2631105074715514E-20</v>
      </c>
      <c r="ED168" s="22">
        <f t="shared" si="178"/>
        <v>0.29802799822087178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-3.0859155231155454E-13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469.68830256438338</v>
      </c>
      <c r="T169" s="59">
        <f t="shared" si="142"/>
        <v>332.61387922152159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0.16294447162204265</v>
      </c>
      <c r="AA169" s="21">
        <f>EXP(-LN(2)/25)*AA168+(1-EXP(-LN(2)/25))/(LN(2)/25)*Calculateur!V169*Calculateur!X169*VLOOKUP('Données projet'!$B$9,Paramètres!$A$1:$I$89,3,0)*0.475*44/12</f>
        <v>0.25990487268995566</v>
      </c>
      <c r="AB169" s="21">
        <f>EXP(-LN(2)/2)*AB168+(1-EXP(-LN(2)/2))/(LN(2)/2)*V169*Y169*VLOOKUP('Données projet'!$B$9,Paramètres!$A$1:$I$89,3,0)*0.475*44/12</f>
        <v>7.302554548374431E-20</v>
      </c>
      <c r="AC169" s="22">
        <f t="shared" si="163"/>
        <v>0.42284934431199828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-3.6711753637064249E-13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550.66682372933292</v>
      </c>
      <c r="AO169" s="59">
        <f t="shared" si="144"/>
        <v>387.28615589698444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0.19384773348139581</v>
      </c>
      <c r="AV169" s="21">
        <f>EXP(-LN(2)/25)*AV168+(1-EXP(-LN(2)/25))/(LN(2)/25)*Calculateur!AQ169*Calculateur!AS169*VLOOKUP('Données projet'!$B$10,Paramètres!$A$1:$I$89,3,0)*0.475*44/12</f>
        <v>0.30919717613115449</v>
      </c>
      <c r="AW169" s="21">
        <f>EXP(-LN(2)/2)*AW168+(1-EXP(-LN(2)/2))/(LN(2)/2)*AQ169*AT169*VLOOKUP('Données projet'!$B$10,Paramètres!$A$1:$I$89,3,0)*0.475*44/12</f>
        <v>8.6875217903074735E-20</v>
      </c>
      <c r="AX169" s="21">
        <f t="shared" si="166"/>
        <v>0.50304490961255033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1.3301360013429075E-13</v>
      </c>
      <c r="BF169" s="13">
        <f t="shared" si="167"/>
        <v>1.9329766731057041E-12</v>
      </c>
      <c r="BG169" s="20">
        <f t="shared" si="168"/>
        <v>3.5982663925596575E-12</v>
      </c>
      <c r="BH169" s="59">
        <f t="shared" si="116"/>
        <v>293.3333333333369</v>
      </c>
      <c r="BI169" s="59">
        <f ca="1">AVERAGE(OFFSET($BH$3,0,0,'Données projet'!$E$11+1,1))-AVERAGE(OFFSET($H$3,0,0,'Données projet'!$E$11+1,1))</f>
        <v>376.33792692771908</v>
      </c>
      <c r="BJ169" s="59">
        <f t="shared" si="146"/>
        <v>367.92889258044698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9.7826884132691916E-2</v>
      </c>
      <c r="BQ169" s="21">
        <f>EXP(-LN(2)/25)*BQ168+(1-EXP(-LN(2)/25))/(LN(2)/25)*Calculateur!BL169*Calculateur!BN169*VLOOKUP('Données projet'!$B$11,Paramètres!$A$1:$I$89,3,0)*0.475*44/12</f>
        <v>0.19282341489915908</v>
      </c>
      <c r="BR169" s="21">
        <f>EXP(-LN(2)/2)*BR168+(1-EXP(-LN(2)/2))/(LN(2)/2)*BL169*BO169*VLOOKUP('Données projet'!$B$11,Paramètres!$A$1:$I$89,3,0)*0.475*44/12</f>
        <v>4.428687911153853E-20</v>
      </c>
      <c r="BS169" s="22">
        <f t="shared" si="169"/>
        <v>0.29065029903185102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-1.0286385077051818E-13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388.50131600273431</v>
      </c>
      <c r="CE169" s="59">
        <f t="shared" si="148"/>
        <v>247.01165577562955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7.1546703726738492E-2</v>
      </c>
      <c r="CM169" s="21">
        <f>EXP(-LN(2)/2)*CM168+(1-EXP(-LN(2)/2))/(LN(2)/2)*CG169*CJ169*VLOOKUP('Données projet'!$B$12,Paramètres!$A$1:$I$89,3,0)*0.475*44/12</f>
        <v>2.0970326218874364E-20</v>
      </c>
      <c r="CN169" s="22">
        <f t="shared" si="172"/>
        <v>7.1546703726738492E-2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-1.223725121235475E-13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454.43000549907373</v>
      </c>
      <c r="CZ169" s="59">
        <f t="shared" si="150"/>
        <v>285.83623046025156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8.5115906157671603E-2</v>
      </c>
      <c r="DH169" s="21">
        <f>EXP(-LN(2)/2)*DH168+(1-EXP(-LN(2)/2))/(LN(2)/2)*DB169*DE169*VLOOKUP('Données projet'!$B$13,Paramètres!$A$1:$I$89,3,0)*0.475*44/12</f>
        <v>2.4947457053488511E-20</v>
      </c>
      <c r="DI169" s="22">
        <f t="shared" si="175"/>
        <v>8.5115906157671603E-2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1.7053025658242404E-13</v>
      </c>
      <c r="DP169" s="17">
        <f>DO169*VLOOKUP('Données projet'!$B$14,Paramètres!$A$1:$I$89,3,0)*VLOOKUP('Données projet'!$B$14,Paramètres!$A$1:$I$89,5,0)</f>
        <v>1.3301360013429075E-13</v>
      </c>
      <c r="DQ169" s="13">
        <f t="shared" si="176"/>
        <v>1.9329766731057041E-12</v>
      </c>
      <c r="DR169" s="20">
        <f t="shared" si="177"/>
        <v>3.5982663925596575E-12</v>
      </c>
      <c r="DS169" s="59">
        <f t="shared" si="125"/>
        <v>293.3333333333369</v>
      </c>
      <c r="DT169" s="59">
        <f ca="1">AVERAGE(OFFSET($DS$3,0,0,'Données projet'!$E$14+1,1))-AVERAGE(OFFSET($H$3,0,0,'Données projet'!$E$14+1,1))</f>
        <v>376.33792692771908</v>
      </c>
      <c r="DU169" s="59">
        <f t="shared" si="152"/>
        <v>367.92889258044698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9.7826884132691916E-2</v>
      </c>
      <c r="EB169" s="21">
        <f>EXP(-LN(2)/25)*EB168+(1-EXP(-LN(2)/25))/(LN(2)/25)*Calculateur!DW169*Calculateur!DY169*VLOOKUP('Données projet'!$B$14,Paramètres!$A$1:$I$89,3,0)*0.475*44/12</f>
        <v>0.19282341489915908</v>
      </c>
      <c r="EC169" s="21">
        <f>EXP(-LN(2)/2)*EC168+(1-EXP(-LN(2)/2))/(LN(2)/2)*DW169*DZ169*VLOOKUP('Données projet'!$B$14,Paramètres!$A$1:$I$89,3,0)*0.475*44/12</f>
        <v>4.428687911153853E-20</v>
      </c>
      <c r="ED169" s="22">
        <f t="shared" si="178"/>
        <v>0.29065029903185102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-3.0859155231155454E-13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469.68830256438338</v>
      </c>
      <c r="T170" s="59">
        <f t="shared" si="142"/>
        <v>332.61387922152159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0.1597492299198485</v>
      </c>
      <c r="AA170" s="21">
        <f>EXP(-LN(2)/25)*AA169+(1-EXP(-LN(2)/25))/(LN(2)/25)*Calculateur!V170*Calculateur!X170*VLOOKUP('Données projet'!$B$9,Paramètres!$A$1:$I$89,3,0)*0.475*44/12</f>
        <v>0.25279776027844558</v>
      </c>
      <c r="AB170" s="21">
        <f>EXP(-LN(2)/2)*AB169+(1-EXP(-LN(2)/2))/(LN(2)/2)*V170*Y170*VLOOKUP('Données projet'!$B$9,Paramètres!$A$1:$I$89,3,0)*0.475*44/12</f>
        <v>5.1636858411402262E-20</v>
      </c>
      <c r="AC170" s="22">
        <f t="shared" si="163"/>
        <v>0.41254699019829411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-3.6711753637064249E-13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550.66682372933292</v>
      </c>
      <c r="AO170" s="59">
        <f t="shared" si="144"/>
        <v>387.28615589698444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0.19004649766326828</v>
      </c>
      <c r="AV170" s="21">
        <f>EXP(-LN(2)/25)*AV169+(1-EXP(-LN(2)/25))/(LN(2)/25)*Calculateur!AQ170*Calculateur!AS170*VLOOKUP('Données projet'!$B$10,Paramètres!$A$1:$I$89,3,0)*0.475*44/12</f>
        <v>0.30074216308987528</v>
      </c>
      <c r="AW170" s="21">
        <f>EXP(-LN(2)/2)*AW169+(1-EXP(-LN(2)/2))/(LN(2)/2)*AQ170*AT170*VLOOKUP('Données projet'!$B$10,Paramètres!$A$1:$I$89,3,0)*0.475*44/12</f>
        <v>6.1430055696323102E-20</v>
      </c>
      <c r="AX170" s="21">
        <f t="shared" si="166"/>
        <v>0.49078866075314354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1.3301360013429075E-13</v>
      </c>
      <c r="BF170" s="13">
        <f t="shared" si="167"/>
        <v>1.9329766731057041E-12</v>
      </c>
      <c r="BG170" s="20">
        <f t="shared" si="168"/>
        <v>3.5982663925596575E-12</v>
      </c>
      <c r="BH170" s="59">
        <f t="shared" si="116"/>
        <v>293.3333333333369</v>
      </c>
      <c r="BI170" s="59">
        <f ca="1">AVERAGE(OFFSET($BH$3,0,0,'Données projet'!$E$11+1,1))-AVERAGE(OFFSET($H$3,0,0,'Données projet'!$E$11+1,1))</f>
        <v>376.33792692771908</v>
      </c>
      <c r="BJ170" s="59">
        <f t="shared" si="146"/>
        <v>367.92889258044698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9.5908558603357369E-2</v>
      </c>
      <c r="BQ170" s="21">
        <f>EXP(-LN(2)/25)*BQ169+(1-EXP(-LN(2)/25))/(LN(2)/25)*Calculateur!BL170*Calculateur!BN170*VLOOKUP('Données projet'!$B$11,Paramètres!$A$1:$I$89,3,0)*0.475*44/12</f>
        <v>0.1875506484785989</v>
      </c>
      <c r="BR170" s="21">
        <f>EXP(-LN(2)/2)*BR169+(1-EXP(-LN(2)/2))/(LN(2)/2)*BL170*BO170*VLOOKUP('Données projet'!$B$11,Paramètres!$A$1:$I$89,3,0)*0.475*44/12</f>
        <v>3.1315552537357757E-20</v>
      </c>
      <c r="BS170" s="22">
        <f t="shared" si="169"/>
        <v>0.28345920708195627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-1.0286385077051818E-13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388.50131600273431</v>
      </c>
      <c r="CE170" s="59">
        <f t="shared" si="148"/>
        <v>247.01165577562955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6.9590255350853197E-2</v>
      </c>
      <c r="CM170" s="21">
        <f>EXP(-LN(2)/2)*CM169+(1-EXP(-LN(2)/2))/(LN(2)/2)*CG170*CJ170*VLOOKUP('Données projet'!$B$12,Paramètres!$A$1:$I$89,3,0)*0.475*44/12</f>
        <v>1.4828259873060115E-20</v>
      </c>
      <c r="CN170" s="22">
        <f t="shared" si="172"/>
        <v>6.9590255350853197E-2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-1.223725121235475E-13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454.43000549907373</v>
      </c>
      <c r="CZ170" s="59">
        <f t="shared" si="150"/>
        <v>285.83623046025156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8.27884072277391E-2</v>
      </c>
      <c r="DH170" s="21">
        <f>EXP(-LN(2)/2)*DH169+(1-EXP(-LN(2)/2))/(LN(2)/2)*DB170*DE170*VLOOKUP('Données projet'!$B$13,Paramètres!$A$1:$I$89,3,0)*0.475*44/12</f>
        <v>1.7640516055881892E-20</v>
      </c>
      <c r="DI170" s="22">
        <f t="shared" si="175"/>
        <v>8.27884072277391E-2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1.7053025658242404E-13</v>
      </c>
      <c r="DP170" s="17">
        <f>DO170*VLOOKUP('Données projet'!$B$14,Paramètres!$A$1:$I$89,3,0)*VLOOKUP('Données projet'!$B$14,Paramètres!$A$1:$I$89,5,0)</f>
        <v>1.3301360013429075E-13</v>
      </c>
      <c r="DQ170" s="13">
        <f t="shared" si="176"/>
        <v>1.9329766731057041E-12</v>
      </c>
      <c r="DR170" s="20">
        <f t="shared" si="177"/>
        <v>3.5982663925596575E-12</v>
      </c>
      <c r="DS170" s="59">
        <f t="shared" si="125"/>
        <v>293.3333333333369</v>
      </c>
      <c r="DT170" s="59">
        <f ca="1">AVERAGE(OFFSET($DS$3,0,0,'Données projet'!$E$14+1,1))-AVERAGE(OFFSET($H$3,0,0,'Données projet'!$E$14+1,1))</f>
        <v>376.33792692771908</v>
      </c>
      <c r="DU170" s="59">
        <f t="shared" si="152"/>
        <v>367.92889258044698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9.5908558603357369E-2</v>
      </c>
      <c r="EB170" s="21">
        <f>EXP(-LN(2)/25)*EB169+(1-EXP(-LN(2)/25))/(LN(2)/25)*Calculateur!DW170*Calculateur!DY170*VLOOKUP('Données projet'!$B$14,Paramètres!$A$1:$I$89,3,0)*0.475*44/12</f>
        <v>0.1875506484785989</v>
      </c>
      <c r="EC170" s="21">
        <f>EXP(-LN(2)/2)*EC169+(1-EXP(-LN(2)/2))/(LN(2)/2)*DW170*DZ170*VLOOKUP('Données projet'!$B$14,Paramètres!$A$1:$I$89,3,0)*0.475*44/12</f>
        <v>3.1315552537357757E-20</v>
      </c>
      <c r="ED170" s="22">
        <f t="shared" si="178"/>
        <v>0.28345920708195627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-3.0859155231155454E-13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469.68830256438338</v>
      </c>
      <c r="T171" s="59">
        <f t="shared" si="142"/>
        <v>332.61387922152159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0.15661664495852937</v>
      </c>
      <c r="AA171" s="21">
        <f>EXP(-LN(2)/25)*AA170+(1-EXP(-LN(2)/25))/(LN(2)/25)*Calculateur!V171*Calculateur!X171*VLOOKUP('Données projet'!$B$9,Paramètres!$A$1:$I$89,3,0)*0.475*44/12</f>
        <v>0.24588499222957505</v>
      </c>
      <c r="AB171" s="21">
        <f>EXP(-LN(2)/2)*AB170+(1-EXP(-LN(2)/2))/(LN(2)/2)*V171*Y171*VLOOKUP('Données projet'!$B$9,Paramètres!$A$1:$I$89,3,0)*0.475*44/12</f>
        <v>3.6512772741872155E-20</v>
      </c>
      <c r="AC171" s="22">
        <f t="shared" si="163"/>
        <v>0.40250163718810439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-3.6711753637064249E-13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550.66682372933292</v>
      </c>
      <c r="AO171" s="59">
        <f t="shared" si="144"/>
        <v>387.28615589698444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0.18631980176100932</v>
      </c>
      <c r="AV171" s="21">
        <f>EXP(-LN(2)/25)*AV170+(1-EXP(-LN(2)/25))/(LN(2)/25)*Calculateur!AQ171*Calculateur!AS171*VLOOKUP('Données projet'!$B$10,Paramètres!$A$1:$I$89,3,0)*0.475*44/12</f>
        <v>0.29251835282483962</v>
      </c>
      <c r="AW171" s="21">
        <f>EXP(-LN(2)/2)*AW170+(1-EXP(-LN(2)/2))/(LN(2)/2)*AQ171*AT171*VLOOKUP('Données projet'!$B$10,Paramètres!$A$1:$I$89,3,0)*0.475*44/12</f>
        <v>4.3437608951537368E-20</v>
      </c>
      <c r="AX171" s="21">
        <f t="shared" si="166"/>
        <v>0.47883815458584894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1.3301360013429075E-13</v>
      </c>
      <c r="BF171" s="13">
        <f t="shared" si="167"/>
        <v>1.9329766731057041E-12</v>
      </c>
      <c r="BG171" s="20">
        <f t="shared" si="168"/>
        <v>3.5982663925596575E-12</v>
      </c>
      <c r="BH171" s="59">
        <f t="shared" si="116"/>
        <v>293.3333333333369</v>
      </c>
      <c r="BI171" s="59">
        <f ca="1">AVERAGE(OFFSET($BH$3,0,0,'Données projet'!$E$11+1,1))-AVERAGE(OFFSET($H$3,0,0,'Données projet'!$E$11+1,1))</f>
        <v>376.33792692771908</v>
      </c>
      <c r="BJ171" s="59">
        <f t="shared" si="146"/>
        <v>367.92889258044698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9.4027850267590043E-2</v>
      </c>
      <c r="BQ171" s="21">
        <f>EXP(-LN(2)/25)*BQ170+(1-EXP(-LN(2)/25))/(LN(2)/25)*Calculateur!BL171*Calculateur!BN171*VLOOKUP('Données projet'!$B$11,Paramètres!$A$1:$I$89,3,0)*0.475*44/12</f>
        <v>0.18242206613309167</v>
      </c>
      <c r="BR171" s="21">
        <f>EXP(-LN(2)/2)*BR170+(1-EXP(-LN(2)/2))/(LN(2)/2)*BL171*BO171*VLOOKUP('Données projet'!$B$11,Paramètres!$A$1:$I$89,3,0)*0.475*44/12</f>
        <v>2.2143439555769265E-20</v>
      </c>
      <c r="BS171" s="22">
        <f t="shared" si="169"/>
        <v>0.27644991640068173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-1.0286385077051818E-13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388.50131600273431</v>
      </c>
      <c r="CE171" s="59">
        <f t="shared" si="148"/>
        <v>247.01165577562955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6.7687306158691632E-2</v>
      </c>
      <c r="CM171" s="21">
        <f>EXP(-LN(2)/2)*CM170+(1-EXP(-LN(2)/2))/(LN(2)/2)*CG171*CJ171*VLOOKUP('Données projet'!$B$12,Paramètres!$A$1:$I$89,3,0)*0.475*44/12</f>
        <v>1.0485163109437182E-20</v>
      </c>
      <c r="CN171" s="22">
        <f t="shared" si="172"/>
        <v>6.7687306158691632E-2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-1.223725121235475E-13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454.43000549907373</v>
      </c>
      <c r="CZ171" s="59">
        <f t="shared" si="150"/>
        <v>285.83623046025156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8.0524553878443456E-2</v>
      </c>
      <c r="DH171" s="21">
        <f>EXP(-LN(2)/2)*DH170+(1-EXP(-LN(2)/2))/(LN(2)/2)*DB171*DE171*VLOOKUP('Données projet'!$B$13,Paramètres!$A$1:$I$89,3,0)*0.475*44/12</f>
        <v>1.2473728526744255E-20</v>
      </c>
      <c r="DI171" s="22">
        <f t="shared" si="175"/>
        <v>8.0524553878443456E-2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1.7053025658242404E-13</v>
      </c>
      <c r="DP171" s="17">
        <f>DO171*VLOOKUP('Données projet'!$B$14,Paramètres!$A$1:$I$89,3,0)*VLOOKUP('Données projet'!$B$14,Paramètres!$A$1:$I$89,5,0)</f>
        <v>1.3301360013429075E-13</v>
      </c>
      <c r="DQ171" s="13">
        <f t="shared" si="176"/>
        <v>1.9329766731057041E-12</v>
      </c>
      <c r="DR171" s="20">
        <f t="shared" si="177"/>
        <v>3.5982663925596575E-12</v>
      </c>
      <c r="DS171" s="59">
        <f t="shared" si="125"/>
        <v>293.3333333333369</v>
      </c>
      <c r="DT171" s="59">
        <f ca="1">AVERAGE(OFFSET($DS$3,0,0,'Données projet'!$E$14+1,1))-AVERAGE(OFFSET($H$3,0,0,'Données projet'!$E$14+1,1))</f>
        <v>376.33792692771908</v>
      </c>
      <c r="DU171" s="59">
        <f t="shared" si="152"/>
        <v>367.92889258044698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9.4027850267590043E-2</v>
      </c>
      <c r="EB171" s="21">
        <f>EXP(-LN(2)/25)*EB170+(1-EXP(-LN(2)/25))/(LN(2)/25)*Calculateur!DW171*Calculateur!DY171*VLOOKUP('Données projet'!$B$14,Paramètres!$A$1:$I$89,3,0)*0.475*44/12</f>
        <v>0.18242206613309167</v>
      </c>
      <c r="EC171" s="21">
        <f>EXP(-LN(2)/2)*EC170+(1-EXP(-LN(2)/2))/(LN(2)/2)*DW171*DZ171*VLOOKUP('Données projet'!$B$14,Paramètres!$A$1:$I$89,3,0)*0.475*44/12</f>
        <v>2.2143439555769265E-20</v>
      </c>
      <c r="ED171" s="22">
        <f t="shared" si="178"/>
        <v>0.27644991640068173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-3.0859155231155454E-13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469.68830256438338</v>
      </c>
      <c r="T172" s="59">
        <f t="shared" si="142"/>
        <v>332.61387922152159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0.15354548807761356</v>
      </c>
      <c r="AA172" s="21">
        <f>EXP(-LN(2)/25)*AA171+(1-EXP(-LN(2)/25))/(LN(2)/25)*Calculateur!V172*Calculateur!X172*VLOOKUP('Données projet'!$B$9,Paramètres!$A$1:$I$89,3,0)*0.475*44/12</f>
        <v>0.23916125418652756</v>
      </c>
      <c r="AB172" s="21">
        <f>EXP(-LN(2)/2)*AB171+(1-EXP(-LN(2)/2))/(LN(2)/2)*V172*Y172*VLOOKUP('Données projet'!$B$9,Paramètres!$A$1:$I$89,3,0)*0.475*44/12</f>
        <v>2.5818429205701131E-20</v>
      </c>
      <c r="AC172" s="22">
        <f t="shared" si="163"/>
        <v>0.39270674226414115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-3.6711753637064249E-13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550.66682372933292</v>
      </c>
      <c r="AO172" s="59">
        <f t="shared" si="144"/>
        <v>387.28615589698444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0.18266618409233359</v>
      </c>
      <c r="AV172" s="21">
        <f>EXP(-LN(2)/25)*AV171+(1-EXP(-LN(2)/25))/(LN(2)/25)*Calculateur!AQ172*Calculateur!AS172*VLOOKUP('Données projet'!$B$10,Paramètres!$A$1:$I$89,3,0)*0.475*44/12</f>
        <v>0.28451942308397277</v>
      </c>
      <c r="AW172" s="21">
        <f>EXP(-LN(2)/2)*AW171+(1-EXP(-LN(2)/2))/(LN(2)/2)*AQ172*AT172*VLOOKUP('Données projet'!$B$10,Paramètres!$A$1:$I$89,3,0)*0.475*44/12</f>
        <v>3.0715027848161551E-20</v>
      </c>
      <c r="AX172" s="21">
        <f t="shared" si="166"/>
        <v>0.46718560717630636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1.3301360013429075E-13</v>
      </c>
      <c r="BF172" s="13">
        <f t="shared" si="167"/>
        <v>1.9329766731057041E-12</v>
      </c>
      <c r="BG172" s="20">
        <f t="shared" si="168"/>
        <v>3.5982663925596575E-12</v>
      </c>
      <c r="BH172" s="59">
        <f t="shared" si="116"/>
        <v>293.3333333333369</v>
      </c>
      <c r="BI172" s="59">
        <f ca="1">AVERAGE(OFFSET($BH$3,0,0,'Données projet'!$E$11+1,1))-AVERAGE(OFFSET($H$3,0,0,'Données projet'!$E$11+1,1))</f>
        <v>376.33792692771908</v>
      </c>
      <c r="BJ172" s="59">
        <f t="shared" si="146"/>
        <v>367.92889258044698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9.2184021475168298E-2</v>
      </c>
      <c r="BQ172" s="21">
        <f>EXP(-LN(2)/25)*BQ171+(1-EXP(-LN(2)/25))/(LN(2)/25)*Calculateur!BL172*Calculateur!BN172*VLOOKUP('Données projet'!$B$11,Paramètres!$A$1:$I$89,3,0)*0.475*44/12</f>
        <v>0.17743372514152275</v>
      </c>
      <c r="BR172" s="21">
        <f>EXP(-LN(2)/2)*BR171+(1-EXP(-LN(2)/2))/(LN(2)/2)*BL172*BO172*VLOOKUP('Données projet'!$B$11,Paramètres!$A$1:$I$89,3,0)*0.475*44/12</f>
        <v>1.5657776268678878E-20</v>
      </c>
      <c r="BS172" s="22">
        <f t="shared" si="169"/>
        <v>0.26961774661669102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-1.0286385077051818E-13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388.50131600273431</v>
      </c>
      <c r="CE172" s="59">
        <f t="shared" si="148"/>
        <v>247.01165577562955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6.5836393212261479E-2</v>
      </c>
      <c r="CM172" s="21">
        <f>EXP(-LN(2)/2)*CM171+(1-EXP(-LN(2)/2))/(LN(2)/2)*CG172*CJ172*VLOOKUP('Données projet'!$B$12,Paramètres!$A$1:$I$89,3,0)*0.475*44/12</f>
        <v>7.4141299365300576E-21</v>
      </c>
      <c r="CN172" s="22">
        <f t="shared" si="172"/>
        <v>6.5836393212261479E-2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-1.223725121235475E-13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454.43000549907373</v>
      </c>
      <c r="CZ172" s="59">
        <f t="shared" si="150"/>
        <v>285.83623046025156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7.8322605718035176E-2</v>
      </c>
      <c r="DH172" s="21">
        <f>EXP(-LN(2)/2)*DH171+(1-EXP(-LN(2)/2))/(LN(2)/2)*DB172*DE172*VLOOKUP('Données projet'!$B$13,Paramètres!$A$1:$I$89,3,0)*0.475*44/12</f>
        <v>8.8202580279409459E-21</v>
      </c>
      <c r="DI172" s="22">
        <f t="shared" si="175"/>
        <v>7.8322605718035176E-2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1.7053025658242404E-13</v>
      </c>
      <c r="DP172" s="17">
        <f>DO172*VLOOKUP('Données projet'!$B$14,Paramètres!$A$1:$I$89,3,0)*VLOOKUP('Données projet'!$B$14,Paramètres!$A$1:$I$89,5,0)</f>
        <v>1.3301360013429075E-13</v>
      </c>
      <c r="DQ172" s="13">
        <f t="shared" si="176"/>
        <v>1.9329766731057041E-12</v>
      </c>
      <c r="DR172" s="20">
        <f t="shared" si="177"/>
        <v>3.5982663925596575E-12</v>
      </c>
      <c r="DS172" s="59">
        <f t="shared" si="125"/>
        <v>293.3333333333369</v>
      </c>
      <c r="DT172" s="59">
        <f ca="1">AVERAGE(OFFSET($DS$3,0,0,'Données projet'!$E$14+1,1))-AVERAGE(OFFSET($H$3,0,0,'Données projet'!$E$14+1,1))</f>
        <v>376.33792692771908</v>
      </c>
      <c r="DU172" s="59">
        <f t="shared" si="152"/>
        <v>367.92889258044698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9.2184021475168298E-2</v>
      </c>
      <c r="EB172" s="21">
        <f>EXP(-LN(2)/25)*EB171+(1-EXP(-LN(2)/25))/(LN(2)/25)*Calculateur!DW172*Calculateur!DY172*VLOOKUP('Données projet'!$B$14,Paramètres!$A$1:$I$89,3,0)*0.475*44/12</f>
        <v>0.17743372514152275</v>
      </c>
      <c r="EC172" s="21">
        <f>EXP(-LN(2)/2)*EC171+(1-EXP(-LN(2)/2))/(LN(2)/2)*DW172*DZ172*VLOOKUP('Données projet'!$B$14,Paramètres!$A$1:$I$89,3,0)*0.475*44/12</f>
        <v>1.5657776268678878E-20</v>
      </c>
      <c r="ED172" s="22">
        <f t="shared" si="178"/>
        <v>0.26961774661669102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-3.0859155231155454E-13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469.68830256438338</v>
      </c>
      <c r="T173" s="59">
        <f t="shared" si="142"/>
        <v>332.61387922152159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0.15053455470991178</v>
      </c>
      <c r="AA173" s="21">
        <f>EXP(-LN(2)/25)*AA172+(1-EXP(-LN(2)/25))/(LN(2)/25)*Calculateur!V173*Calculateur!X173*VLOOKUP('Données projet'!$B$9,Paramètres!$A$1:$I$89,3,0)*0.475*44/12</f>
        <v>0.23262137711385322</v>
      </c>
      <c r="AB173" s="21">
        <f>EXP(-LN(2)/2)*AB172+(1-EXP(-LN(2)/2))/(LN(2)/2)*V173*Y173*VLOOKUP('Données projet'!$B$9,Paramètres!$A$1:$I$89,3,0)*0.475*44/12</f>
        <v>1.8256386370936077E-20</v>
      </c>
      <c r="AC173" s="22">
        <f t="shared" si="163"/>
        <v>0.38315593182376501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-3.6711753637064249E-13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550.66682372933292</v>
      </c>
      <c r="AO173" s="59">
        <f t="shared" si="144"/>
        <v>387.28615589698444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0.17908421163765387</v>
      </c>
      <c r="AV173" s="21">
        <f>EXP(-LN(2)/25)*AV172+(1-EXP(-LN(2)/25))/(LN(2)/25)*Calculateur!AQ173*Calculateur!AS173*VLOOKUP('Données projet'!$B$10,Paramètres!$A$1:$I$89,3,0)*0.475*44/12</f>
        <v>0.27673922449751537</v>
      </c>
      <c r="AW173" s="21">
        <f>EXP(-LN(2)/2)*AW172+(1-EXP(-LN(2)/2))/(LN(2)/2)*AQ173*AT173*VLOOKUP('Données projet'!$B$10,Paramètres!$A$1:$I$89,3,0)*0.475*44/12</f>
        <v>2.1718804475768684E-20</v>
      </c>
      <c r="AX173" s="21">
        <f t="shared" si="166"/>
        <v>0.45582343613516924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1.3301360013429075E-13</v>
      </c>
      <c r="BF173" s="13">
        <f t="shared" si="167"/>
        <v>1.9329766731057041E-12</v>
      </c>
      <c r="BG173" s="20">
        <f t="shared" si="168"/>
        <v>3.5982663925596575E-12</v>
      </c>
      <c r="BH173" s="59">
        <f t="shared" si="116"/>
        <v>293.3333333333369</v>
      </c>
      <c r="BI173" s="59">
        <f ca="1">AVERAGE(OFFSET($BH$3,0,0,'Données projet'!$E$11+1,1))-AVERAGE(OFFSET($H$3,0,0,'Données projet'!$E$11+1,1))</f>
        <v>376.33792692771908</v>
      </c>
      <c r="BJ173" s="59">
        <f t="shared" si="146"/>
        <v>367.92889258044698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9.0376349040741419E-2</v>
      </c>
      <c r="BQ173" s="21">
        <f>EXP(-LN(2)/25)*BQ172+(1-EXP(-LN(2)/25))/(LN(2)/25)*Calculateur!BL173*Calculateur!BN173*VLOOKUP('Données projet'!$B$11,Paramètres!$A$1:$I$89,3,0)*0.475*44/12</f>
        <v>0.17258179059669373</v>
      </c>
      <c r="BR173" s="21">
        <f>EXP(-LN(2)/2)*BR172+(1-EXP(-LN(2)/2))/(LN(2)/2)*BL173*BO173*VLOOKUP('Données projet'!$B$11,Paramètres!$A$1:$I$89,3,0)*0.475*44/12</f>
        <v>1.1071719777884633E-20</v>
      </c>
      <c r="BS173" s="22">
        <f t="shared" si="169"/>
        <v>0.26295813963743514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-1.0286385077051818E-13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388.50131600273431</v>
      </c>
      <c r="CE173" s="59">
        <f t="shared" si="148"/>
        <v>247.01165577562955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6.4036093577686748E-2</v>
      </c>
      <c r="CM173" s="21">
        <f>EXP(-LN(2)/2)*CM172+(1-EXP(-LN(2)/2))/(LN(2)/2)*CG173*CJ173*VLOOKUP('Données projet'!$B$12,Paramètres!$A$1:$I$89,3,0)*0.475*44/12</f>
        <v>5.242581554718591E-21</v>
      </c>
      <c r="CN173" s="22">
        <f t="shared" si="172"/>
        <v>6.4036093577686748E-2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-1.223725121235475E-13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454.43000549907373</v>
      </c>
      <c r="CZ173" s="59">
        <f t="shared" si="150"/>
        <v>285.83623046025156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7.6180869945868673E-2</v>
      </c>
      <c r="DH173" s="21">
        <f>EXP(-LN(2)/2)*DH172+(1-EXP(-LN(2)/2))/(LN(2)/2)*DB173*DE173*VLOOKUP('Données projet'!$B$13,Paramètres!$A$1:$I$89,3,0)*0.475*44/12</f>
        <v>6.2368642633721277E-21</v>
      </c>
      <c r="DI173" s="22">
        <f t="shared" si="175"/>
        <v>7.6180869945868673E-2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1.7053025658242404E-13</v>
      </c>
      <c r="DP173" s="17">
        <f>DO173*VLOOKUP('Données projet'!$B$14,Paramètres!$A$1:$I$89,3,0)*VLOOKUP('Données projet'!$B$14,Paramètres!$A$1:$I$89,5,0)</f>
        <v>1.3301360013429075E-13</v>
      </c>
      <c r="DQ173" s="13">
        <f t="shared" si="176"/>
        <v>1.9329766731057041E-12</v>
      </c>
      <c r="DR173" s="20">
        <f t="shared" si="177"/>
        <v>3.5982663925596575E-12</v>
      </c>
      <c r="DS173" s="59">
        <f t="shared" si="125"/>
        <v>293.3333333333369</v>
      </c>
      <c r="DT173" s="59">
        <f ca="1">AVERAGE(OFFSET($DS$3,0,0,'Données projet'!$E$14+1,1))-AVERAGE(OFFSET($H$3,0,0,'Données projet'!$E$14+1,1))</f>
        <v>376.33792692771908</v>
      </c>
      <c r="DU173" s="59">
        <f t="shared" si="152"/>
        <v>367.92889258044698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9.0376349040741419E-2</v>
      </c>
      <c r="EB173" s="21">
        <f>EXP(-LN(2)/25)*EB172+(1-EXP(-LN(2)/25))/(LN(2)/25)*Calculateur!DW173*Calculateur!DY173*VLOOKUP('Données projet'!$B$14,Paramètres!$A$1:$I$89,3,0)*0.475*44/12</f>
        <v>0.17258179059669373</v>
      </c>
      <c r="EC173" s="21">
        <f>EXP(-LN(2)/2)*EC172+(1-EXP(-LN(2)/2))/(LN(2)/2)*DW173*DZ173*VLOOKUP('Données projet'!$B$14,Paramètres!$A$1:$I$89,3,0)*0.475*44/12</f>
        <v>1.1071719777884633E-20</v>
      </c>
      <c r="ED173" s="22">
        <f t="shared" si="178"/>
        <v>0.26295813963743514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-3.0859155231155454E-13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469.68830256438338</v>
      </c>
      <c r="T174" s="59">
        <f t="shared" si="142"/>
        <v>332.61387922152159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0.14758266390906261</v>
      </c>
      <c r="AA174" s="21">
        <f>EXP(-LN(2)/25)*AA173+(1-EXP(-LN(2)/25))/(LN(2)/25)*Calculateur!V174*Calculateur!X174*VLOOKUP('Données projet'!$B$9,Paramètres!$A$1:$I$89,3,0)*0.475*44/12</f>
        <v>0.22626033332364834</v>
      </c>
      <c r="AB174" s="21">
        <f>EXP(-LN(2)/2)*AB173+(1-EXP(-LN(2)/2))/(LN(2)/2)*V174*Y174*VLOOKUP('Données projet'!$B$9,Paramètres!$A$1:$I$89,3,0)*0.475*44/12</f>
        <v>1.2909214602850566E-20</v>
      </c>
      <c r="AC174" s="22">
        <f t="shared" si="163"/>
        <v>0.37384299723271097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-3.6711753637064249E-13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550.66682372933292</v>
      </c>
      <c r="AO174" s="59">
        <f t="shared" si="144"/>
        <v>387.28615589698444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0.17557247947802296</v>
      </c>
      <c r="AV174" s="21">
        <f>EXP(-LN(2)/25)*AV173+(1-EXP(-LN(2)/25))/(LN(2)/25)*Calculateur!AQ174*Calculateur!AS174*VLOOKUP('Données projet'!$B$10,Paramètres!$A$1:$I$89,3,0)*0.475*44/12</f>
        <v>0.26917177585054747</v>
      </c>
      <c r="AW174" s="21">
        <f>EXP(-LN(2)/2)*AW173+(1-EXP(-LN(2)/2))/(LN(2)/2)*AQ174*AT174*VLOOKUP('Données projet'!$B$10,Paramètres!$A$1:$I$89,3,0)*0.475*44/12</f>
        <v>1.5357513924080776E-20</v>
      </c>
      <c r="AX174" s="21">
        <f t="shared" si="166"/>
        <v>0.44474425532857043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1.3301360013429075E-13</v>
      </c>
      <c r="BF174" s="13">
        <f t="shared" si="167"/>
        <v>1.9329766731057041E-12</v>
      </c>
      <c r="BG174" s="20">
        <f t="shared" si="168"/>
        <v>3.5982663925596575E-12</v>
      </c>
      <c r="BH174" s="59">
        <f t="shared" si="116"/>
        <v>293.3333333333369</v>
      </c>
      <c r="BI174" s="59">
        <f ca="1">AVERAGE(OFFSET($BH$3,0,0,'Données projet'!$E$11+1,1))-AVERAGE(OFFSET($H$3,0,0,'Données projet'!$E$11+1,1))</f>
        <v>376.33792692771908</v>
      </c>
      <c r="BJ174" s="59">
        <f t="shared" si="146"/>
        <v>367.92889258044698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8.8604123960182343E-2</v>
      </c>
      <c r="BQ174" s="21">
        <f>EXP(-LN(2)/25)*BQ173+(1-EXP(-LN(2)/25))/(LN(2)/25)*Calculateur!BL174*Calculateur!BN174*VLOOKUP('Données projet'!$B$11,Paramètres!$A$1:$I$89,3,0)*0.475*44/12</f>
        <v>0.16786253245714522</v>
      </c>
      <c r="BR174" s="21">
        <f>EXP(-LN(2)/2)*BR173+(1-EXP(-LN(2)/2))/(LN(2)/2)*BL174*BO174*VLOOKUP('Données projet'!$B$11,Paramètres!$A$1:$I$89,3,0)*0.475*44/12</f>
        <v>7.8288881343394392E-21</v>
      </c>
      <c r="BS174" s="22">
        <f t="shared" si="169"/>
        <v>0.25646665641732758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-1.0286385077051818E-13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388.50131600273431</v>
      </c>
      <c r="CE174" s="59">
        <f t="shared" si="148"/>
        <v>247.01165577562955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6.2285023231293098E-2</v>
      </c>
      <c r="CM174" s="21">
        <f>EXP(-LN(2)/2)*CM173+(1-EXP(-LN(2)/2))/(LN(2)/2)*CG174*CJ174*VLOOKUP('Données projet'!$B$12,Paramètres!$A$1:$I$89,3,0)*0.475*44/12</f>
        <v>3.7070649682650288E-21</v>
      </c>
      <c r="CN174" s="22">
        <f t="shared" si="172"/>
        <v>6.2285023231293098E-2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-1.223725121235475E-13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454.43000549907373</v>
      </c>
      <c r="CZ174" s="59">
        <f t="shared" si="150"/>
        <v>285.83623046025156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7.4097700051021051E-2</v>
      </c>
      <c r="DH174" s="21">
        <f>EXP(-LN(2)/2)*DH173+(1-EXP(-LN(2)/2))/(LN(2)/2)*DB174*DE174*VLOOKUP('Données projet'!$B$13,Paramètres!$A$1:$I$89,3,0)*0.475*44/12</f>
        <v>4.4101290139704729E-21</v>
      </c>
      <c r="DI174" s="22">
        <f t="shared" si="175"/>
        <v>7.4097700051021051E-2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1.7053025658242404E-13</v>
      </c>
      <c r="DP174" s="17">
        <f>DO174*VLOOKUP('Données projet'!$B$14,Paramètres!$A$1:$I$89,3,0)*VLOOKUP('Données projet'!$B$14,Paramètres!$A$1:$I$89,5,0)</f>
        <v>1.3301360013429075E-13</v>
      </c>
      <c r="DQ174" s="13">
        <f t="shared" si="176"/>
        <v>1.9329766731057041E-12</v>
      </c>
      <c r="DR174" s="20">
        <f t="shared" si="177"/>
        <v>3.5982663925596575E-12</v>
      </c>
      <c r="DS174" s="59">
        <f t="shared" si="125"/>
        <v>293.3333333333369</v>
      </c>
      <c r="DT174" s="59">
        <f ca="1">AVERAGE(OFFSET($DS$3,0,0,'Données projet'!$E$14+1,1))-AVERAGE(OFFSET($H$3,0,0,'Données projet'!$E$14+1,1))</f>
        <v>376.33792692771908</v>
      </c>
      <c r="DU174" s="59">
        <f t="shared" si="152"/>
        <v>367.92889258044698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8.8604123960182343E-2</v>
      </c>
      <c r="EB174" s="21">
        <f>EXP(-LN(2)/25)*EB173+(1-EXP(-LN(2)/25))/(LN(2)/25)*Calculateur!DW174*Calculateur!DY174*VLOOKUP('Données projet'!$B$14,Paramètres!$A$1:$I$89,3,0)*0.475*44/12</f>
        <v>0.16786253245714522</v>
      </c>
      <c r="EC174" s="21">
        <f>EXP(-LN(2)/2)*EC173+(1-EXP(-LN(2)/2))/(LN(2)/2)*DW174*DZ174*VLOOKUP('Données projet'!$B$14,Paramètres!$A$1:$I$89,3,0)*0.475*44/12</f>
        <v>7.8288881343394392E-21</v>
      </c>
      <c r="ED174" s="22">
        <f t="shared" si="178"/>
        <v>0.25646665641732758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-3.0859155231155454E-13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469.68830256438338</v>
      </c>
      <c r="T175" s="59">
        <f t="shared" si="142"/>
        <v>332.61387922152159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0.14468865788634247</v>
      </c>
      <c r="AA175" s="21">
        <f>EXP(-LN(2)/25)*AA174+(1-EXP(-LN(2)/25))/(LN(2)/25)*Calculateur!V175*Calculateur!X175*VLOOKUP('Données projet'!$B$9,Paramètres!$A$1:$I$89,3,0)*0.475*44/12</f>
        <v>0.22007323261039938</v>
      </c>
      <c r="AB175" s="21">
        <f>EXP(-LN(2)/2)*AB174+(1-EXP(-LN(2)/2))/(LN(2)/2)*V175*Y175*VLOOKUP('Données projet'!$B$9,Paramètres!$A$1:$I$89,3,0)*0.475*44/12</f>
        <v>9.1281931854680387E-21</v>
      </c>
      <c r="AC175" s="22">
        <f t="shared" si="163"/>
        <v>0.36476189049674185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-3.6711753637064249E-13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550.66682372933292</v>
      </c>
      <c r="AO175" s="59">
        <f t="shared" si="144"/>
        <v>387.28615589698444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0.17212961024409729</v>
      </c>
      <c r="AV175" s="21">
        <f>EXP(-LN(2)/25)*AV174+(1-EXP(-LN(2)/25))/(LN(2)/25)*Calculateur!AQ175*Calculateur!AS175*VLOOKUP('Données projet'!$B$10,Paramètres!$A$1:$I$89,3,0)*0.475*44/12</f>
        <v>0.26181125948478573</v>
      </c>
      <c r="AW175" s="21">
        <f>EXP(-LN(2)/2)*AW174+(1-EXP(-LN(2)/2))/(LN(2)/2)*AQ175*AT175*VLOOKUP('Données projet'!$B$10,Paramètres!$A$1:$I$89,3,0)*0.475*44/12</f>
        <v>1.0859402237884342E-20</v>
      </c>
      <c r="AX175" s="21">
        <f t="shared" si="166"/>
        <v>0.43394086972888302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1.3301360013429075E-13</v>
      </c>
      <c r="BF175" s="13">
        <f t="shared" si="167"/>
        <v>1.9329766731057041E-12</v>
      </c>
      <c r="BG175" s="20">
        <f t="shared" si="168"/>
        <v>3.5982663925596575E-12</v>
      </c>
      <c r="BH175" s="59">
        <f t="shared" si="116"/>
        <v>293.3333333333369</v>
      </c>
      <c r="BI175" s="59">
        <f ca="1">AVERAGE(OFFSET($BH$3,0,0,'Données projet'!$E$11+1,1))-AVERAGE(OFFSET($H$3,0,0,'Données projet'!$E$11+1,1))</f>
        <v>376.33792692771908</v>
      </c>
      <c r="BJ175" s="59">
        <f t="shared" si="146"/>
        <v>367.92889258044698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8.6866651132502457E-2</v>
      </c>
      <c r="BQ175" s="21">
        <f>EXP(-LN(2)/25)*BQ174+(1-EXP(-LN(2)/25))/(LN(2)/25)*Calculateur!BL175*Calculateur!BN175*VLOOKUP('Données projet'!$B$11,Paramètres!$A$1:$I$89,3,0)*0.475*44/12</f>
        <v>0.16327232267959765</v>
      </c>
      <c r="BR175" s="21">
        <f>EXP(-LN(2)/2)*BR174+(1-EXP(-LN(2)/2))/(LN(2)/2)*BL175*BO175*VLOOKUP('Données projet'!$B$11,Paramètres!$A$1:$I$89,3,0)*0.475*44/12</f>
        <v>5.5358598889423163E-21</v>
      </c>
      <c r="BS175" s="22">
        <f t="shared" si="169"/>
        <v>0.2501389738121001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-1.0286385077051818E-13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388.50131600273431</v>
      </c>
      <c r="CE175" s="59">
        <f t="shared" si="148"/>
        <v>247.01165577562955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6.0581835995606369E-2</v>
      </c>
      <c r="CM175" s="21">
        <f>EXP(-LN(2)/2)*CM174+(1-EXP(-LN(2)/2))/(LN(2)/2)*CG175*CJ175*VLOOKUP('Données projet'!$B$12,Paramètres!$A$1:$I$89,3,0)*0.475*44/12</f>
        <v>2.6212907773592955E-21</v>
      </c>
      <c r="CN175" s="22">
        <f t="shared" si="172"/>
        <v>6.0581835995606369E-2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-1.223725121235475E-13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454.43000549907373</v>
      </c>
      <c r="CZ175" s="59">
        <f t="shared" si="150"/>
        <v>285.83623046025156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7.2071494546497181E-2</v>
      </c>
      <c r="DH175" s="21">
        <f>EXP(-LN(2)/2)*DH174+(1-EXP(-LN(2)/2))/(LN(2)/2)*DB175*DE175*VLOOKUP('Données projet'!$B$13,Paramètres!$A$1:$I$89,3,0)*0.475*44/12</f>
        <v>3.1184321316860639E-21</v>
      </c>
      <c r="DI175" s="22">
        <f t="shared" si="175"/>
        <v>7.2071494546497181E-2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1.7053025658242404E-13</v>
      </c>
      <c r="DP175" s="17">
        <f>DO175*VLOOKUP('Données projet'!$B$14,Paramètres!$A$1:$I$89,3,0)*VLOOKUP('Données projet'!$B$14,Paramètres!$A$1:$I$89,5,0)</f>
        <v>1.3301360013429075E-13</v>
      </c>
      <c r="DQ175" s="13">
        <f t="shared" si="176"/>
        <v>1.9329766731057041E-12</v>
      </c>
      <c r="DR175" s="20">
        <f t="shared" si="177"/>
        <v>3.5982663925596575E-12</v>
      </c>
      <c r="DS175" s="59">
        <f t="shared" si="125"/>
        <v>293.3333333333369</v>
      </c>
      <c r="DT175" s="59">
        <f ca="1">AVERAGE(OFFSET($DS$3,0,0,'Données projet'!$E$14+1,1))-AVERAGE(OFFSET($H$3,0,0,'Données projet'!$E$14+1,1))</f>
        <v>376.33792692771908</v>
      </c>
      <c r="DU175" s="59">
        <f t="shared" si="152"/>
        <v>367.92889258044698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8.6866651132502457E-2</v>
      </c>
      <c r="EB175" s="21">
        <f>EXP(-LN(2)/25)*EB174+(1-EXP(-LN(2)/25))/(LN(2)/25)*Calculateur!DW175*Calculateur!DY175*VLOOKUP('Données projet'!$B$14,Paramètres!$A$1:$I$89,3,0)*0.475*44/12</f>
        <v>0.16327232267959765</v>
      </c>
      <c r="EC175" s="21">
        <f>EXP(-LN(2)/2)*EC174+(1-EXP(-LN(2)/2))/(LN(2)/2)*DW175*DZ175*VLOOKUP('Données projet'!$B$14,Paramètres!$A$1:$I$89,3,0)*0.475*44/12</f>
        <v>5.5358598889423163E-21</v>
      </c>
      <c r="ED175" s="22">
        <f t="shared" si="178"/>
        <v>0.2501389738121001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-3.0859155231155454E-13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469.68830256438338</v>
      </c>
      <c r="T176" s="59">
        <f t="shared" si="142"/>
        <v>332.61387922152159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0.14185140155655851</v>
      </c>
      <c r="AA176" s="21">
        <f>EXP(-LN(2)/25)*AA175+(1-EXP(-LN(2)/25))/(LN(2)/25)*Calculateur!V176*Calculateur!X176*VLOOKUP('Données projet'!$B$9,Paramètres!$A$1:$I$89,3,0)*0.475*44/12</f>
        <v>0.21405531849151968</v>
      </c>
      <c r="AB176" s="21">
        <f>EXP(-LN(2)/2)*AB175+(1-EXP(-LN(2)/2))/(LN(2)/2)*V176*Y176*VLOOKUP('Données projet'!$B$9,Paramètres!$A$1:$I$89,3,0)*0.475*44/12</f>
        <v>6.4546073014252828E-21</v>
      </c>
      <c r="AC176" s="22">
        <f t="shared" si="163"/>
        <v>0.35590672004807822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-3.6711753637064249E-13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550.66682372933292</v>
      </c>
      <c r="AO176" s="59">
        <f t="shared" si="144"/>
        <v>387.28615589698444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0.16875425357590601</v>
      </c>
      <c r="AV176" s="21">
        <f>EXP(-LN(2)/25)*AV175+(1-EXP(-LN(2)/25))/(LN(2)/25)*Calculateur!AQ176*Calculateur!AS176*VLOOKUP('Données projet'!$B$10,Paramètres!$A$1:$I$89,3,0)*0.475*44/12</f>
        <v>0.25465201682611849</v>
      </c>
      <c r="AW176" s="21">
        <f>EXP(-LN(2)/2)*AW175+(1-EXP(-LN(2)/2))/(LN(2)/2)*AQ176*AT176*VLOOKUP('Données projet'!$B$10,Paramètres!$A$1:$I$89,3,0)*0.475*44/12</f>
        <v>7.6787569620403878E-21</v>
      </c>
      <c r="AX176" s="21">
        <f t="shared" si="166"/>
        <v>0.4234062704020245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1.3301360013429075E-13</v>
      </c>
      <c r="BF176" s="13">
        <f t="shared" si="167"/>
        <v>1.9329766731057041E-12</v>
      </c>
      <c r="BG176" s="20">
        <f t="shared" si="168"/>
        <v>3.5982663925596575E-12</v>
      </c>
      <c r="BH176" s="59">
        <f t="shared" si="116"/>
        <v>293.3333333333369</v>
      </c>
      <c r="BI176" s="59">
        <f ca="1">AVERAGE(OFFSET($BH$3,0,0,'Données projet'!$E$11+1,1))-AVERAGE(OFFSET($H$3,0,0,'Données projet'!$E$11+1,1))</f>
        <v>376.33792692771908</v>
      </c>
      <c r="BJ176" s="59">
        <f t="shared" si="146"/>
        <v>367.92889258044698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8.5163249087219589E-2</v>
      </c>
      <c r="BQ176" s="21">
        <f>EXP(-LN(2)/25)*BQ175+(1-EXP(-LN(2)/25))/(LN(2)/25)*Calculateur!BL176*Calculateur!BN176*VLOOKUP('Données projet'!$B$11,Paramètres!$A$1:$I$89,3,0)*0.475*44/12</f>
        <v>0.15880763242980578</v>
      </c>
      <c r="BR176" s="21">
        <f>EXP(-LN(2)/2)*BR175+(1-EXP(-LN(2)/2))/(LN(2)/2)*BL176*BO176*VLOOKUP('Données projet'!$B$11,Paramètres!$A$1:$I$89,3,0)*0.475*44/12</f>
        <v>3.9144440671697196E-21</v>
      </c>
      <c r="BS176" s="22">
        <f t="shared" si="169"/>
        <v>0.24397088151702537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-1.0286385077051818E-13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388.50131600273431</v>
      </c>
      <c r="CE176" s="59">
        <f t="shared" si="148"/>
        <v>247.01165577562955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5.892522250444622E-2</v>
      </c>
      <c r="CM176" s="21">
        <f>EXP(-LN(2)/2)*CM175+(1-EXP(-LN(2)/2))/(LN(2)/2)*CG176*CJ176*VLOOKUP('Données projet'!$B$12,Paramètres!$A$1:$I$89,3,0)*0.475*44/12</f>
        <v>1.8535324841325144E-21</v>
      </c>
      <c r="CN176" s="22">
        <f t="shared" si="172"/>
        <v>5.892522250444622E-2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-1.223725121235475E-13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454.43000549907373</v>
      </c>
      <c r="CZ176" s="59">
        <f t="shared" si="150"/>
        <v>285.83623046025156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7.0100695738048044E-2</v>
      </c>
      <c r="DH176" s="21">
        <f>EXP(-LN(2)/2)*DH175+(1-EXP(-LN(2)/2))/(LN(2)/2)*DB176*DE176*VLOOKUP('Données projet'!$B$13,Paramètres!$A$1:$I$89,3,0)*0.475*44/12</f>
        <v>2.2050645069852365E-21</v>
      </c>
      <c r="DI176" s="22">
        <f t="shared" si="175"/>
        <v>7.0100695738048044E-2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1.7053025658242404E-13</v>
      </c>
      <c r="DP176" s="17">
        <f>DO176*VLOOKUP('Données projet'!$B$14,Paramètres!$A$1:$I$89,3,0)*VLOOKUP('Données projet'!$B$14,Paramètres!$A$1:$I$89,5,0)</f>
        <v>1.3301360013429075E-13</v>
      </c>
      <c r="DQ176" s="13">
        <f t="shared" si="176"/>
        <v>1.9329766731057041E-12</v>
      </c>
      <c r="DR176" s="20">
        <f t="shared" si="177"/>
        <v>3.5982663925596575E-12</v>
      </c>
      <c r="DS176" s="59">
        <f t="shared" si="125"/>
        <v>293.3333333333369</v>
      </c>
      <c r="DT176" s="59">
        <f ca="1">AVERAGE(OFFSET($DS$3,0,0,'Données projet'!$E$14+1,1))-AVERAGE(OFFSET($H$3,0,0,'Données projet'!$E$14+1,1))</f>
        <v>376.33792692771908</v>
      </c>
      <c r="DU176" s="59">
        <f t="shared" si="152"/>
        <v>367.92889258044698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8.5163249087219589E-2</v>
      </c>
      <c r="EB176" s="21">
        <f>EXP(-LN(2)/25)*EB175+(1-EXP(-LN(2)/25))/(LN(2)/25)*Calculateur!DW176*Calculateur!DY176*VLOOKUP('Données projet'!$B$14,Paramètres!$A$1:$I$89,3,0)*0.475*44/12</f>
        <v>0.15880763242980578</v>
      </c>
      <c r="EC176" s="21">
        <f>EXP(-LN(2)/2)*EC175+(1-EXP(-LN(2)/2))/(LN(2)/2)*DW176*DZ176*VLOOKUP('Données projet'!$B$14,Paramètres!$A$1:$I$89,3,0)*0.475*44/12</f>
        <v>3.9144440671697196E-21</v>
      </c>
      <c r="ED176" s="22">
        <f t="shared" si="178"/>
        <v>0.24397088151702537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-3.0859155231155454E-13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469.68830256438338</v>
      </c>
      <c r="T177" s="59">
        <f t="shared" si="142"/>
        <v>332.61387922152159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0.13906978209284612</v>
      </c>
      <c r="AA177" s="21">
        <f>EXP(-LN(2)/25)*AA176+(1-EXP(-LN(2)/25))/(LN(2)/25)*Calculateur!V177*Calculateur!X177*VLOOKUP('Données projet'!$B$9,Paramètres!$A$1:$I$89,3,0)*0.475*44/12</f>
        <v>0.20820196455068909</v>
      </c>
      <c r="AB177" s="21">
        <f>EXP(-LN(2)/2)*AB176+(1-EXP(-LN(2)/2))/(LN(2)/2)*V177*Y177*VLOOKUP('Données projet'!$B$9,Paramètres!$A$1:$I$89,3,0)*0.475*44/12</f>
        <v>4.5640965927340194E-21</v>
      </c>
      <c r="AC177" s="22">
        <f t="shared" si="163"/>
        <v>0.34727174664353522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-3.6711753637064249E-13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550.66682372933292</v>
      </c>
      <c r="AO177" s="59">
        <f t="shared" si="144"/>
        <v>387.28615589698444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0.16544508559321369</v>
      </c>
      <c r="AV177" s="21">
        <f>EXP(-LN(2)/25)*AV176+(1-EXP(-LN(2)/25))/(LN(2)/25)*Calculateur!AQ177*Calculateur!AS177*VLOOKUP('Données projet'!$B$10,Paramètres!$A$1:$I$89,3,0)*0.475*44/12</f>
        <v>0.24768854403444074</v>
      </c>
      <c r="AW177" s="21">
        <f>EXP(-LN(2)/2)*AW176+(1-EXP(-LN(2)/2))/(LN(2)/2)*AQ177*AT177*VLOOKUP('Données projet'!$B$10,Paramètres!$A$1:$I$89,3,0)*0.475*44/12</f>
        <v>5.4297011189421709E-21</v>
      </c>
      <c r="AX177" s="21">
        <f t="shared" si="166"/>
        <v>0.41313362962765443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1.3301360013429075E-13</v>
      </c>
      <c r="BF177" s="13">
        <f t="shared" si="167"/>
        <v>1.9329766731057041E-12</v>
      </c>
      <c r="BG177" s="20">
        <f t="shared" si="168"/>
        <v>3.5982663925596575E-12</v>
      </c>
      <c r="BH177" s="59">
        <f t="shared" si="116"/>
        <v>293.3333333333369</v>
      </c>
      <c r="BI177" s="59">
        <f ca="1">AVERAGE(OFFSET($BH$3,0,0,'Données projet'!$E$11+1,1))-AVERAGE(OFFSET($H$3,0,0,'Données projet'!$E$11+1,1))</f>
        <v>376.33792692771908</v>
      </c>
      <c r="BJ177" s="59">
        <f t="shared" si="146"/>
        <v>367.92889258044698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8.3493249717072074E-2</v>
      </c>
      <c r="BQ177" s="21">
        <f>EXP(-LN(2)/25)*BQ176+(1-EXP(-LN(2)/25))/(LN(2)/25)*Calculateur!BL177*Calculateur!BN177*VLOOKUP('Données projet'!$B$11,Paramètres!$A$1:$I$89,3,0)*0.475*44/12</f>
        <v>0.15446502936968232</v>
      </c>
      <c r="BR177" s="21">
        <f>EXP(-LN(2)/2)*BR176+(1-EXP(-LN(2)/2))/(LN(2)/2)*BL177*BO177*VLOOKUP('Données projet'!$B$11,Paramètres!$A$1:$I$89,3,0)*0.475*44/12</f>
        <v>2.7679299444711581E-21</v>
      </c>
      <c r="BS177" s="22">
        <f t="shared" si="169"/>
        <v>0.23795827908675438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-1.0286385077051818E-13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388.50131600273431</v>
      </c>
      <c r="CE177" s="59">
        <f t="shared" si="148"/>
        <v>247.01165577562955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5.731390919631936E-2</v>
      </c>
      <c r="CM177" s="21">
        <f>EXP(-LN(2)/2)*CM176+(1-EXP(-LN(2)/2))/(LN(2)/2)*CG177*CJ177*VLOOKUP('Données projet'!$B$12,Paramètres!$A$1:$I$89,3,0)*0.475*44/12</f>
        <v>1.3106453886796478E-21</v>
      </c>
      <c r="CN177" s="22">
        <f t="shared" si="172"/>
        <v>5.731390919631936E-2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-1.223725121235475E-13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454.43000549907373</v>
      </c>
      <c r="CZ177" s="59">
        <f t="shared" si="150"/>
        <v>285.83623046025156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6.8183788526655742E-2</v>
      </c>
      <c r="DH177" s="21">
        <f>EXP(-LN(2)/2)*DH176+(1-EXP(-LN(2)/2))/(LN(2)/2)*DB177*DE177*VLOOKUP('Données projet'!$B$13,Paramètres!$A$1:$I$89,3,0)*0.475*44/12</f>
        <v>1.5592160658430319E-21</v>
      </c>
      <c r="DI177" s="22">
        <f t="shared" si="175"/>
        <v>6.8183788526655742E-2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1.7053025658242404E-13</v>
      </c>
      <c r="DP177" s="17">
        <f>DO177*VLOOKUP('Données projet'!$B$14,Paramètres!$A$1:$I$89,3,0)*VLOOKUP('Données projet'!$B$14,Paramètres!$A$1:$I$89,5,0)</f>
        <v>1.3301360013429075E-13</v>
      </c>
      <c r="DQ177" s="13">
        <f t="shared" si="176"/>
        <v>1.9329766731057041E-12</v>
      </c>
      <c r="DR177" s="20">
        <f t="shared" si="177"/>
        <v>3.5982663925596575E-12</v>
      </c>
      <c r="DS177" s="59">
        <f t="shared" si="125"/>
        <v>293.3333333333369</v>
      </c>
      <c r="DT177" s="59">
        <f ca="1">AVERAGE(OFFSET($DS$3,0,0,'Données projet'!$E$14+1,1))-AVERAGE(OFFSET($H$3,0,0,'Données projet'!$E$14+1,1))</f>
        <v>376.33792692771908</v>
      </c>
      <c r="DU177" s="59">
        <f t="shared" si="152"/>
        <v>367.92889258044698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8.3493249717072074E-2</v>
      </c>
      <c r="EB177" s="21">
        <f>EXP(-LN(2)/25)*EB176+(1-EXP(-LN(2)/25))/(LN(2)/25)*Calculateur!DW177*Calculateur!DY177*VLOOKUP('Données projet'!$B$14,Paramètres!$A$1:$I$89,3,0)*0.475*44/12</f>
        <v>0.15446502936968232</v>
      </c>
      <c r="EC177" s="21">
        <f>EXP(-LN(2)/2)*EC176+(1-EXP(-LN(2)/2))/(LN(2)/2)*DW177*DZ177*VLOOKUP('Données projet'!$B$14,Paramètres!$A$1:$I$89,3,0)*0.475*44/12</f>
        <v>2.7679299444711581E-21</v>
      </c>
      <c r="ED177" s="22">
        <f t="shared" si="178"/>
        <v>0.23795827908675438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-3.0859155231155454E-13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469.68830256438338</v>
      </c>
      <c r="T178" s="59">
        <f t="shared" si="142"/>
        <v>332.61387922152159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0.13634270849019681</v>
      </c>
      <c r="AA178" s="21">
        <f>EXP(-LN(2)/25)*AA177+(1-EXP(-LN(2)/25))/(LN(2)/25)*Calculateur!V178*Calculateur!X178*VLOOKUP('Données projet'!$B$9,Paramètres!$A$1:$I$89,3,0)*0.475*44/12</f>
        <v>0.20250867088118504</v>
      </c>
      <c r="AB178" s="21">
        <f>EXP(-LN(2)/2)*AB177+(1-EXP(-LN(2)/2))/(LN(2)/2)*V178*Y178*VLOOKUP('Données projet'!$B$9,Paramètres!$A$1:$I$89,3,0)*0.475*44/12</f>
        <v>3.2273036507126414E-21</v>
      </c>
      <c r="AC178" s="22">
        <f t="shared" si="163"/>
        <v>0.33885137937138188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-3.6711753637064249E-13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550.66682372933292</v>
      </c>
      <c r="AO178" s="59">
        <f t="shared" si="144"/>
        <v>387.28615589698444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0.1622008083762688</v>
      </c>
      <c r="AV178" s="21">
        <f>EXP(-LN(2)/25)*AV177+(1-EXP(-LN(2)/25))/(LN(2)/25)*Calculateur!AQ178*Calculateur!AS178*VLOOKUP('Données projet'!$B$10,Paramètres!$A$1:$I$89,3,0)*0.475*44/12</f>
        <v>0.24091548777244454</v>
      </c>
      <c r="AW178" s="21">
        <f>EXP(-LN(2)/2)*AW177+(1-EXP(-LN(2)/2))/(LN(2)/2)*AQ178*AT178*VLOOKUP('Données projet'!$B$10,Paramètres!$A$1:$I$89,3,0)*0.475*44/12</f>
        <v>3.8393784810201939E-21</v>
      </c>
      <c r="AX178" s="21">
        <f t="shared" si="166"/>
        <v>0.40311629614871336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1.3301360013429075E-13</v>
      </c>
      <c r="BF178" s="13">
        <f t="shared" si="167"/>
        <v>1.9329766731057041E-12</v>
      </c>
      <c r="BG178" s="20">
        <f t="shared" si="168"/>
        <v>3.5982663925596575E-12</v>
      </c>
      <c r="BH178" s="59">
        <f t="shared" si="116"/>
        <v>293.3333333333369</v>
      </c>
      <c r="BI178" s="59">
        <f ca="1">AVERAGE(OFFSET($BH$3,0,0,'Données projet'!$E$11+1,1))-AVERAGE(OFFSET($H$3,0,0,'Données projet'!$E$11+1,1))</f>
        <v>376.33792692771908</v>
      </c>
      <c r="BJ178" s="59">
        <f t="shared" si="146"/>
        <v>367.92889258044698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8.185599801597411E-2</v>
      </c>
      <c r="BQ178" s="21">
        <f>EXP(-LN(2)/25)*BQ177+(1-EXP(-LN(2)/25))/(LN(2)/25)*Calculateur!BL178*Calculateur!BN178*VLOOKUP('Données projet'!$B$11,Paramètres!$A$1:$I$89,3,0)*0.475*44/12</f>
        <v>0.15024117501860548</v>
      </c>
      <c r="BR178" s="21">
        <f>EXP(-LN(2)/2)*BR177+(1-EXP(-LN(2)/2))/(LN(2)/2)*BL178*BO178*VLOOKUP('Données projet'!$B$11,Paramètres!$A$1:$I$89,3,0)*0.475*44/12</f>
        <v>1.9572220335848598E-21</v>
      </c>
      <c r="BS178" s="22">
        <f t="shared" si="169"/>
        <v>0.23209717303457961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-1.0286385077051818E-13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388.50131600273431</v>
      </c>
      <c r="CE178" s="59">
        <f t="shared" si="148"/>
        <v>247.01165577562955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5.5746657335338512E-2</v>
      </c>
      <c r="CM178" s="21">
        <f>EXP(-LN(2)/2)*CM177+(1-EXP(-LN(2)/2))/(LN(2)/2)*CG178*CJ178*VLOOKUP('Données projet'!$B$12,Paramètres!$A$1:$I$89,3,0)*0.475*44/12</f>
        <v>9.267662420662572E-22</v>
      </c>
      <c r="CN178" s="22">
        <f t="shared" si="172"/>
        <v>5.5746657335338512E-2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-1.223725121235475E-13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454.43000549907373</v>
      </c>
      <c r="CZ178" s="59">
        <f t="shared" si="150"/>
        <v>285.83623046025156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6.6319299243764743E-2</v>
      </c>
      <c r="DH178" s="21">
        <f>EXP(-LN(2)/2)*DH177+(1-EXP(-LN(2)/2))/(LN(2)/2)*DB178*DE178*VLOOKUP('Données projet'!$B$13,Paramètres!$A$1:$I$89,3,0)*0.475*44/12</f>
        <v>1.1025322534926182E-21</v>
      </c>
      <c r="DI178" s="22">
        <f t="shared" si="175"/>
        <v>6.6319299243764743E-2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1.7053025658242404E-13</v>
      </c>
      <c r="DP178" s="17">
        <f>DO178*VLOOKUP('Données projet'!$B$14,Paramètres!$A$1:$I$89,3,0)*VLOOKUP('Données projet'!$B$14,Paramètres!$A$1:$I$89,5,0)</f>
        <v>1.3301360013429075E-13</v>
      </c>
      <c r="DQ178" s="13">
        <f t="shared" si="176"/>
        <v>1.9329766731057041E-12</v>
      </c>
      <c r="DR178" s="20">
        <f t="shared" si="177"/>
        <v>3.5982663925596575E-12</v>
      </c>
      <c r="DS178" s="59">
        <f t="shared" si="125"/>
        <v>293.3333333333369</v>
      </c>
      <c r="DT178" s="59">
        <f ca="1">AVERAGE(OFFSET($DS$3,0,0,'Données projet'!$E$14+1,1))-AVERAGE(OFFSET($H$3,0,0,'Données projet'!$E$14+1,1))</f>
        <v>376.33792692771908</v>
      </c>
      <c r="DU178" s="59">
        <f t="shared" si="152"/>
        <v>367.92889258044698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8.185599801597411E-2</v>
      </c>
      <c r="EB178" s="21">
        <f>EXP(-LN(2)/25)*EB177+(1-EXP(-LN(2)/25))/(LN(2)/25)*Calculateur!DW178*Calculateur!DY178*VLOOKUP('Données projet'!$B$14,Paramètres!$A$1:$I$89,3,0)*0.475*44/12</f>
        <v>0.15024117501860548</v>
      </c>
      <c r="EC178" s="21">
        <f>EXP(-LN(2)/2)*EC177+(1-EXP(-LN(2)/2))/(LN(2)/2)*DW178*DZ178*VLOOKUP('Données projet'!$B$14,Paramètres!$A$1:$I$89,3,0)*0.475*44/12</f>
        <v>1.9572220335848598E-21</v>
      </c>
      <c r="ED178" s="22">
        <f t="shared" si="178"/>
        <v>0.23209717303457961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-3.0859155231155454E-13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469.68830256438338</v>
      </c>
      <c r="T179" s="59">
        <f t="shared" si="142"/>
        <v>332.61387922152159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0.13366911113754479</v>
      </c>
      <c r="AA179" s="21">
        <f>EXP(-LN(2)/25)*AA178+(1-EXP(-LN(2)/25))/(LN(2)/25)*Calculateur!V179*Calculateur!X179*VLOOKUP('Données projet'!$B$9,Paramètres!$A$1:$I$89,3,0)*0.475*44/12</f>
        <v>0.19697106062647088</v>
      </c>
      <c r="AB179" s="21">
        <f>EXP(-LN(2)/2)*AB178+(1-EXP(-LN(2)/2))/(LN(2)/2)*V179*Y179*VLOOKUP('Données projet'!$B$9,Paramètres!$A$1:$I$89,3,0)*0.475*44/12</f>
        <v>2.2820482963670097E-21</v>
      </c>
      <c r="AC179" s="22">
        <f t="shared" si="163"/>
        <v>0.33064017176401567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-3.6711753637064249E-13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550.66682372933292</v>
      </c>
      <c r="AO179" s="59">
        <f t="shared" si="144"/>
        <v>387.28615589698444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0.15902014945673448</v>
      </c>
      <c r="AV179" s="21">
        <f>EXP(-LN(2)/25)*AV178+(1-EXP(-LN(2)/25))/(LN(2)/25)*Calculateur!AQ179*Calculateur!AS179*VLOOKUP('Données projet'!$B$10,Paramètres!$A$1:$I$89,3,0)*0.475*44/12</f>
        <v>0.23432764109011217</v>
      </c>
      <c r="AW179" s="21">
        <f>EXP(-LN(2)/2)*AW178+(1-EXP(-LN(2)/2))/(LN(2)/2)*AQ179*AT179*VLOOKUP('Données projet'!$B$10,Paramètres!$A$1:$I$89,3,0)*0.475*44/12</f>
        <v>2.7148505594710855E-21</v>
      </c>
      <c r="AX179" s="21">
        <f t="shared" si="166"/>
        <v>0.39334779054684665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1.3301360013429075E-13</v>
      </c>
      <c r="BF179" s="13">
        <f t="shared" si="167"/>
        <v>1.9329766731057041E-12</v>
      </c>
      <c r="BG179" s="20">
        <f t="shared" si="168"/>
        <v>3.5982663925596575E-12</v>
      </c>
      <c r="BH179" s="59">
        <f t="shared" si="116"/>
        <v>293.3333333333369</v>
      </c>
      <c r="BI179" s="59">
        <f ca="1">AVERAGE(OFFSET($BH$3,0,0,'Données projet'!$E$11+1,1))-AVERAGE(OFFSET($H$3,0,0,'Données projet'!$E$11+1,1))</f>
        <v>376.33792692771908</v>
      </c>
      <c r="BJ179" s="59">
        <f t="shared" si="146"/>
        <v>367.92889258044698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8.0250851822109739E-2</v>
      </c>
      <c r="BQ179" s="21">
        <f>EXP(-LN(2)/25)*BQ178+(1-EXP(-LN(2)/25))/(LN(2)/25)*Calculateur!BL179*Calculateur!BN179*VLOOKUP('Données projet'!$B$11,Paramètres!$A$1:$I$89,3,0)*0.475*44/12</f>
        <v>0.1461328221868817</v>
      </c>
      <c r="BR179" s="21">
        <f>EXP(-LN(2)/2)*BR178+(1-EXP(-LN(2)/2))/(LN(2)/2)*BL179*BO179*VLOOKUP('Données projet'!$B$11,Paramètres!$A$1:$I$89,3,0)*0.475*44/12</f>
        <v>1.3839649722355791E-21</v>
      </c>
      <c r="BS179" s="22">
        <f t="shared" si="169"/>
        <v>0.22638367400899145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-1.0286385077051818E-13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388.50131600273431</v>
      </c>
      <c r="CE179" s="59">
        <f t="shared" si="148"/>
        <v>247.01165577562955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5.4222262058914381E-2</v>
      </c>
      <c r="CM179" s="21">
        <f>EXP(-LN(2)/2)*CM178+(1-EXP(-LN(2)/2))/(LN(2)/2)*CG179*CJ179*VLOOKUP('Données projet'!$B$12,Paramètres!$A$1:$I$89,3,0)*0.475*44/12</f>
        <v>6.5532269433982388E-22</v>
      </c>
      <c r="CN179" s="22">
        <f t="shared" si="172"/>
        <v>5.4222262058914381E-2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-1.223725121235475E-13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454.43000549907373</v>
      </c>
      <c r="CZ179" s="59">
        <f t="shared" si="150"/>
        <v>285.83623046025156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6.4505794518363621E-2</v>
      </c>
      <c r="DH179" s="21">
        <f>EXP(-LN(2)/2)*DH178+(1-EXP(-LN(2)/2))/(LN(2)/2)*DB179*DE179*VLOOKUP('Données projet'!$B$13,Paramètres!$A$1:$I$89,3,0)*0.475*44/12</f>
        <v>7.7960803292151596E-22</v>
      </c>
      <c r="DI179" s="22">
        <f t="shared" si="175"/>
        <v>6.4505794518363621E-2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1.7053025658242404E-13</v>
      </c>
      <c r="DP179" s="17">
        <f>DO179*VLOOKUP('Données projet'!$B$14,Paramètres!$A$1:$I$89,3,0)*VLOOKUP('Données projet'!$B$14,Paramètres!$A$1:$I$89,5,0)</f>
        <v>1.3301360013429075E-13</v>
      </c>
      <c r="DQ179" s="13">
        <f t="shared" si="176"/>
        <v>1.9329766731057041E-12</v>
      </c>
      <c r="DR179" s="20">
        <f t="shared" si="177"/>
        <v>3.5982663925596575E-12</v>
      </c>
      <c r="DS179" s="59">
        <f t="shared" si="125"/>
        <v>293.3333333333369</v>
      </c>
      <c r="DT179" s="59">
        <f ca="1">AVERAGE(OFFSET($DS$3,0,0,'Données projet'!$E$14+1,1))-AVERAGE(OFFSET($H$3,0,0,'Données projet'!$E$14+1,1))</f>
        <v>376.33792692771908</v>
      </c>
      <c r="DU179" s="59">
        <f t="shared" si="152"/>
        <v>367.92889258044698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8.0250851822109739E-2</v>
      </c>
      <c r="EB179" s="21">
        <f>EXP(-LN(2)/25)*EB178+(1-EXP(-LN(2)/25))/(LN(2)/25)*Calculateur!DW179*Calculateur!DY179*VLOOKUP('Données projet'!$B$14,Paramètres!$A$1:$I$89,3,0)*0.475*44/12</f>
        <v>0.1461328221868817</v>
      </c>
      <c r="EC179" s="21">
        <f>EXP(-LN(2)/2)*EC178+(1-EXP(-LN(2)/2))/(LN(2)/2)*DW179*DZ179*VLOOKUP('Données projet'!$B$14,Paramètres!$A$1:$I$89,3,0)*0.475*44/12</f>
        <v>1.3839649722355791E-21</v>
      </c>
      <c r="ED179" s="22">
        <f t="shared" si="178"/>
        <v>0.22638367400899145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-3.0859155231155454E-13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469.68830256438338</v>
      </c>
      <c r="T180" s="59">
        <f t="shared" si="142"/>
        <v>332.61387922152159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0.13104794139824491</v>
      </c>
      <c r="AA180" s="21">
        <f>EXP(-LN(2)/25)*AA179+(1-EXP(-LN(2)/25))/(LN(2)/25)*Calculateur!V180*Calculateur!X180*VLOOKUP('Données projet'!$B$9,Paramètres!$A$1:$I$89,3,0)*0.475*44/12</f>
        <v>0.19158487661538215</v>
      </c>
      <c r="AB180" s="21">
        <f>EXP(-LN(2)/2)*AB179+(1-EXP(-LN(2)/2))/(LN(2)/2)*V180*Y180*VLOOKUP('Données projet'!$B$9,Paramètres!$A$1:$I$89,3,0)*0.475*44/12</f>
        <v>1.6136518253563207E-21</v>
      </c>
      <c r="AC180" s="22">
        <f t="shared" si="163"/>
        <v>0.32263281801362709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-3.6711753637064249E-13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550.66682372933292</v>
      </c>
      <c r="AO180" s="59">
        <f t="shared" si="144"/>
        <v>387.28615589698444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0.15590186131860184</v>
      </c>
      <c r="AV180" s="21">
        <f>EXP(-LN(2)/25)*AV179+(1-EXP(-LN(2)/25))/(LN(2)/25)*Calculateur!AQ180*Calculateur!AS180*VLOOKUP('Données projet'!$B$10,Paramètres!$A$1:$I$89,3,0)*0.475*44/12</f>
        <v>0.22791993942174796</v>
      </c>
      <c r="AW180" s="21">
        <f>EXP(-LN(2)/2)*AW179+(1-EXP(-LN(2)/2))/(LN(2)/2)*AQ180*AT180*VLOOKUP('Données projet'!$B$10,Paramètres!$A$1:$I$89,3,0)*0.475*44/12</f>
        <v>1.9196892405100969E-21</v>
      </c>
      <c r="AX180" s="21">
        <f t="shared" si="166"/>
        <v>0.38382180074034977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1.3301360013429075E-13</v>
      </c>
      <c r="BF180" s="13">
        <f t="shared" si="167"/>
        <v>1.9329766731057041E-12</v>
      </c>
      <c r="BG180" s="20">
        <f t="shared" si="168"/>
        <v>3.5982663925596575E-12</v>
      </c>
      <c r="BH180" s="59">
        <f t="shared" si="116"/>
        <v>293.3333333333369</v>
      </c>
      <c r="BI180" s="59">
        <f ca="1">AVERAGE(OFFSET($BH$3,0,0,'Données projet'!$E$11+1,1))-AVERAGE(OFFSET($H$3,0,0,'Données projet'!$E$11+1,1))</f>
        <v>376.33792692771908</v>
      </c>
      <c r="BJ180" s="59">
        <f t="shared" si="146"/>
        <v>367.92889258044698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7.8677181566064541E-2</v>
      </c>
      <c r="BQ180" s="21">
        <f>EXP(-LN(2)/25)*BQ179+(1-EXP(-LN(2)/25))/(LN(2)/25)*Calculateur!BL180*Calculateur!BN180*VLOOKUP('Données projet'!$B$11,Paramètres!$A$1:$I$89,3,0)*0.475*44/12</f>
        <v>0.14213681247939028</v>
      </c>
      <c r="BR180" s="21">
        <f>EXP(-LN(2)/2)*BR179+(1-EXP(-LN(2)/2))/(LN(2)/2)*BL180*BO180*VLOOKUP('Données projet'!$B$11,Paramètres!$A$1:$I$89,3,0)*0.475*44/12</f>
        <v>9.786110167924299E-22</v>
      </c>
      <c r="BS180" s="22">
        <f t="shared" si="169"/>
        <v>0.22081399404545482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-1.0286385077051818E-13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388.50131600273431</v>
      </c>
      <c r="CE180" s="59">
        <f t="shared" si="148"/>
        <v>247.01165577562955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5.273955145148853E-2</v>
      </c>
      <c r="CM180" s="21">
        <f>EXP(-LN(2)/2)*CM179+(1-EXP(-LN(2)/2))/(LN(2)/2)*CG180*CJ180*VLOOKUP('Données projet'!$B$12,Paramètres!$A$1:$I$89,3,0)*0.475*44/12</f>
        <v>4.633831210331286E-22</v>
      </c>
      <c r="CN180" s="22">
        <f t="shared" si="172"/>
        <v>5.273955145148853E-2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-1.223725121235475E-13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454.43000549907373</v>
      </c>
      <c r="CZ180" s="59">
        <f t="shared" si="150"/>
        <v>285.83623046025156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6.2741880175046658E-2</v>
      </c>
      <c r="DH180" s="21">
        <f>EXP(-LN(2)/2)*DH179+(1-EXP(-LN(2)/2))/(LN(2)/2)*DB180*DE180*VLOOKUP('Données projet'!$B$13,Paramètres!$A$1:$I$89,3,0)*0.475*44/12</f>
        <v>5.5126612674630912E-22</v>
      </c>
      <c r="DI180" s="22">
        <f t="shared" si="175"/>
        <v>6.2741880175046658E-2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1.7053025658242404E-13</v>
      </c>
      <c r="DP180" s="17">
        <f>DO180*VLOOKUP('Données projet'!$B$14,Paramètres!$A$1:$I$89,3,0)*VLOOKUP('Données projet'!$B$14,Paramètres!$A$1:$I$89,5,0)</f>
        <v>1.3301360013429075E-13</v>
      </c>
      <c r="DQ180" s="13">
        <f t="shared" si="176"/>
        <v>1.9329766731057041E-12</v>
      </c>
      <c r="DR180" s="20">
        <f t="shared" si="177"/>
        <v>3.5982663925596575E-12</v>
      </c>
      <c r="DS180" s="59">
        <f t="shared" si="125"/>
        <v>293.3333333333369</v>
      </c>
      <c r="DT180" s="59">
        <f ca="1">AVERAGE(OFFSET($DS$3,0,0,'Données projet'!$E$14+1,1))-AVERAGE(OFFSET($H$3,0,0,'Données projet'!$E$14+1,1))</f>
        <v>376.33792692771908</v>
      </c>
      <c r="DU180" s="59">
        <f t="shared" si="152"/>
        <v>367.92889258044698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7.8677181566064541E-2</v>
      </c>
      <c r="EB180" s="21">
        <f>EXP(-LN(2)/25)*EB179+(1-EXP(-LN(2)/25))/(LN(2)/25)*Calculateur!DW180*Calculateur!DY180*VLOOKUP('Données projet'!$B$14,Paramètres!$A$1:$I$89,3,0)*0.475*44/12</f>
        <v>0.14213681247939028</v>
      </c>
      <c r="EC180" s="21">
        <f>EXP(-LN(2)/2)*EC179+(1-EXP(-LN(2)/2))/(LN(2)/2)*DW180*DZ180*VLOOKUP('Données projet'!$B$14,Paramètres!$A$1:$I$89,3,0)*0.475*44/12</f>
        <v>9.786110167924299E-22</v>
      </c>
      <c r="ED180" s="22">
        <f t="shared" si="178"/>
        <v>0.22081399404545482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-3.0859155231155454E-13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469.68830256438338</v>
      </c>
      <c r="T181" s="59">
        <f t="shared" si="142"/>
        <v>332.61387922152159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0.12847817119877702</v>
      </c>
      <c r="AA181" s="21">
        <f>EXP(-LN(2)/25)*AA180+(1-EXP(-LN(2)/25))/(LN(2)/25)*Calculateur!V181*Calculateur!X181*VLOOKUP('Données projet'!$B$9,Paramètres!$A$1:$I$89,3,0)*0.475*44/12</f>
        <v>0.18634597808932374</v>
      </c>
      <c r="AB181" s="21">
        <f>EXP(-LN(2)/2)*AB180+(1-EXP(-LN(2)/2))/(LN(2)/2)*V181*Y181*VLOOKUP('Données projet'!$B$9,Paramètres!$A$1:$I$89,3,0)*0.475*44/12</f>
        <v>1.1410241481835048E-21</v>
      </c>
      <c r="AC181" s="22">
        <f t="shared" si="163"/>
        <v>0.31482414928810076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-3.6711753637064249E-13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550.66682372933292</v>
      </c>
      <c r="AO181" s="59">
        <f t="shared" si="144"/>
        <v>387.28615589698444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0.15284472090889004</v>
      </c>
      <c r="AV181" s="21">
        <f>EXP(-LN(2)/25)*AV180+(1-EXP(-LN(2)/25))/(LN(2)/25)*Calculateur!AQ181*Calculateur!AS181*VLOOKUP('Données projet'!$B$10,Paramètres!$A$1:$I$89,3,0)*0.475*44/12</f>
        <v>0.22168745669247156</v>
      </c>
      <c r="AW181" s="21">
        <f>EXP(-LN(2)/2)*AW180+(1-EXP(-LN(2)/2))/(LN(2)/2)*AQ181*AT181*VLOOKUP('Données projet'!$B$10,Paramètres!$A$1:$I$89,3,0)*0.475*44/12</f>
        <v>1.3574252797355427E-21</v>
      </c>
      <c r="AX181" s="21">
        <f t="shared" si="166"/>
        <v>0.37453217760136159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1.3301360013429075E-13</v>
      </c>
      <c r="BF181" s="13">
        <f t="shared" si="167"/>
        <v>1.9329766731057041E-12</v>
      </c>
      <c r="BG181" s="20">
        <f t="shared" si="168"/>
        <v>3.5982663925596575E-12</v>
      </c>
      <c r="BH181" s="59">
        <f t="shared" si="116"/>
        <v>293.3333333333369</v>
      </c>
      <c r="BI181" s="59">
        <f ca="1">AVERAGE(OFFSET($BH$3,0,0,'Données projet'!$E$11+1,1))-AVERAGE(OFFSET($H$3,0,0,'Données projet'!$E$11+1,1))</f>
        <v>376.33792692771908</v>
      </c>
      <c r="BJ181" s="59">
        <f t="shared" si="146"/>
        <v>367.92889258044698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7.7134370023896309E-2</v>
      </c>
      <c r="BQ181" s="21">
        <f>EXP(-LN(2)/25)*BQ180+(1-EXP(-LN(2)/25))/(LN(2)/25)*Calculateur!BL181*Calculateur!BN181*VLOOKUP('Données projet'!$B$11,Paramètres!$A$1:$I$89,3,0)*0.475*44/12</f>
        <v>0.13825007386749125</v>
      </c>
      <c r="BR181" s="21">
        <f>EXP(-LN(2)/2)*BR180+(1-EXP(-LN(2)/2))/(LN(2)/2)*BL181*BO181*VLOOKUP('Données projet'!$B$11,Paramètres!$A$1:$I$89,3,0)*0.475*44/12</f>
        <v>6.9198248611778953E-22</v>
      </c>
      <c r="BS181" s="22">
        <f t="shared" si="169"/>
        <v>0.21538444389138756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-1.0286385077051818E-13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388.50131600273431</v>
      </c>
      <c r="CE181" s="59">
        <f t="shared" si="148"/>
        <v>247.01165577562955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5.1297385643595102E-2</v>
      </c>
      <c r="CM181" s="21">
        <f>EXP(-LN(2)/2)*CM180+(1-EXP(-LN(2)/2))/(LN(2)/2)*CG181*CJ181*VLOOKUP('Données projet'!$B$12,Paramètres!$A$1:$I$89,3,0)*0.475*44/12</f>
        <v>3.2766134716991194E-22</v>
      </c>
      <c r="CN181" s="22">
        <f t="shared" si="172"/>
        <v>5.1297385643595102E-2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-1.223725121235475E-13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454.43000549907373</v>
      </c>
      <c r="CZ181" s="59">
        <f t="shared" si="150"/>
        <v>285.83623046025156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6.102620016220793E-2</v>
      </c>
      <c r="DH181" s="21">
        <f>EXP(-LN(2)/2)*DH180+(1-EXP(-LN(2)/2))/(LN(2)/2)*DB181*DE181*VLOOKUP('Données projet'!$B$13,Paramètres!$A$1:$I$89,3,0)*0.475*44/12</f>
        <v>3.8980401646075798E-22</v>
      </c>
      <c r="DI181" s="22">
        <f t="shared" si="175"/>
        <v>6.102620016220793E-2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1.7053025658242404E-13</v>
      </c>
      <c r="DP181" s="17">
        <f>DO181*VLOOKUP('Données projet'!$B$14,Paramètres!$A$1:$I$89,3,0)*VLOOKUP('Données projet'!$B$14,Paramètres!$A$1:$I$89,5,0)</f>
        <v>1.3301360013429075E-13</v>
      </c>
      <c r="DQ181" s="13">
        <f t="shared" si="176"/>
        <v>1.9329766731057041E-12</v>
      </c>
      <c r="DR181" s="20">
        <f t="shared" si="177"/>
        <v>3.5982663925596575E-12</v>
      </c>
      <c r="DS181" s="59">
        <f t="shared" si="125"/>
        <v>293.3333333333369</v>
      </c>
      <c r="DT181" s="59">
        <f ca="1">AVERAGE(OFFSET($DS$3,0,0,'Données projet'!$E$14+1,1))-AVERAGE(OFFSET($H$3,0,0,'Données projet'!$E$14+1,1))</f>
        <v>376.33792692771908</v>
      </c>
      <c r="DU181" s="59">
        <f t="shared" si="152"/>
        <v>367.92889258044698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7.7134370023896309E-2</v>
      </c>
      <c r="EB181" s="21">
        <f>EXP(-LN(2)/25)*EB180+(1-EXP(-LN(2)/25))/(LN(2)/25)*Calculateur!DW181*Calculateur!DY181*VLOOKUP('Données projet'!$B$14,Paramètres!$A$1:$I$89,3,0)*0.475*44/12</f>
        <v>0.13825007386749125</v>
      </c>
      <c r="EC181" s="21">
        <f>EXP(-LN(2)/2)*EC180+(1-EXP(-LN(2)/2))/(LN(2)/2)*DW181*DZ181*VLOOKUP('Données projet'!$B$14,Paramètres!$A$1:$I$89,3,0)*0.475*44/12</f>
        <v>6.9198248611778953E-22</v>
      </c>
      <c r="ED181" s="22">
        <f t="shared" si="178"/>
        <v>0.21538444389138756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-3.0859155231155454E-13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469.68830256438338</v>
      </c>
      <c r="T182" s="59">
        <f t="shared" si="142"/>
        <v>332.61387922152159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0.12595879262551565</v>
      </c>
      <c r="AA182" s="21">
        <f>EXP(-LN(2)/25)*AA181+(1-EXP(-LN(2)/25))/(LN(2)/25)*Calculateur!V182*Calculateur!X182*VLOOKUP('Données projet'!$B$9,Paramètres!$A$1:$I$89,3,0)*0.475*44/12</f>
        <v>0.18125033751896208</v>
      </c>
      <c r="AB182" s="21">
        <f>EXP(-LN(2)/2)*AB181+(1-EXP(-LN(2)/2))/(LN(2)/2)*V182*Y182*VLOOKUP('Données projet'!$B$9,Paramètres!$A$1:$I$89,3,0)*0.475*44/12</f>
        <v>8.0682591267816035E-22</v>
      </c>
      <c r="AC182" s="22">
        <f t="shared" si="163"/>
        <v>0.3072091301444777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-3.6711753637064249E-13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550.66682372933292</v>
      </c>
      <c r="AO182" s="59">
        <f t="shared" si="144"/>
        <v>387.28615589698444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0.14984752915794114</v>
      </c>
      <c r="AV182" s="21">
        <f>EXP(-LN(2)/25)*AV181+(1-EXP(-LN(2)/25))/(LN(2)/25)*Calculateur!AQ182*Calculateur!AS182*VLOOKUP('Données projet'!$B$10,Paramètres!$A$1:$I$89,3,0)*0.475*44/12</f>
        <v>0.21562540153117926</v>
      </c>
      <c r="AW182" s="21">
        <f>EXP(-LN(2)/2)*AW181+(1-EXP(-LN(2)/2))/(LN(2)/2)*AQ182*AT182*VLOOKUP('Données projet'!$B$10,Paramètres!$A$1:$I$89,3,0)*0.475*44/12</f>
        <v>9.5984462025504847E-22</v>
      </c>
      <c r="AX182" s="21">
        <f t="shared" si="166"/>
        <v>0.3654729306891204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1.3301360013429075E-13</v>
      </c>
      <c r="BF182" s="13">
        <f t="shared" si="167"/>
        <v>1.9329766731057041E-12</v>
      </c>
      <c r="BG182" s="20">
        <f t="shared" si="168"/>
        <v>3.5982663925596575E-12</v>
      </c>
      <c r="BH182" s="59">
        <f t="shared" si="116"/>
        <v>293.3333333333369</v>
      </c>
      <c r="BI182" s="59">
        <f ca="1">AVERAGE(OFFSET($BH$3,0,0,'Données projet'!$E$11+1,1))-AVERAGE(OFFSET($H$3,0,0,'Données projet'!$E$11+1,1))</f>
        <v>376.33792692771908</v>
      </c>
      <c r="BJ182" s="59">
        <f t="shared" si="146"/>
        <v>367.92889258044698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7.5621812075047881E-2</v>
      </c>
      <c r="BQ182" s="21">
        <f>EXP(-LN(2)/25)*BQ181+(1-EXP(-LN(2)/25))/(LN(2)/25)*Calculateur!BL182*Calculateur!BN182*VLOOKUP('Données projet'!$B$11,Paramètres!$A$1:$I$89,3,0)*0.475*44/12</f>
        <v>0.13446961832732929</v>
      </c>
      <c r="BR182" s="21">
        <f>EXP(-LN(2)/2)*BR181+(1-EXP(-LN(2)/2))/(LN(2)/2)*BL182*BO182*VLOOKUP('Données projet'!$B$11,Paramètres!$A$1:$I$89,3,0)*0.475*44/12</f>
        <v>4.8930550839621495E-22</v>
      </c>
      <c r="BS182" s="22">
        <f t="shared" si="169"/>
        <v>0.21009143040237716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-1.0286385077051818E-13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388.50131600273431</v>
      </c>
      <c r="CE182" s="59">
        <f t="shared" si="148"/>
        <v>247.01165577562955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4.9894655935558724E-2</v>
      </c>
      <c r="CM182" s="21">
        <f>EXP(-LN(2)/2)*CM181+(1-EXP(-LN(2)/2))/(LN(2)/2)*CG182*CJ182*VLOOKUP('Données projet'!$B$12,Paramètres!$A$1:$I$89,3,0)*0.475*44/12</f>
        <v>2.316915605165643E-22</v>
      </c>
      <c r="CN182" s="22">
        <f t="shared" si="172"/>
        <v>4.9894655935558724E-2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-1.223725121235475E-13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454.43000549907373</v>
      </c>
      <c r="CZ182" s="59">
        <f t="shared" si="150"/>
        <v>285.83623046025156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5.9357435509543963E-2</v>
      </c>
      <c r="DH182" s="21">
        <f>EXP(-LN(2)/2)*DH181+(1-EXP(-LN(2)/2))/(LN(2)/2)*DB182*DE182*VLOOKUP('Données projet'!$B$13,Paramètres!$A$1:$I$89,3,0)*0.475*44/12</f>
        <v>2.7563306337315456E-22</v>
      </c>
      <c r="DI182" s="22">
        <f t="shared" si="175"/>
        <v>5.9357435509543963E-2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1.7053025658242404E-13</v>
      </c>
      <c r="DP182" s="17">
        <f>DO182*VLOOKUP('Données projet'!$B$14,Paramètres!$A$1:$I$89,3,0)*VLOOKUP('Données projet'!$B$14,Paramètres!$A$1:$I$89,5,0)</f>
        <v>1.3301360013429075E-13</v>
      </c>
      <c r="DQ182" s="13">
        <f t="shared" si="176"/>
        <v>1.9329766731057041E-12</v>
      </c>
      <c r="DR182" s="20">
        <f t="shared" si="177"/>
        <v>3.5982663925596575E-12</v>
      </c>
      <c r="DS182" s="59">
        <f t="shared" si="125"/>
        <v>293.3333333333369</v>
      </c>
      <c r="DT182" s="59">
        <f ca="1">AVERAGE(OFFSET($DS$3,0,0,'Données projet'!$E$14+1,1))-AVERAGE(OFFSET($H$3,0,0,'Données projet'!$E$14+1,1))</f>
        <v>376.33792692771908</v>
      </c>
      <c r="DU182" s="59">
        <f t="shared" si="152"/>
        <v>367.92889258044698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7.5621812075047881E-2</v>
      </c>
      <c r="EB182" s="21">
        <f>EXP(-LN(2)/25)*EB181+(1-EXP(-LN(2)/25))/(LN(2)/25)*Calculateur!DW182*Calculateur!DY182*VLOOKUP('Données projet'!$B$14,Paramètres!$A$1:$I$89,3,0)*0.475*44/12</f>
        <v>0.13446961832732929</v>
      </c>
      <c r="EC182" s="21">
        <f>EXP(-LN(2)/2)*EC181+(1-EXP(-LN(2)/2))/(LN(2)/2)*DW182*DZ182*VLOOKUP('Données projet'!$B$14,Paramètres!$A$1:$I$89,3,0)*0.475*44/12</f>
        <v>4.8930550839621495E-22</v>
      </c>
      <c r="ED182" s="22">
        <f t="shared" si="178"/>
        <v>0.21009143040237716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-3.0859155231155454E-13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469.68830256438338</v>
      </c>
      <c r="T183" s="59">
        <f t="shared" si="142"/>
        <v>332.61387922152159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0.12348881752940673</v>
      </c>
      <c r="AA183" s="21">
        <f>EXP(-LN(2)/25)*AA182+(1-EXP(-LN(2)/25))/(LN(2)/25)*Calculateur!V183*Calculateur!X183*VLOOKUP('Données projet'!$B$9,Paramètres!$A$1:$I$89,3,0)*0.475*44/12</f>
        <v>0.17629403750796507</v>
      </c>
      <c r="AB183" s="21">
        <f>EXP(-LN(2)/2)*AB182+(1-EXP(-LN(2)/2))/(LN(2)/2)*V183*Y183*VLOOKUP('Données projet'!$B$9,Paramètres!$A$1:$I$89,3,0)*0.475*44/12</f>
        <v>5.7051207409175242E-22</v>
      </c>
      <c r="AC183" s="22">
        <f t="shared" si="163"/>
        <v>0.29978285503737179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-3.6711753637064249E-13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550.66682372933292</v>
      </c>
      <c r="AO183" s="59">
        <f t="shared" si="144"/>
        <v>387.28615589698444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0.14690911050912189</v>
      </c>
      <c r="AV183" s="21">
        <f>EXP(-LN(2)/25)*AV182+(1-EXP(-LN(2)/25))/(LN(2)/25)*Calculateur!AQ183*Calculateur!AS183*VLOOKUP('Données projet'!$B$10,Paramètres!$A$1:$I$89,3,0)*0.475*44/12</f>
        <v>0.20972911358706212</v>
      </c>
      <c r="AW183" s="21">
        <f>EXP(-LN(2)/2)*AW182+(1-EXP(-LN(2)/2))/(LN(2)/2)*AQ183*AT183*VLOOKUP('Données projet'!$B$10,Paramètres!$A$1:$I$89,3,0)*0.475*44/12</f>
        <v>6.7871263986777137E-22</v>
      </c>
      <c r="AX183" s="21">
        <f t="shared" si="166"/>
        <v>0.35663822409618401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1.3301360013429075E-13</v>
      </c>
      <c r="BF183" s="13">
        <f t="shared" si="167"/>
        <v>1.9329766731057041E-12</v>
      </c>
      <c r="BG183" s="20">
        <f t="shared" si="168"/>
        <v>3.5982663925596575E-12</v>
      </c>
      <c r="BH183" s="59">
        <f t="shared" si="116"/>
        <v>293.3333333333369</v>
      </c>
      <c r="BI183" s="59">
        <f ca="1">AVERAGE(OFFSET($BH$3,0,0,'Données projet'!$E$11+1,1))-AVERAGE(OFFSET($H$3,0,0,'Données projet'!$E$11+1,1))</f>
        <v>376.33792692771908</v>
      </c>
      <c r="BJ183" s="59">
        <f t="shared" si="146"/>
        <v>367.92889258044698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7.4138914465007116E-2</v>
      </c>
      <c r="BQ183" s="21">
        <f>EXP(-LN(2)/25)*BQ182+(1-EXP(-LN(2)/25))/(LN(2)/25)*Calculateur!BL183*Calculateur!BN183*VLOOKUP('Données projet'!$B$11,Paramètres!$A$1:$I$89,3,0)*0.475*44/12</f>
        <v>0.13079253954271858</v>
      </c>
      <c r="BR183" s="21">
        <f>EXP(-LN(2)/2)*BR182+(1-EXP(-LN(2)/2))/(LN(2)/2)*BL183*BO183*VLOOKUP('Données projet'!$B$11,Paramètres!$A$1:$I$89,3,0)*0.475*44/12</f>
        <v>3.4599124305889477E-22</v>
      </c>
      <c r="BS183" s="22">
        <f t="shared" si="169"/>
        <v>0.20493145400772569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-1.0286385077051818E-13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388.50131600273431</v>
      </c>
      <c r="CE183" s="59">
        <f t="shared" si="148"/>
        <v>247.01165577562955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4.8530283945154948E-2</v>
      </c>
      <c r="CM183" s="21">
        <f>EXP(-LN(2)/2)*CM182+(1-EXP(-LN(2)/2))/(LN(2)/2)*CG183*CJ183*VLOOKUP('Données projet'!$B$12,Paramètres!$A$1:$I$89,3,0)*0.475*44/12</f>
        <v>1.6383067358495597E-22</v>
      </c>
      <c r="CN183" s="22">
        <f t="shared" si="172"/>
        <v>4.8530283945154948E-2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-1.223725121235475E-13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454.43000549907373</v>
      </c>
      <c r="CZ183" s="59">
        <f t="shared" si="150"/>
        <v>285.83623046025156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5.7734303314063616E-2</v>
      </c>
      <c r="DH183" s="21">
        <f>EXP(-LN(2)/2)*DH182+(1-EXP(-LN(2)/2))/(LN(2)/2)*DB183*DE183*VLOOKUP('Données projet'!$B$13,Paramètres!$A$1:$I$89,3,0)*0.475*44/12</f>
        <v>1.9490200823037899E-22</v>
      </c>
      <c r="DI183" s="22">
        <f t="shared" si="175"/>
        <v>5.7734303314063616E-2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1.7053025658242404E-13</v>
      </c>
      <c r="DP183" s="17">
        <f>DO183*VLOOKUP('Données projet'!$B$14,Paramètres!$A$1:$I$89,3,0)*VLOOKUP('Données projet'!$B$14,Paramètres!$A$1:$I$89,5,0)</f>
        <v>1.3301360013429075E-13</v>
      </c>
      <c r="DQ183" s="13">
        <f t="shared" si="176"/>
        <v>1.9329766731057041E-12</v>
      </c>
      <c r="DR183" s="20">
        <f t="shared" si="177"/>
        <v>3.5982663925596575E-12</v>
      </c>
      <c r="DS183" s="59">
        <f t="shared" si="125"/>
        <v>293.3333333333369</v>
      </c>
      <c r="DT183" s="59">
        <f ca="1">AVERAGE(OFFSET($DS$3,0,0,'Données projet'!$E$14+1,1))-AVERAGE(OFFSET($H$3,0,0,'Données projet'!$E$14+1,1))</f>
        <v>376.33792692771908</v>
      </c>
      <c r="DU183" s="59">
        <f t="shared" si="152"/>
        <v>367.92889258044698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7.4138914465007116E-2</v>
      </c>
      <c r="EB183" s="21">
        <f>EXP(-LN(2)/25)*EB182+(1-EXP(-LN(2)/25))/(LN(2)/25)*Calculateur!DW183*Calculateur!DY183*VLOOKUP('Données projet'!$B$14,Paramètres!$A$1:$I$89,3,0)*0.475*44/12</f>
        <v>0.13079253954271858</v>
      </c>
      <c r="EC183" s="21">
        <f>EXP(-LN(2)/2)*EC182+(1-EXP(-LN(2)/2))/(LN(2)/2)*DW183*DZ183*VLOOKUP('Données projet'!$B$14,Paramètres!$A$1:$I$89,3,0)*0.475*44/12</f>
        <v>3.4599124305889477E-22</v>
      </c>
      <c r="ED183" s="22">
        <f t="shared" si="178"/>
        <v>0.20493145400772569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-3.0859155231155454E-13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469.68830256438338</v>
      </c>
      <c r="T184" s="59">
        <f t="shared" si="142"/>
        <v>332.61387922152159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0.12106727713839645</v>
      </c>
      <c r="AA184" s="21">
        <f>EXP(-LN(2)/25)*AA183+(1-EXP(-LN(2)/25))/(LN(2)/25)*Calculateur!V184*Calculateur!X184*VLOOKUP('Données projet'!$B$9,Paramètres!$A$1:$I$89,3,0)*0.475*44/12</f>
        <v>0.17147326778140926</v>
      </c>
      <c r="AB184" s="21">
        <f>EXP(-LN(2)/2)*AB183+(1-EXP(-LN(2)/2))/(LN(2)/2)*V184*Y184*VLOOKUP('Données projet'!$B$9,Paramètres!$A$1:$I$89,3,0)*0.475*44/12</f>
        <v>4.0341295633908017E-22</v>
      </c>
      <c r="AC184" s="22">
        <f t="shared" si="163"/>
        <v>0.29254054491980569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-3.6711753637064249E-13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550.66682372933292</v>
      </c>
      <c r="AO184" s="59">
        <f t="shared" si="144"/>
        <v>387.28615589698444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0.14402831245774758</v>
      </c>
      <c r="AV184" s="21">
        <f>EXP(-LN(2)/25)*AV183+(1-EXP(-LN(2)/25))/(LN(2)/25)*Calculateur!AQ184*Calculateur!AS184*VLOOKUP('Données projet'!$B$10,Paramètres!$A$1:$I$89,3,0)*0.475*44/12</f>
        <v>0.20399405994684916</v>
      </c>
      <c r="AW184" s="21">
        <f>EXP(-LN(2)/2)*AW183+(1-EXP(-LN(2)/2))/(LN(2)/2)*AQ184*AT184*VLOOKUP('Données projet'!$B$10,Paramètres!$A$1:$I$89,3,0)*0.475*44/12</f>
        <v>4.7992231012752424E-22</v>
      </c>
      <c r="AX184" s="21">
        <f t="shared" si="166"/>
        <v>0.34802237240459677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1.3301360013429075E-13</v>
      </c>
      <c r="BF184" s="13">
        <f t="shared" si="167"/>
        <v>1.9329766731057041E-12</v>
      </c>
      <c r="BG184" s="20">
        <f t="shared" si="168"/>
        <v>3.5982663925596575E-12</v>
      </c>
      <c r="BH184" s="59">
        <f t="shared" si="116"/>
        <v>293.3333333333369</v>
      </c>
      <c r="BI184" s="59">
        <f ca="1">AVERAGE(OFFSET($BH$3,0,0,'Données projet'!$E$11+1,1))-AVERAGE(OFFSET($H$3,0,0,'Données projet'!$E$11+1,1))</f>
        <v>376.33792692771908</v>
      </c>
      <c r="BJ184" s="59">
        <f t="shared" si="146"/>
        <v>367.92889258044698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7.2685095572621025E-2</v>
      </c>
      <c r="BQ184" s="21">
        <f>EXP(-LN(2)/25)*BQ183+(1-EXP(-LN(2)/25))/(LN(2)/25)*Calculateur!BL184*Calculateur!BN184*VLOOKUP('Données projet'!$B$11,Paramètres!$A$1:$I$89,3,0)*0.475*44/12</f>
        <v>0.12721601067084221</v>
      </c>
      <c r="BR184" s="21">
        <f>EXP(-LN(2)/2)*BR183+(1-EXP(-LN(2)/2))/(LN(2)/2)*BL184*BO184*VLOOKUP('Données projet'!$B$11,Paramètres!$A$1:$I$89,3,0)*0.475*44/12</f>
        <v>2.4465275419810748E-22</v>
      </c>
      <c r="BS184" s="22">
        <f t="shared" si="169"/>
        <v>0.19990110624346324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-1.0286385077051818E-13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388.50131600273431</v>
      </c>
      <c r="CE184" s="59">
        <f t="shared" si="148"/>
        <v>247.01165577562955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4.720322077857797E-2</v>
      </c>
      <c r="CM184" s="21">
        <f>EXP(-LN(2)/2)*CM183+(1-EXP(-LN(2)/2))/(LN(2)/2)*CG184*CJ184*VLOOKUP('Données projet'!$B$12,Paramètres!$A$1:$I$89,3,0)*0.475*44/12</f>
        <v>1.1584578025828215E-22</v>
      </c>
      <c r="CN184" s="22">
        <f t="shared" si="172"/>
        <v>4.720322077857797E-2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-1.223725121235475E-13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454.43000549907373</v>
      </c>
      <c r="CZ184" s="59">
        <f t="shared" si="150"/>
        <v>285.83623046025156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5.6155555753825491E-2</v>
      </c>
      <c r="DH184" s="21">
        <f>EXP(-LN(2)/2)*DH183+(1-EXP(-LN(2)/2))/(LN(2)/2)*DB184*DE184*VLOOKUP('Données projet'!$B$13,Paramètres!$A$1:$I$89,3,0)*0.475*44/12</f>
        <v>1.3781653168657728E-22</v>
      </c>
      <c r="DI184" s="22">
        <f t="shared" si="175"/>
        <v>5.6155555753825491E-2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1.7053025658242404E-13</v>
      </c>
      <c r="DP184" s="17">
        <f>DO184*VLOOKUP('Données projet'!$B$14,Paramètres!$A$1:$I$89,3,0)*VLOOKUP('Données projet'!$B$14,Paramètres!$A$1:$I$89,5,0)</f>
        <v>1.3301360013429075E-13</v>
      </c>
      <c r="DQ184" s="13">
        <f t="shared" si="176"/>
        <v>1.9329766731057041E-12</v>
      </c>
      <c r="DR184" s="20">
        <f t="shared" si="177"/>
        <v>3.5982663925596575E-12</v>
      </c>
      <c r="DS184" s="59">
        <f t="shared" si="125"/>
        <v>293.3333333333369</v>
      </c>
      <c r="DT184" s="59">
        <f ca="1">AVERAGE(OFFSET($DS$3,0,0,'Données projet'!$E$14+1,1))-AVERAGE(OFFSET($H$3,0,0,'Données projet'!$E$14+1,1))</f>
        <v>376.33792692771908</v>
      </c>
      <c r="DU184" s="59">
        <f t="shared" si="152"/>
        <v>367.92889258044698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7.2685095572621025E-2</v>
      </c>
      <c r="EB184" s="21">
        <f>EXP(-LN(2)/25)*EB183+(1-EXP(-LN(2)/25))/(LN(2)/25)*Calculateur!DW184*Calculateur!DY184*VLOOKUP('Données projet'!$B$14,Paramètres!$A$1:$I$89,3,0)*0.475*44/12</f>
        <v>0.12721601067084221</v>
      </c>
      <c r="EC184" s="21">
        <f>EXP(-LN(2)/2)*EC183+(1-EXP(-LN(2)/2))/(LN(2)/2)*DW184*DZ184*VLOOKUP('Données projet'!$B$14,Paramètres!$A$1:$I$89,3,0)*0.475*44/12</f>
        <v>2.4465275419810748E-22</v>
      </c>
      <c r="ED184" s="22">
        <f t="shared" si="178"/>
        <v>0.19990110624346324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-3.0859155231155454E-13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469.68830256438338</v>
      </c>
      <c r="T185" s="59">
        <f t="shared" si="142"/>
        <v>332.61387922152159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0.11869322167746009</v>
      </c>
      <c r="AA185" s="21">
        <f>EXP(-LN(2)/25)*AA184+(1-EXP(-LN(2)/25))/(LN(2)/25)*Calculateur!V185*Calculateur!X185*VLOOKUP('Données projet'!$B$9,Paramètres!$A$1:$I$89,3,0)*0.475*44/12</f>
        <v>0.16678432225653939</v>
      </c>
      <c r="AB185" s="21">
        <f>EXP(-LN(2)/2)*AB184+(1-EXP(-LN(2)/2))/(LN(2)/2)*V185*Y185*VLOOKUP('Données projet'!$B$9,Paramètres!$A$1:$I$89,3,0)*0.475*44/12</f>
        <v>2.8525603704587621E-22</v>
      </c>
      <c r="AC185" s="22">
        <f t="shared" si="163"/>
        <v>0.28547754393399949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-3.6711753637064249E-13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550.66682372933292</v>
      </c>
      <c r="AO185" s="59">
        <f t="shared" si="144"/>
        <v>387.28615589698444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0.14120400509904743</v>
      </c>
      <c r="AV185" s="21">
        <f>EXP(-LN(2)/25)*AV184+(1-EXP(-LN(2)/25))/(LN(2)/25)*Calculateur!AQ185*Calculateur!AS185*VLOOKUP('Données projet'!$B$10,Paramètres!$A$1:$I$89,3,0)*0.475*44/12</f>
        <v>0.19841583165002119</v>
      </c>
      <c r="AW185" s="21">
        <f>EXP(-LN(2)/2)*AW184+(1-EXP(-LN(2)/2))/(LN(2)/2)*AQ185*AT185*VLOOKUP('Données projet'!$B$10,Paramètres!$A$1:$I$89,3,0)*0.475*44/12</f>
        <v>3.3935631993388568E-22</v>
      </c>
      <c r="AX185" s="21">
        <f t="shared" si="166"/>
        <v>0.33961983674906859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1.3301360013429075E-13</v>
      </c>
      <c r="BF185" s="13">
        <f t="shared" si="167"/>
        <v>1.9329766731057041E-12</v>
      </c>
      <c r="BG185" s="20">
        <f t="shared" si="168"/>
        <v>3.5982663925596575E-12</v>
      </c>
      <c r="BH185" s="59">
        <f t="shared" si="116"/>
        <v>293.3333333333369</v>
      </c>
      <c r="BI185" s="59">
        <f ca="1">AVERAGE(OFFSET($BH$3,0,0,'Données projet'!$E$11+1,1))-AVERAGE(OFFSET($H$3,0,0,'Données projet'!$E$11+1,1))</f>
        <v>376.33792692771908</v>
      </c>
      <c r="BJ185" s="59">
        <f t="shared" si="146"/>
        <v>367.92889258044698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7.1259785181972651E-2</v>
      </c>
      <c r="BQ185" s="21">
        <f>EXP(-LN(2)/25)*BQ184+(1-EXP(-LN(2)/25))/(LN(2)/25)*Calculateur!BL185*Calculateur!BN185*VLOOKUP('Données projet'!$B$11,Paramètres!$A$1:$I$89,3,0)*0.475*44/12</f>
        <v>0.12373728216904878</v>
      </c>
      <c r="BR185" s="21">
        <f>EXP(-LN(2)/2)*BR184+(1-EXP(-LN(2)/2))/(LN(2)/2)*BL185*BO185*VLOOKUP('Données projet'!$B$11,Paramètres!$A$1:$I$89,3,0)*0.475*44/12</f>
        <v>1.7299562152944738E-22</v>
      </c>
      <c r="BS185" s="22">
        <f t="shared" si="169"/>
        <v>0.19499706735102143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-1.0286385077051818E-13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388.50131600273431</v>
      </c>
      <c r="CE185" s="59">
        <f t="shared" si="148"/>
        <v>247.01165577562955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4.5912446224078259E-2</v>
      </c>
      <c r="CM185" s="21">
        <f>EXP(-LN(2)/2)*CM184+(1-EXP(-LN(2)/2))/(LN(2)/2)*CG185*CJ185*VLOOKUP('Données projet'!$B$12,Paramètres!$A$1:$I$89,3,0)*0.475*44/12</f>
        <v>8.1915336792477985E-23</v>
      </c>
      <c r="CN185" s="22">
        <f t="shared" si="172"/>
        <v>4.5912446224078259E-2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-1.223725121235475E-13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454.43000549907373</v>
      </c>
      <c r="CZ185" s="59">
        <f t="shared" si="150"/>
        <v>285.83623046025156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5.4619979128644802E-2</v>
      </c>
      <c r="DH185" s="21">
        <f>EXP(-LN(2)/2)*DH184+(1-EXP(-LN(2)/2))/(LN(2)/2)*DB185*DE185*VLOOKUP('Données projet'!$B$13,Paramètres!$A$1:$I$89,3,0)*0.475*44/12</f>
        <v>9.7451004115189495E-23</v>
      </c>
      <c r="DI185" s="22">
        <f t="shared" si="175"/>
        <v>5.4619979128644802E-2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1.7053025658242404E-13</v>
      </c>
      <c r="DP185" s="17">
        <f>DO185*VLOOKUP('Données projet'!$B$14,Paramètres!$A$1:$I$89,3,0)*VLOOKUP('Données projet'!$B$14,Paramètres!$A$1:$I$89,5,0)</f>
        <v>1.3301360013429075E-13</v>
      </c>
      <c r="DQ185" s="13">
        <f t="shared" si="176"/>
        <v>1.9329766731057041E-12</v>
      </c>
      <c r="DR185" s="20">
        <f t="shared" si="177"/>
        <v>3.5982663925596575E-12</v>
      </c>
      <c r="DS185" s="59">
        <f t="shared" si="125"/>
        <v>293.3333333333369</v>
      </c>
      <c r="DT185" s="59">
        <f ca="1">AVERAGE(OFFSET($DS$3,0,0,'Données projet'!$E$14+1,1))-AVERAGE(OFFSET($H$3,0,0,'Données projet'!$E$14+1,1))</f>
        <v>376.33792692771908</v>
      </c>
      <c r="DU185" s="59">
        <f t="shared" si="152"/>
        <v>367.92889258044698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7.1259785181972651E-2</v>
      </c>
      <c r="EB185" s="21">
        <f>EXP(-LN(2)/25)*EB184+(1-EXP(-LN(2)/25))/(LN(2)/25)*Calculateur!DW185*Calculateur!DY185*VLOOKUP('Données projet'!$B$14,Paramètres!$A$1:$I$89,3,0)*0.475*44/12</f>
        <v>0.12373728216904878</v>
      </c>
      <c r="EC185" s="21">
        <f>EXP(-LN(2)/2)*EC184+(1-EXP(-LN(2)/2))/(LN(2)/2)*DW185*DZ185*VLOOKUP('Données projet'!$B$14,Paramètres!$A$1:$I$89,3,0)*0.475*44/12</f>
        <v>1.7299562152944738E-22</v>
      </c>
      <c r="ED185" s="22">
        <f t="shared" si="178"/>
        <v>0.19499706735102143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-3.0859155231155454E-13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469.68830256438338</v>
      </c>
      <c r="T186" s="59">
        <f t="shared" si="142"/>
        <v>332.61387922152159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0.11636571999608183</v>
      </c>
      <c r="AA186" s="21">
        <f>EXP(-LN(2)/25)*AA185+(1-EXP(-LN(2)/25))/(LN(2)/25)*Calculateur!V186*Calculateur!X186*VLOOKUP('Données projet'!$B$9,Paramètres!$A$1:$I$89,3,0)*0.475*44/12</f>
        <v>0.162223596193628</v>
      </c>
      <c r="AB186" s="21">
        <f>EXP(-LN(2)/2)*AB185+(1-EXP(-LN(2)/2))/(LN(2)/2)*V186*Y186*VLOOKUP('Données projet'!$B$9,Paramètres!$A$1:$I$89,3,0)*0.475*44/12</f>
        <v>2.0170647816954009E-22</v>
      </c>
      <c r="AC186" s="22">
        <f t="shared" si="163"/>
        <v>0.27858931618970983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-3.6711753637064249E-13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550.66682372933292</v>
      </c>
      <c r="AO186" s="59">
        <f t="shared" si="144"/>
        <v>387.28615589698444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0.13843508068499399</v>
      </c>
      <c r="AV186" s="21">
        <f>EXP(-LN(2)/25)*AV185+(1-EXP(-LN(2)/25))/(LN(2)/25)*Calculateur!AQ186*Calculateur!AS186*VLOOKUP('Données projet'!$B$10,Paramètres!$A$1:$I$89,3,0)*0.475*44/12</f>
        <v>0.19299014029931627</v>
      </c>
      <c r="AW186" s="21">
        <f>EXP(-LN(2)/2)*AW185+(1-EXP(-LN(2)/2))/(LN(2)/2)*AQ186*AT186*VLOOKUP('Données projet'!$B$10,Paramètres!$A$1:$I$89,3,0)*0.475*44/12</f>
        <v>2.3996115506376212E-22</v>
      </c>
      <c r="AX186" s="21">
        <f t="shared" si="166"/>
        <v>0.33142522098431026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1.3301360013429075E-13</v>
      </c>
      <c r="BF186" s="13">
        <f t="shared" si="167"/>
        <v>1.9329766731057041E-12</v>
      </c>
      <c r="BG186" s="20">
        <f t="shared" si="168"/>
        <v>3.5982663925596575E-12</v>
      </c>
      <c r="BH186" s="59">
        <f t="shared" si="116"/>
        <v>293.3333333333369</v>
      </c>
      <c r="BI186" s="59">
        <f ca="1">AVERAGE(OFFSET($BH$3,0,0,'Données projet'!$E$11+1,1))-AVERAGE(OFFSET($H$3,0,0,'Données projet'!$E$11+1,1))</f>
        <v>376.33792692771908</v>
      </c>
      <c r="BJ186" s="59">
        <f t="shared" si="146"/>
        <v>367.92889258044698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6.9862424258731404E-2</v>
      </c>
      <c r="BQ186" s="21">
        <f>EXP(-LN(2)/25)*BQ185+(1-EXP(-LN(2)/25))/(LN(2)/25)*Calculateur!BL186*Calculateur!BN186*VLOOKUP('Données projet'!$B$11,Paramètres!$A$1:$I$89,3,0)*0.475*44/12</f>
        <v>0.12035367968107527</v>
      </c>
      <c r="BR186" s="21">
        <f>EXP(-LN(2)/2)*BR185+(1-EXP(-LN(2)/2))/(LN(2)/2)*BL186*BO186*VLOOKUP('Données projet'!$B$11,Paramètres!$A$1:$I$89,3,0)*0.475*44/12</f>
        <v>1.2232637709905374E-22</v>
      </c>
      <c r="BS186" s="22">
        <f t="shared" si="169"/>
        <v>0.19021610393980667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-1.0286385077051818E-13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388.50131600273431</v>
      </c>
      <c r="CE186" s="59">
        <f t="shared" si="148"/>
        <v>247.01165577562955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4.4656967967650223E-2</v>
      </c>
      <c r="CM186" s="21">
        <f>EXP(-LN(2)/2)*CM185+(1-EXP(-LN(2)/2))/(LN(2)/2)*CG186*CJ186*VLOOKUP('Données projet'!$B$12,Paramètres!$A$1:$I$89,3,0)*0.475*44/12</f>
        <v>5.7922890129141075E-23</v>
      </c>
      <c r="CN186" s="22">
        <f t="shared" si="172"/>
        <v>4.4656967967650223E-2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-1.223725121235475E-13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454.43000549907373</v>
      </c>
      <c r="CZ186" s="59">
        <f t="shared" si="150"/>
        <v>285.83623046025156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5.312639292703214E-2</v>
      </c>
      <c r="DH186" s="21">
        <f>EXP(-LN(2)/2)*DH185+(1-EXP(-LN(2)/2))/(LN(2)/2)*DB186*DE186*VLOOKUP('Données projet'!$B$13,Paramètres!$A$1:$I$89,3,0)*0.475*44/12</f>
        <v>6.890826584328864E-23</v>
      </c>
      <c r="DI186" s="22">
        <f t="shared" si="175"/>
        <v>5.312639292703214E-2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1.7053025658242404E-13</v>
      </c>
      <c r="DP186" s="17">
        <f>DO186*VLOOKUP('Données projet'!$B$14,Paramètres!$A$1:$I$89,3,0)*VLOOKUP('Données projet'!$B$14,Paramètres!$A$1:$I$89,5,0)</f>
        <v>1.3301360013429075E-13</v>
      </c>
      <c r="DQ186" s="13">
        <f t="shared" si="176"/>
        <v>1.9329766731057041E-12</v>
      </c>
      <c r="DR186" s="20">
        <f t="shared" si="177"/>
        <v>3.5982663925596575E-12</v>
      </c>
      <c r="DS186" s="59">
        <f t="shared" si="125"/>
        <v>293.3333333333369</v>
      </c>
      <c r="DT186" s="59">
        <f ca="1">AVERAGE(OFFSET($DS$3,0,0,'Données projet'!$E$14+1,1))-AVERAGE(OFFSET($H$3,0,0,'Données projet'!$E$14+1,1))</f>
        <v>376.33792692771908</v>
      </c>
      <c r="DU186" s="59">
        <f t="shared" si="152"/>
        <v>367.92889258044698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6.9862424258731404E-2</v>
      </c>
      <c r="EB186" s="21">
        <f>EXP(-LN(2)/25)*EB185+(1-EXP(-LN(2)/25))/(LN(2)/25)*Calculateur!DW186*Calculateur!DY186*VLOOKUP('Données projet'!$B$14,Paramètres!$A$1:$I$89,3,0)*0.475*44/12</f>
        <v>0.12035367968107527</v>
      </c>
      <c r="EC186" s="21">
        <f>EXP(-LN(2)/2)*EC185+(1-EXP(-LN(2)/2))/(LN(2)/2)*DW186*DZ186*VLOOKUP('Données projet'!$B$14,Paramètres!$A$1:$I$89,3,0)*0.475*44/12</f>
        <v>1.2232637709905374E-22</v>
      </c>
      <c r="ED186" s="22">
        <f t="shared" si="178"/>
        <v>0.19021610393980667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-3.0859155231155454E-13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469.68830256438338</v>
      </c>
      <c r="T187" s="59">
        <f t="shared" si="142"/>
        <v>332.61387922152159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0.11408385920303957</v>
      </c>
      <c r="AA187" s="21">
        <f>EXP(-LN(2)/25)*AA186+(1-EXP(-LN(2)/25))/(LN(2)/25)*Calculateur!V187*Calculateur!X187*VLOOKUP('Données projet'!$B$9,Paramètres!$A$1:$I$89,3,0)*0.475*44/12</f>
        <v>0.15778758342474508</v>
      </c>
      <c r="AB187" s="21">
        <f>EXP(-LN(2)/2)*AB186+(1-EXP(-LN(2)/2))/(LN(2)/2)*V187*Y187*VLOOKUP('Données projet'!$B$9,Paramètres!$A$1:$I$89,3,0)*0.475*44/12</f>
        <v>1.4262801852293811E-22</v>
      </c>
      <c r="AC187" s="22">
        <f t="shared" si="163"/>
        <v>0.27187144262778462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-3.6711753637064249E-13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550.66682372933292</v>
      </c>
      <c r="AO187" s="59">
        <f t="shared" si="144"/>
        <v>387.28615589698444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0.13572045318982301</v>
      </c>
      <c r="AV187" s="21">
        <f>EXP(-LN(2)/25)*AV186+(1-EXP(-LN(2)/25))/(LN(2)/25)*Calculateur!AQ187*Calculateur!AS187*VLOOKUP('Données projet'!$B$10,Paramètres!$A$1:$I$89,3,0)*0.475*44/12</f>
        <v>0.18771281476392107</v>
      </c>
      <c r="AW187" s="21">
        <f>EXP(-LN(2)/2)*AW186+(1-EXP(-LN(2)/2))/(LN(2)/2)*AQ187*AT187*VLOOKUP('Données projet'!$B$10,Paramètres!$A$1:$I$89,3,0)*0.475*44/12</f>
        <v>1.6967815996694284E-22</v>
      </c>
      <c r="AX187" s="21">
        <f t="shared" si="166"/>
        <v>0.32343326795374405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1.3301360013429075E-13</v>
      </c>
      <c r="BF187" s="13">
        <f t="shared" si="167"/>
        <v>1.9329766731057041E-12</v>
      </c>
      <c r="BG187" s="20">
        <f t="shared" si="168"/>
        <v>3.5982663925596575E-12</v>
      </c>
      <c r="BH187" s="59">
        <f t="shared" si="116"/>
        <v>293.3333333333369</v>
      </c>
      <c r="BI187" s="59">
        <f ca="1">AVERAGE(OFFSET($BH$3,0,0,'Données projet'!$E$11+1,1))-AVERAGE(OFFSET($H$3,0,0,'Données projet'!$E$11+1,1))</f>
        <v>376.33792692771908</v>
      </c>
      <c r="BJ187" s="59">
        <f t="shared" si="146"/>
        <v>367.92889258044698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6.8492464730888908E-2</v>
      </c>
      <c r="BQ187" s="21">
        <f>EXP(-LN(2)/25)*BQ186+(1-EXP(-LN(2)/25))/(LN(2)/25)*Calculateur!BL187*Calculateur!BN187*VLOOKUP('Données projet'!$B$11,Paramètres!$A$1:$I$89,3,0)*0.475*44/12</f>
        <v>0.11706260198107132</v>
      </c>
      <c r="BR187" s="21">
        <f>EXP(-LN(2)/2)*BR186+(1-EXP(-LN(2)/2))/(LN(2)/2)*BL187*BO187*VLOOKUP('Données projet'!$B$11,Paramètres!$A$1:$I$89,3,0)*0.475*44/12</f>
        <v>8.6497810764723691E-23</v>
      </c>
      <c r="BS187" s="22">
        <f t="shared" si="169"/>
        <v>0.18555506671196023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-1.0286385077051818E-13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388.50131600273431</v>
      </c>
      <c r="CE187" s="59">
        <f t="shared" si="148"/>
        <v>247.01165577562955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4.3435820830166949E-2</v>
      </c>
      <c r="CM187" s="21">
        <f>EXP(-LN(2)/2)*CM186+(1-EXP(-LN(2)/2))/(LN(2)/2)*CG187*CJ187*VLOOKUP('Données projet'!$B$12,Paramètres!$A$1:$I$89,3,0)*0.475*44/12</f>
        <v>4.0957668396238992E-23</v>
      </c>
      <c r="CN187" s="22">
        <f t="shared" si="172"/>
        <v>4.3435820830166949E-2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-1.223725121235475E-13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454.43000549907373</v>
      </c>
      <c r="CZ187" s="59">
        <f t="shared" si="150"/>
        <v>285.83623046025156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5.1673648918646863E-2</v>
      </c>
      <c r="DH187" s="21">
        <f>EXP(-LN(2)/2)*DH186+(1-EXP(-LN(2)/2))/(LN(2)/2)*DB187*DE187*VLOOKUP('Données projet'!$B$13,Paramètres!$A$1:$I$89,3,0)*0.475*44/12</f>
        <v>4.8725502057594748E-23</v>
      </c>
      <c r="DI187" s="22">
        <f t="shared" si="175"/>
        <v>5.1673648918646863E-2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1.7053025658242404E-13</v>
      </c>
      <c r="DP187" s="17">
        <f>DO187*VLOOKUP('Données projet'!$B$14,Paramètres!$A$1:$I$89,3,0)*VLOOKUP('Données projet'!$B$14,Paramètres!$A$1:$I$89,5,0)</f>
        <v>1.3301360013429075E-13</v>
      </c>
      <c r="DQ187" s="13">
        <f t="shared" si="176"/>
        <v>1.9329766731057041E-12</v>
      </c>
      <c r="DR187" s="20">
        <f t="shared" si="177"/>
        <v>3.5982663925596575E-12</v>
      </c>
      <c r="DS187" s="59">
        <f t="shared" si="125"/>
        <v>293.3333333333369</v>
      </c>
      <c r="DT187" s="59">
        <f ca="1">AVERAGE(OFFSET($DS$3,0,0,'Données projet'!$E$14+1,1))-AVERAGE(OFFSET($H$3,0,0,'Données projet'!$E$14+1,1))</f>
        <v>376.33792692771908</v>
      </c>
      <c r="DU187" s="59">
        <f t="shared" si="152"/>
        <v>367.92889258044698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6.8492464730888908E-2</v>
      </c>
      <c r="EB187" s="21">
        <f>EXP(-LN(2)/25)*EB186+(1-EXP(-LN(2)/25))/(LN(2)/25)*Calculateur!DW187*Calculateur!DY187*VLOOKUP('Données projet'!$B$14,Paramètres!$A$1:$I$89,3,0)*0.475*44/12</f>
        <v>0.11706260198107132</v>
      </c>
      <c r="EC187" s="21">
        <f>EXP(-LN(2)/2)*EC186+(1-EXP(-LN(2)/2))/(LN(2)/2)*DW187*DZ187*VLOOKUP('Données projet'!$B$14,Paramètres!$A$1:$I$89,3,0)*0.475*44/12</f>
        <v>8.6497810764723691E-23</v>
      </c>
      <c r="ED187" s="22">
        <f t="shared" si="178"/>
        <v>0.18555506671196023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-3.0859155231155454E-13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469.68830256438338</v>
      </c>
      <c r="T188" s="59">
        <f t="shared" si="142"/>
        <v>332.61387922152159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0.1118467443083512</v>
      </c>
      <c r="AA188" s="21">
        <f>EXP(-LN(2)/25)*AA187+(1-EXP(-LN(2)/25))/(LN(2)/25)*Calculateur!V188*Calculateur!X188*VLOOKUP('Données projet'!$B$9,Paramètres!$A$1:$I$89,3,0)*0.475*44/12</f>
        <v>0.15347287365830703</v>
      </c>
      <c r="AB188" s="21">
        <f>EXP(-LN(2)/2)*AB187+(1-EXP(-LN(2)/2))/(LN(2)/2)*V188*Y188*VLOOKUP('Données projet'!$B$9,Paramètres!$A$1:$I$89,3,0)*0.475*44/12</f>
        <v>1.0085323908477004E-22</v>
      </c>
      <c r="AC188" s="22">
        <f t="shared" si="163"/>
        <v>0.26531961796665826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-3.6711753637064249E-13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550.66682372933292</v>
      </c>
      <c r="AO188" s="59">
        <f t="shared" si="144"/>
        <v>387.28615589698444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0.13305905788407305</v>
      </c>
      <c r="AV188" s="21">
        <f>EXP(-LN(2)/25)*AV187+(1-EXP(-LN(2)/25))/(LN(2)/25)*Calculateur!AQ188*Calculateur!AS188*VLOOKUP('Données projet'!$B$10,Paramètres!$A$1:$I$89,3,0)*0.475*44/12</f>
        <v>0.18257979797281373</v>
      </c>
      <c r="AW188" s="21">
        <f>EXP(-LN(2)/2)*AW187+(1-EXP(-LN(2)/2))/(LN(2)/2)*AQ188*AT188*VLOOKUP('Données projet'!$B$10,Paramètres!$A$1:$I$89,3,0)*0.475*44/12</f>
        <v>1.1998057753188106E-22</v>
      </c>
      <c r="AX188" s="21">
        <f t="shared" si="166"/>
        <v>0.31563885585688678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1.3301360013429075E-13</v>
      </c>
      <c r="BF188" s="13">
        <f t="shared" si="167"/>
        <v>1.9329766731057041E-12</v>
      </c>
      <c r="BG188" s="20">
        <f t="shared" si="168"/>
        <v>3.5982663925596575E-12</v>
      </c>
      <c r="BH188" s="59">
        <f t="shared" si="116"/>
        <v>293.3333333333369</v>
      </c>
      <c r="BI188" s="59">
        <f ca="1">AVERAGE(OFFSET($BH$3,0,0,'Données projet'!$E$11+1,1))-AVERAGE(OFFSET($H$3,0,0,'Données projet'!$E$11+1,1))</f>
        <v>376.33792692771908</v>
      </c>
      <c r="BJ188" s="59">
        <f t="shared" si="146"/>
        <v>367.92889258044698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6.7149369273794599E-2</v>
      </c>
      <c r="BQ188" s="21">
        <f>EXP(-LN(2)/25)*BQ187+(1-EXP(-LN(2)/25))/(LN(2)/25)*Calculateur!BL188*Calculateur!BN188*VLOOKUP('Données projet'!$B$11,Paramètres!$A$1:$I$89,3,0)*0.475*44/12</f>
        <v>0.11386151897384424</v>
      </c>
      <c r="BR188" s="21">
        <f>EXP(-LN(2)/2)*BR187+(1-EXP(-LN(2)/2))/(LN(2)/2)*BL188*BO188*VLOOKUP('Données projet'!$B$11,Paramètres!$A$1:$I$89,3,0)*0.475*44/12</f>
        <v>6.1163188549526869E-23</v>
      </c>
      <c r="BS188" s="22">
        <f t="shared" si="169"/>
        <v>0.18101088824763883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-1.0286385077051818E-13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388.50131600273431</v>
      </c>
      <c r="CE188" s="59">
        <f t="shared" si="148"/>
        <v>247.01165577562955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4.2248066025375487E-2</v>
      </c>
      <c r="CM188" s="21">
        <f>EXP(-LN(2)/2)*CM187+(1-EXP(-LN(2)/2))/(LN(2)/2)*CG188*CJ188*VLOOKUP('Données projet'!$B$12,Paramètres!$A$1:$I$89,3,0)*0.475*44/12</f>
        <v>2.8961445064570538E-23</v>
      </c>
      <c r="CN188" s="22">
        <f t="shared" si="172"/>
        <v>4.2248066025375487E-2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-1.223725121235475E-13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454.43000549907373</v>
      </c>
      <c r="CZ188" s="59">
        <f t="shared" si="150"/>
        <v>285.83623046025156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5.0260630271567366E-2</v>
      </c>
      <c r="DH188" s="21">
        <f>EXP(-LN(2)/2)*DH187+(1-EXP(-LN(2)/2))/(LN(2)/2)*DB188*DE188*VLOOKUP('Données projet'!$B$13,Paramètres!$A$1:$I$89,3,0)*0.475*44/12</f>
        <v>3.445413292164432E-23</v>
      </c>
      <c r="DI188" s="22">
        <f t="shared" si="175"/>
        <v>5.0260630271567366E-2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1.7053025658242404E-13</v>
      </c>
      <c r="DP188" s="17">
        <f>DO188*VLOOKUP('Données projet'!$B$14,Paramètres!$A$1:$I$89,3,0)*VLOOKUP('Données projet'!$B$14,Paramètres!$A$1:$I$89,5,0)</f>
        <v>1.3301360013429075E-13</v>
      </c>
      <c r="DQ188" s="13">
        <f t="shared" si="176"/>
        <v>1.9329766731057041E-12</v>
      </c>
      <c r="DR188" s="20">
        <f t="shared" si="177"/>
        <v>3.5982663925596575E-12</v>
      </c>
      <c r="DS188" s="59">
        <f t="shared" si="125"/>
        <v>293.3333333333369</v>
      </c>
      <c r="DT188" s="59">
        <f ca="1">AVERAGE(OFFSET($DS$3,0,0,'Données projet'!$E$14+1,1))-AVERAGE(OFFSET($H$3,0,0,'Données projet'!$E$14+1,1))</f>
        <v>376.33792692771908</v>
      </c>
      <c r="DU188" s="59">
        <f t="shared" si="152"/>
        <v>367.92889258044698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6.7149369273794599E-2</v>
      </c>
      <c r="EB188" s="21">
        <f>EXP(-LN(2)/25)*EB187+(1-EXP(-LN(2)/25))/(LN(2)/25)*Calculateur!DW188*Calculateur!DY188*VLOOKUP('Données projet'!$B$14,Paramètres!$A$1:$I$89,3,0)*0.475*44/12</f>
        <v>0.11386151897384424</v>
      </c>
      <c r="EC188" s="21">
        <f>EXP(-LN(2)/2)*EC187+(1-EXP(-LN(2)/2))/(LN(2)/2)*DW188*DZ188*VLOOKUP('Données projet'!$B$14,Paramètres!$A$1:$I$89,3,0)*0.475*44/12</f>
        <v>6.1163188549526869E-23</v>
      </c>
      <c r="ED188" s="22">
        <f t="shared" si="178"/>
        <v>0.18101088824763883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-3.0859155231155454E-13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469.68830256438338</v>
      </c>
      <c r="T189" s="59">
        <f t="shared" si="142"/>
        <v>332.61387922152159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0.10965349787224232</v>
      </c>
      <c r="AA189" s="21">
        <f>EXP(-LN(2)/25)*AA188+(1-EXP(-LN(2)/25))/(LN(2)/25)*Calculateur!V189*Calculateur!X189*VLOOKUP('Données projet'!$B$9,Paramètres!$A$1:$I$89,3,0)*0.475*44/12</f>
        <v>0.14927614985733295</v>
      </c>
      <c r="AB189" s="21">
        <f>EXP(-LN(2)/2)*AB188+(1-EXP(-LN(2)/2))/(LN(2)/2)*V189*Y189*VLOOKUP('Données projet'!$B$9,Paramètres!$A$1:$I$89,3,0)*0.475*44/12</f>
        <v>7.1314009261469053E-23</v>
      </c>
      <c r="AC189" s="22">
        <f t="shared" si="163"/>
        <v>0.25892964772957527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-3.6711753637064249E-13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550.66682372933292</v>
      </c>
      <c r="AO189" s="59">
        <f t="shared" si="144"/>
        <v>387.28615589698444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0.130449850916978</v>
      </c>
      <c r="AV189" s="21">
        <f>EXP(-LN(2)/25)*AV188+(1-EXP(-LN(2)/25))/(LN(2)/25)*Calculateur!AQ189*Calculateur!AS189*VLOOKUP('Données projet'!$B$10,Paramètres!$A$1:$I$89,3,0)*0.475*44/12</f>
        <v>0.17758714379579285</v>
      </c>
      <c r="AW189" s="21">
        <f>EXP(-LN(2)/2)*AW188+(1-EXP(-LN(2)/2))/(LN(2)/2)*AQ189*AT189*VLOOKUP('Données projet'!$B$10,Paramètres!$A$1:$I$89,3,0)*0.475*44/12</f>
        <v>8.4839079983471421E-23</v>
      </c>
      <c r="AX189" s="21">
        <f t="shared" si="166"/>
        <v>0.30803699471277085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1.3301360013429075E-13</v>
      </c>
      <c r="BF189" s="13">
        <f t="shared" si="167"/>
        <v>1.9329766731057041E-12</v>
      </c>
      <c r="BG189" s="20">
        <f t="shared" si="168"/>
        <v>3.5982663925596575E-12</v>
      </c>
      <c r="BH189" s="59">
        <f t="shared" si="116"/>
        <v>293.3333333333369</v>
      </c>
      <c r="BI189" s="59">
        <f ca="1">AVERAGE(OFFSET($BH$3,0,0,'Données projet'!$E$11+1,1))-AVERAGE(OFFSET($H$3,0,0,'Données projet'!$E$11+1,1))</f>
        <v>376.33792692771908</v>
      </c>
      <c r="BJ189" s="59">
        <f t="shared" si="146"/>
        <v>367.92889258044698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6.5832611099406566E-2</v>
      </c>
      <c r="BQ189" s="21">
        <f>EXP(-LN(2)/25)*BQ188+(1-EXP(-LN(2)/25))/(LN(2)/25)*Calculateur!BL189*Calculateur!BN189*VLOOKUP('Données projet'!$B$11,Paramètres!$A$1:$I$89,3,0)*0.475*44/12</f>
        <v>0.11074796974978741</v>
      </c>
      <c r="BR189" s="21">
        <f>EXP(-LN(2)/2)*BR188+(1-EXP(-LN(2)/2))/(LN(2)/2)*BL189*BO189*VLOOKUP('Données projet'!$B$11,Paramètres!$A$1:$I$89,3,0)*0.475*44/12</f>
        <v>4.3248905382361846E-23</v>
      </c>
      <c r="BS189" s="22">
        <f t="shared" si="169"/>
        <v>0.17658058084919398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-1.0286385077051818E-13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388.50131600273431</v>
      </c>
      <c r="CE189" s="59">
        <f t="shared" si="148"/>
        <v>247.01165577562955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4.1092790438182362E-2</v>
      </c>
      <c r="CM189" s="21">
        <f>EXP(-LN(2)/2)*CM188+(1-EXP(-LN(2)/2))/(LN(2)/2)*CG189*CJ189*VLOOKUP('Données projet'!$B$12,Paramètres!$A$1:$I$89,3,0)*0.475*44/12</f>
        <v>2.0478834198119496E-23</v>
      </c>
      <c r="CN189" s="22">
        <f t="shared" si="172"/>
        <v>4.1092790438182362E-2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-1.223725121235475E-13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454.43000549907373</v>
      </c>
      <c r="CZ189" s="59">
        <f t="shared" si="150"/>
        <v>285.83623046025156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4.888625069369968E-2</v>
      </c>
      <c r="DH189" s="21">
        <f>EXP(-LN(2)/2)*DH188+(1-EXP(-LN(2)/2))/(LN(2)/2)*DB189*DE189*VLOOKUP('Données projet'!$B$13,Paramètres!$A$1:$I$89,3,0)*0.475*44/12</f>
        <v>2.4362751028797374E-23</v>
      </c>
      <c r="DI189" s="22">
        <f t="shared" si="175"/>
        <v>4.888625069369968E-2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1.7053025658242404E-13</v>
      </c>
      <c r="DP189" s="17">
        <f>DO189*VLOOKUP('Données projet'!$B$14,Paramètres!$A$1:$I$89,3,0)*VLOOKUP('Données projet'!$B$14,Paramètres!$A$1:$I$89,5,0)</f>
        <v>1.3301360013429075E-13</v>
      </c>
      <c r="DQ189" s="13">
        <f t="shared" si="176"/>
        <v>1.9329766731057041E-12</v>
      </c>
      <c r="DR189" s="20">
        <f t="shared" si="177"/>
        <v>3.5982663925596575E-12</v>
      </c>
      <c r="DS189" s="59">
        <f t="shared" si="125"/>
        <v>293.3333333333369</v>
      </c>
      <c r="DT189" s="59">
        <f ca="1">AVERAGE(OFFSET($DS$3,0,0,'Données projet'!$E$14+1,1))-AVERAGE(OFFSET($H$3,0,0,'Données projet'!$E$14+1,1))</f>
        <v>376.33792692771908</v>
      </c>
      <c r="DU189" s="59">
        <f t="shared" si="152"/>
        <v>367.92889258044698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6.5832611099406566E-2</v>
      </c>
      <c r="EB189" s="21">
        <f>EXP(-LN(2)/25)*EB188+(1-EXP(-LN(2)/25))/(LN(2)/25)*Calculateur!DW189*Calculateur!DY189*VLOOKUP('Données projet'!$B$14,Paramètres!$A$1:$I$89,3,0)*0.475*44/12</f>
        <v>0.11074796974978741</v>
      </c>
      <c r="EC189" s="21">
        <f>EXP(-LN(2)/2)*EC188+(1-EXP(-LN(2)/2))/(LN(2)/2)*DW189*DZ189*VLOOKUP('Données projet'!$B$14,Paramètres!$A$1:$I$89,3,0)*0.475*44/12</f>
        <v>4.3248905382361846E-23</v>
      </c>
      <c r="ED189" s="22">
        <f t="shared" si="178"/>
        <v>0.17658058084919398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-3.0859155231155454E-13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469.68830256438338</v>
      </c>
      <c r="T190" s="59">
        <f t="shared" si="142"/>
        <v>332.61387922152159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0.1075032596609973</v>
      </c>
      <c r="AA190" s="21">
        <f>EXP(-LN(2)/25)*AA189+(1-EXP(-LN(2)/25))/(LN(2)/25)*Calculateur!V190*Calculateur!X190*VLOOKUP('Données projet'!$B$9,Paramètres!$A$1:$I$89,3,0)*0.475*44/12</f>
        <v>0.14519418568939263</v>
      </c>
      <c r="AB190" s="21">
        <f>EXP(-LN(2)/2)*AB189+(1-EXP(-LN(2)/2))/(LN(2)/2)*V190*Y190*VLOOKUP('Données projet'!$B$9,Paramètres!$A$1:$I$89,3,0)*0.475*44/12</f>
        <v>5.0426619542385022E-23</v>
      </c>
      <c r="AC190" s="22">
        <f t="shared" si="163"/>
        <v>0.25269744535038996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-3.6711753637064249E-13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550.66682372933292</v>
      </c>
      <c r="AO190" s="59">
        <f t="shared" si="144"/>
        <v>387.28615589698444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0.12789180890704857</v>
      </c>
      <c r="AV190" s="21">
        <f>EXP(-LN(2)/25)*AV189+(1-EXP(-LN(2)/25))/(LN(2)/25)*Calculateur!AQ190*Calculateur!AS190*VLOOKUP('Données projet'!$B$10,Paramètres!$A$1:$I$89,3,0)*0.475*44/12</f>
        <v>0.17273101400979488</v>
      </c>
      <c r="AW190" s="21">
        <f>EXP(-LN(2)/2)*AW189+(1-EXP(-LN(2)/2))/(LN(2)/2)*AQ190*AT190*VLOOKUP('Données projet'!$B$10,Paramètres!$A$1:$I$89,3,0)*0.475*44/12</f>
        <v>5.999028876594053E-23</v>
      </c>
      <c r="AX190" s="21">
        <f t="shared" si="166"/>
        <v>0.30062282291684345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1.3301360013429075E-13</v>
      </c>
      <c r="BF190" s="13">
        <f t="shared" si="167"/>
        <v>1.9329766731057041E-12</v>
      </c>
      <c r="BG190" s="20">
        <f t="shared" si="168"/>
        <v>3.5982663925596575E-12</v>
      </c>
      <c r="BH190" s="59">
        <f t="shared" si="116"/>
        <v>293.3333333333369</v>
      </c>
      <c r="BI190" s="59">
        <f ca="1">AVERAGE(OFFSET($BH$3,0,0,'Données projet'!$E$11+1,1))-AVERAGE(OFFSET($H$3,0,0,'Données projet'!$E$11+1,1))</f>
        <v>376.33792692771908</v>
      </c>
      <c r="BJ190" s="59">
        <f t="shared" si="146"/>
        <v>367.92889258044698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6.4541673749675108E-2</v>
      </c>
      <c r="BQ190" s="21">
        <f>EXP(-LN(2)/25)*BQ189+(1-EXP(-LN(2)/25))/(LN(2)/25)*Calculateur!BL190*Calculateur!BN190*VLOOKUP('Données projet'!$B$11,Paramètres!$A$1:$I$89,3,0)*0.475*44/12</f>
        <v>0.10771956069299686</v>
      </c>
      <c r="BR190" s="21">
        <f>EXP(-LN(2)/2)*BR189+(1-EXP(-LN(2)/2))/(LN(2)/2)*BL190*BO190*VLOOKUP('Données projet'!$B$11,Paramètres!$A$1:$I$89,3,0)*0.475*44/12</f>
        <v>3.0581594274763434E-23</v>
      </c>
      <c r="BS190" s="22">
        <f t="shared" si="169"/>
        <v>0.17226123444267197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-1.0286385077051818E-13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388.50131600273431</v>
      </c>
      <c r="CE190" s="59">
        <f t="shared" si="148"/>
        <v>247.01165577562955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3.9969105922674338E-2</v>
      </c>
      <c r="CM190" s="21">
        <f>EXP(-LN(2)/2)*CM189+(1-EXP(-LN(2)/2))/(LN(2)/2)*CG190*CJ190*VLOOKUP('Données projet'!$B$12,Paramètres!$A$1:$I$89,3,0)*0.475*44/12</f>
        <v>1.4480722532285269E-23</v>
      </c>
      <c r="CN190" s="22">
        <f t="shared" si="172"/>
        <v>3.9969105922674338E-2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-1.223725121235475E-13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454.43000549907373</v>
      </c>
      <c r="CZ190" s="59">
        <f t="shared" si="150"/>
        <v>285.83623046025156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4.7549453597664271E-2</v>
      </c>
      <c r="DH190" s="21">
        <f>EXP(-LN(2)/2)*DH189+(1-EXP(-LN(2)/2))/(LN(2)/2)*DB190*DE190*VLOOKUP('Données projet'!$B$13,Paramètres!$A$1:$I$89,3,0)*0.475*44/12</f>
        <v>1.722706646082216E-23</v>
      </c>
      <c r="DI190" s="22">
        <f t="shared" si="175"/>
        <v>4.7549453597664271E-2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1.7053025658242404E-13</v>
      </c>
      <c r="DP190" s="17">
        <f>DO190*VLOOKUP('Données projet'!$B$14,Paramètres!$A$1:$I$89,3,0)*VLOOKUP('Données projet'!$B$14,Paramètres!$A$1:$I$89,5,0)</f>
        <v>1.3301360013429075E-13</v>
      </c>
      <c r="DQ190" s="13">
        <f t="shared" si="176"/>
        <v>1.9329766731057041E-12</v>
      </c>
      <c r="DR190" s="20">
        <f t="shared" si="177"/>
        <v>3.5982663925596575E-12</v>
      </c>
      <c r="DS190" s="59">
        <f t="shared" si="125"/>
        <v>293.3333333333369</v>
      </c>
      <c r="DT190" s="59">
        <f ca="1">AVERAGE(OFFSET($DS$3,0,0,'Données projet'!$E$14+1,1))-AVERAGE(OFFSET($H$3,0,0,'Données projet'!$E$14+1,1))</f>
        <v>376.33792692771908</v>
      </c>
      <c r="DU190" s="59">
        <f t="shared" si="152"/>
        <v>367.92889258044698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6.4541673749675108E-2</v>
      </c>
      <c r="EB190" s="21">
        <f>EXP(-LN(2)/25)*EB189+(1-EXP(-LN(2)/25))/(LN(2)/25)*Calculateur!DW190*Calculateur!DY190*VLOOKUP('Données projet'!$B$14,Paramètres!$A$1:$I$89,3,0)*0.475*44/12</f>
        <v>0.10771956069299686</v>
      </c>
      <c r="EC190" s="21">
        <f>EXP(-LN(2)/2)*EC189+(1-EXP(-LN(2)/2))/(LN(2)/2)*DW190*DZ190*VLOOKUP('Données projet'!$B$14,Paramètres!$A$1:$I$89,3,0)*0.475*44/12</f>
        <v>3.0581594274763434E-23</v>
      </c>
      <c r="ED190" s="22">
        <f t="shared" si="178"/>
        <v>0.17226123444267197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-3.0859155231155454E-13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469.68830256438338</v>
      </c>
      <c r="T191" s="59">
        <f t="shared" si="142"/>
        <v>332.61387922152159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0.10539518630955899</v>
      </c>
      <c r="AA191" s="21">
        <f>EXP(-LN(2)/25)*AA190+(1-EXP(-LN(2)/25))/(LN(2)/25)*Calculateur!V191*Calculateur!X191*VLOOKUP('Données projet'!$B$9,Paramètres!$A$1:$I$89,3,0)*0.475*44/12</f>
        <v>0.1412238430462858</v>
      </c>
      <c r="AB191" s="21">
        <f>EXP(-LN(2)/2)*AB190+(1-EXP(-LN(2)/2))/(LN(2)/2)*V191*Y191*VLOOKUP('Données projet'!$B$9,Paramètres!$A$1:$I$89,3,0)*0.475*44/12</f>
        <v>3.5657004630734526E-23</v>
      </c>
      <c r="AC191" s="22">
        <f t="shared" si="163"/>
        <v>0.24661902935584479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-3.6711753637064249E-13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550.66682372933292</v>
      </c>
      <c r="AO191" s="59">
        <f t="shared" si="144"/>
        <v>387.28615589698444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0.12538392854068231</v>
      </c>
      <c r="AV191" s="21">
        <f>EXP(-LN(2)/25)*AV190+(1-EXP(-LN(2)/25))/(LN(2)/25)*Calculateur!AQ191*Calculateur!AS191*VLOOKUP('Données projet'!$B$10,Paramètres!$A$1:$I$89,3,0)*0.475*44/12</f>
        <v>0.1680076753481678</v>
      </c>
      <c r="AW191" s="21">
        <f>EXP(-LN(2)/2)*AW190+(1-EXP(-LN(2)/2))/(LN(2)/2)*AQ191*AT191*VLOOKUP('Données projet'!$B$10,Paramètres!$A$1:$I$89,3,0)*0.475*44/12</f>
        <v>4.2419539991735711E-23</v>
      </c>
      <c r="AX191" s="21">
        <f t="shared" si="166"/>
        <v>0.29339160388885011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1.3301360013429075E-13</v>
      </c>
      <c r="BF191" s="13">
        <f t="shared" si="167"/>
        <v>1.9329766731057041E-12</v>
      </c>
      <c r="BG191" s="20">
        <f t="shared" si="168"/>
        <v>3.5982663925596575E-12</v>
      </c>
      <c r="BH191" s="59">
        <f t="shared" si="116"/>
        <v>293.3333333333369</v>
      </c>
      <c r="BI191" s="59">
        <f ca="1">AVERAGE(OFFSET($BH$3,0,0,'Données projet'!$E$11+1,1))-AVERAGE(OFFSET($H$3,0,0,'Données projet'!$E$11+1,1))</f>
        <v>376.33792692771908</v>
      </c>
      <c r="BJ191" s="59">
        <f t="shared" si="146"/>
        <v>367.92889258044698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6.327605089397785E-2</v>
      </c>
      <c r="BQ191" s="21">
        <f>EXP(-LN(2)/25)*BQ190+(1-EXP(-LN(2)/25))/(LN(2)/25)*Calculateur!BL191*Calculateur!BN191*VLOOKUP('Données projet'!$B$11,Paramètres!$A$1:$I$89,3,0)*0.475*44/12</f>
        <v>0.10477396364112136</v>
      </c>
      <c r="BR191" s="21">
        <f>EXP(-LN(2)/2)*BR190+(1-EXP(-LN(2)/2))/(LN(2)/2)*BL191*BO191*VLOOKUP('Données projet'!$B$11,Paramètres!$A$1:$I$89,3,0)*0.475*44/12</f>
        <v>2.1624452691180923E-23</v>
      </c>
      <c r="BS191" s="22">
        <f t="shared" si="169"/>
        <v>0.16805001453509921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-1.0286385077051818E-13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388.50131600273431</v>
      </c>
      <c r="CE191" s="59">
        <f t="shared" si="148"/>
        <v>247.01165577562955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3.8876148619334881E-2</v>
      </c>
      <c r="CM191" s="21">
        <f>EXP(-LN(2)/2)*CM190+(1-EXP(-LN(2)/2))/(LN(2)/2)*CG191*CJ191*VLOOKUP('Données projet'!$B$12,Paramètres!$A$1:$I$89,3,0)*0.475*44/12</f>
        <v>1.0239417099059748E-23</v>
      </c>
      <c r="CN191" s="22">
        <f t="shared" si="172"/>
        <v>3.8876148619334881E-2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-1.223725121235475E-13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454.43000549907373</v>
      </c>
      <c r="CZ191" s="59">
        <f t="shared" si="150"/>
        <v>285.83623046025156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4.6249211288519054E-2</v>
      </c>
      <c r="DH191" s="21">
        <f>EXP(-LN(2)/2)*DH190+(1-EXP(-LN(2)/2))/(LN(2)/2)*DB191*DE191*VLOOKUP('Données projet'!$B$13,Paramètres!$A$1:$I$89,3,0)*0.475*44/12</f>
        <v>1.2181375514398687E-23</v>
      </c>
      <c r="DI191" s="22">
        <f t="shared" si="175"/>
        <v>4.6249211288519054E-2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1.7053025658242404E-13</v>
      </c>
      <c r="DP191" s="17">
        <f>DO191*VLOOKUP('Données projet'!$B$14,Paramètres!$A$1:$I$89,3,0)*VLOOKUP('Données projet'!$B$14,Paramètres!$A$1:$I$89,5,0)</f>
        <v>1.3301360013429075E-13</v>
      </c>
      <c r="DQ191" s="13">
        <f t="shared" si="176"/>
        <v>1.9329766731057041E-12</v>
      </c>
      <c r="DR191" s="20">
        <f t="shared" si="177"/>
        <v>3.5982663925596575E-12</v>
      </c>
      <c r="DS191" s="59">
        <f t="shared" si="125"/>
        <v>293.3333333333369</v>
      </c>
      <c r="DT191" s="59">
        <f ca="1">AVERAGE(OFFSET($DS$3,0,0,'Données projet'!$E$14+1,1))-AVERAGE(OFFSET($H$3,0,0,'Données projet'!$E$14+1,1))</f>
        <v>376.33792692771908</v>
      </c>
      <c r="DU191" s="59">
        <f t="shared" si="152"/>
        <v>367.92889258044698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6.327605089397785E-2</v>
      </c>
      <c r="EB191" s="21">
        <f>EXP(-LN(2)/25)*EB190+(1-EXP(-LN(2)/25))/(LN(2)/25)*Calculateur!DW191*Calculateur!DY191*VLOOKUP('Données projet'!$B$14,Paramètres!$A$1:$I$89,3,0)*0.475*44/12</f>
        <v>0.10477396364112136</v>
      </c>
      <c r="EC191" s="21">
        <f>EXP(-LN(2)/2)*EC190+(1-EXP(-LN(2)/2))/(LN(2)/2)*DW191*DZ191*VLOOKUP('Données projet'!$B$14,Paramètres!$A$1:$I$89,3,0)*0.475*44/12</f>
        <v>2.1624452691180923E-23</v>
      </c>
      <c r="ED191" s="22">
        <f t="shared" si="178"/>
        <v>0.16805001453509921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-3.0859155231155454E-13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469.68830256438338</v>
      </c>
      <c r="T192" s="59">
        <f t="shared" si="142"/>
        <v>332.61387922152159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0.1033284509907446</v>
      </c>
      <c r="AA192" s="21">
        <f>EXP(-LN(2)/25)*AA191+(1-EXP(-LN(2)/25))/(LN(2)/25)*Calculateur!V192*Calculateur!X192*VLOOKUP('Données projet'!$B$9,Paramètres!$A$1:$I$89,3,0)*0.475*44/12</f>
        <v>0.13736206963154599</v>
      </c>
      <c r="AB192" s="21">
        <f>EXP(-LN(2)/2)*AB191+(1-EXP(-LN(2)/2))/(LN(2)/2)*V192*Y192*VLOOKUP('Données projet'!$B$9,Paramètres!$A$1:$I$89,3,0)*0.475*44/12</f>
        <v>2.5213309771192511E-23</v>
      </c>
      <c r="AC192" s="22">
        <f t="shared" si="163"/>
        <v>0.24069052062229057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-3.6711753637064249E-13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550.66682372933292</v>
      </c>
      <c r="AO192" s="59">
        <f t="shared" si="144"/>
        <v>387.28615589698444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0.1229252261786445</v>
      </c>
      <c r="AV192" s="21">
        <f>EXP(-LN(2)/25)*AV191+(1-EXP(-LN(2)/25))/(LN(2)/25)*Calculateur!AQ192*Calculateur!AS192*VLOOKUP('Données projet'!$B$10,Paramètres!$A$1:$I$89,3,0)*0.475*44/12</f>
        <v>0.16341349663063248</v>
      </c>
      <c r="AW192" s="21">
        <f>EXP(-LN(2)/2)*AW191+(1-EXP(-LN(2)/2))/(LN(2)/2)*AQ192*AT192*VLOOKUP('Données projet'!$B$10,Paramètres!$A$1:$I$89,3,0)*0.475*44/12</f>
        <v>2.9995144382970265E-23</v>
      </c>
      <c r="AX192" s="21">
        <f t="shared" si="166"/>
        <v>0.28633872280927697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1.3301360013429075E-13</v>
      </c>
      <c r="BF192" s="13">
        <f t="shared" si="167"/>
        <v>1.9329766731057041E-12</v>
      </c>
      <c r="BG192" s="20">
        <f t="shared" si="168"/>
        <v>3.5982663925596575E-12</v>
      </c>
      <c r="BH192" s="59">
        <f t="shared" si="116"/>
        <v>293.3333333333369</v>
      </c>
      <c r="BI192" s="59">
        <f ca="1">AVERAGE(OFFSET($BH$3,0,0,'Données projet'!$E$11+1,1))-AVERAGE(OFFSET($H$3,0,0,'Données projet'!$E$11+1,1))</f>
        <v>376.33792692771908</v>
      </c>
      <c r="BJ192" s="59">
        <f t="shared" si="146"/>
        <v>367.92889258044698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6.2035246130527091E-2</v>
      </c>
      <c r="BQ192" s="21">
        <f>EXP(-LN(2)/25)*BQ191+(1-EXP(-LN(2)/25))/(LN(2)/25)*Calculateur!BL192*Calculateur!BN192*VLOOKUP('Données projet'!$B$11,Paramètres!$A$1:$I$89,3,0)*0.475*44/12</f>
        <v>0.10190891409553161</v>
      </c>
      <c r="BR192" s="21">
        <f>EXP(-LN(2)/2)*BR191+(1-EXP(-LN(2)/2))/(LN(2)/2)*BL192*BO192*VLOOKUP('Données projet'!$B$11,Paramètres!$A$1:$I$89,3,0)*0.475*44/12</f>
        <v>1.5290797137381717E-23</v>
      </c>
      <c r="BS192" s="22">
        <f t="shared" si="169"/>
        <v>0.1639441602260587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-1.0286385077051818E-13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388.50131600273431</v>
      </c>
      <c r="CE192" s="59">
        <f t="shared" si="148"/>
        <v>247.01165577562955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3.7813078290931362E-2</v>
      </c>
      <c r="CM192" s="21">
        <f>EXP(-LN(2)/2)*CM191+(1-EXP(-LN(2)/2))/(LN(2)/2)*CG192*CJ192*VLOOKUP('Données projet'!$B$12,Paramètres!$A$1:$I$89,3,0)*0.475*44/12</f>
        <v>7.2403612661426344E-24</v>
      </c>
      <c r="CN192" s="22">
        <f t="shared" si="172"/>
        <v>3.7813078290931362E-2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-1.223725121235475E-13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454.43000549907373</v>
      </c>
      <c r="CZ192" s="59">
        <f t="shared" si="150"/>
        <v>285.83623046025156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4.4984524173694182E-2</v>
      </c>
      <c r="DH192" s="21">
        <f>EXP(-LN(2)/2)*DH191+(1-EXP(-LN(2)/2))/(LN(2)/2)*DB192*DE192*VLOOKUP('Données projet'!$B$13,Paramètres!$A$1:$I$89,3,0)*0.475*44/12</f>
        <v>8.61353323041108E-24</v>
      </c>
      <c r="DI192" s="22">
        <f t="shared" si="175"/>
        <v>4.4984524173694182E-2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1.7053025658242404E-13</v>
      </c>
      <c r="DP192" s="17">
        <f>DO192*VLOOKUP('Données projet'!$B$14,Paramètres!$A$1:$I$89,3,0)*VLOOKUP('Données projet'!$B$14,Paramètres!$A$1:$I$89,5,0)</f>
        <v>1.3301360013429075E-13</v>
      </c>
      <c r="DQ192" s="13">
        <f t="shared" si="176"/>
        <v>1.9329766731057041E-12</v>
      </c>
      <c r="DR192" s="20">
        <f t="shared" si="177"/>
        <v>3.5982663925596575E-12</v>
      </c>
      <c r="DS192" s="59">
        <f t="shared" si="125"/>
        <v>293.3333333333369</v>
      </c>
      <c r="DT192" s="59">
        <f ca="1">AVERAGE(OFFSET($DS$3,0,0,'Données projet'!$E$14+1,1))-AVERAGE(OFFSET($H$3,0,0,'Données projet'!$E$14+1,1))</f>
        <v>376.33792692771908</v>
      </c>
      <c r="DU192" s="59">
        <f t="shared" si="152"/>
        <v>367.92889258044698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6.2035246130527091E-2</v>
      </c>
      <c r="EB192" s="21">
        <f>EXP(-LN(2)/25)*EB191+(1-EXP(-LN(2)/25))/(LN(2)/25)*Calculateur!DW192*Calculateur!DY192*VLOOKUP('Données projet'!$B$14,Paramètres!$A$1:$I$89,3,0)*0.475*44/12</f>
        <v>0.10190891409553161</v>
      </c>
      <c r="EC192" s="21">
        <f>EXP(-LN(2)/2)*EC191+(1-EXP(-LN(2)/2))/(LN(2)/2)*DW192*DZ192*VLOOKUP('Données projet'!$B$14,Paramètres!$A$1:$I$89,3,0)*0.475*44/12</f>
        <v>1.5290797137381717E-23</v>
      </c>
      <c r="ED192" s="22">
        <f t="shared" si="178"/>
        <v>0.1639441602260587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-3.0859155231155454E-13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469.68830256438338</v>
      </c>
      <c r="T193" s="59">
        <f t="shared" si="142"/>
        <v>332.61387922152159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0.10130224309094808</v>
      </c>
      <c r="AA193" s="21">
        <f>EXP(-LN(2)/25)*AA192+(1-EXP(-LN(2)/25))/(LN(2)/25)*Calculateur!V193*Calculateur!X193*VLOOKUP('Données projet'!$B$9,Paramètres!$A$1:$I$89,3,0)*0.475*44/12</f>
        <v>0.13360589661391406</v>
      </c>
      <c r="AB193" s="21">
        <f>EXP(-LN(2)/2)*AB192+(1-EXP(-LN(2)/2))/(LN(2)/2)*V193*Y193*VLOOKUP('Données projet'!$B$9,Paramètres!$A$1:$I$89,3,0)*0.475*44/12</f>
        <v>1.7828502315367263E-23</v>
      </c>
      <c r="AC193" s="22">
        <f t="shared" si="163"/>
        <v>0.23490813970486213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-3.6711753637064249E-13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550.66682372933292</v>
      </c>
      <c r="AO193" s="59">
        <f t="shared" si="144"/>
        <v>387.28615589698444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0.12051473747026589</v>
      </c>
      <c r="AV193" s="21">
        <f>EXP(-LN(2)/25)*AV192+(1-EXP(-LN(2)/25))/(LN(2)/25)*Calculateur!AQ193*Calculateur!AS193*VLOOKUP('Données projet'!$B$10,Paramètres!$A$1:$I$89,3,0)*0.475*44/12</f>
        <v>0.15894494597172554</v>
      </c>
      <c r="AW193" s="21">
        <f>EXP(-LN(2)/2)*AW192+(1-EXP(-LN(2)/2))/(LN(2)/2)*AQ193*AT193*VLOOKUP('Données projet'!$B$10,Paramètres!$A$1:$I$89,3,0)*0.475*44/12</f>
        <v>2.1209769995867855E-23</v>
      </c>
      <c r="AX193" s="21">
        <f t="shared" si="166"/>
        <v>0.27945968344199146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1.3301360013429075E-13</v>
      </c>
      <c r="BF193" s="13">
        <f t="shared" si="167"/>
        <v>1.9329766731057041E-12</v>
      </c>
      <c r="BG193" s="20">
        <f t="shared" si="168"/>
        <v>3.5982663925596575E-12</v>
      </c>
      <c r="BH193" s="59">
        <f t="shared" si="116"/>
        <v>293.3333333333369</v>
      </c>
      <c r="BI193" s="59">
        <f ca="1">AVERAGE(OFFSET($BH$3,0,0,'Données projet'!$E$11+1,1))-AVERAGE(OFFSET($H$3,0,0,'Données projet'!$E$11+1,1))</f>
        <v>376.33792692771908</v>
      </c>
      <c r="BJ193" s="59">
        <f t="shared" si="146"/>
        <v>367.92889258044698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6.0818772791671423E-2</v>
      </c>
      <c r="BQ193" s="21">
        <f>EXP(-LN(2)/25)*BQ192+(1-EXP(-LN(2)/25))/(LN(2)/25)*Calculateur!BL193*Calculateur!BN193*VLOOKUP('Données projet'!$B$11,Paramètres!$A$1:$I$89,3,0)*0.475*44/12</f>
        <v>9.9122209480432419E-2</v>
      </c>
      <c r="BR193" s="21">
        <f>EXP(-LN(2)/2)*BR192+(1-EXP(-LN(2)/2))/(LN(2)/2)*BL193*BO193*VLOOKUP('Données projet'!$B$11,Paramètres!$A$1:$I$89,3,0)*0.475*44/12</f>
        <v>1.0812226345590461E-23</v>
      </c>
      <c r="BS193" s="22">
        <f t="shared" si="169"/>
        <v>0.15994098227210385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-1.0286385077051818E-13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388.50131600273431</v>
      </c>
      <c r="CE193" s="59">
        <f t="shared" si="148"/>
        <v>247.01165577562955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3.677907767656248E-2</v>
      </c>
      <c r="CM193" s="21">
        <f>EXP(-LN(2)/2)*CM192+(1-EXP(-LN(2)/2))/(LN(2)/2)*CG193*CJ193*VLOOKUP('Données projet'!$B$12,Paramètres!$A$1:$I$89,3,0)*0.475*44/12</f>
        <v>5.119708549529874E-24</v>
      </c>
      <c r="CN193" s="22">
        <f t="shared" si="172"/>
        <v>3.677907767656248E-2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-1.223725121235475E-13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454.43000549907373</v>
      </c>
      <c r="CZ193" s="59">
        <f t="shared" si="150"/>
        <v>285.83623046025156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4.3754419994531203E-2</v>
      </c>
      <c r="DH193" s="21">
        <f>EXP(-LN(2)/2)*DH192+(1-EXP(-LN(2)/2))/(LN(2)/2)*DB193*DE193*VLOOKUP('Données projet'!$B$13,Paramètres!$A$1:$I$89,3,0)*0.475*44/12</f>
        <v>6.0906877571993435E-24</v>
      </c>
      <c r="DI193" s="22">
        <f t="shared" si="175"/>
        <v>4.3754419994531203E-2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1.7053025658242404E-13</v>
      </c>
      <c r="DP193" s="17">
        <f>DO193*VLOOKUP('Données projet'!$B$14,Paramètres!$A$1:$I$89,3,0)*VLOOKUP('Données projet'!$B$14,Paramètres!$A$1:$I$89,5,0)</f>
        <v>1.3301360013429075E-13</v>
      </c>
      <c r="DQ193" s="13">
        <f t="shared" si="176"/>
        <v>1.9329766731057041E-12</v>
      </c>
      <c r="DR193" s="20">
        <f t="shared" si="177"/>
        <v>3.5982663925596575E-12</v>
      </c>
      <c r="DS193" s="59">
        <f t="shared" si="125"/>
        <v>293.3333333333369</v>
      </c>
      <c r="DT193" s="59">
        <f ca="1">AVERAGE(OFFSET($DS$3,0,0,'Données projet'!$E$14+1,1))-AVERAGE(OFFSET($H$3,0,0,'Données projet'!$E$14+1,1))</f>
        <v>376.33792692771908</v>
      </c>
      <c r="DU193" s="59">
        <f t="shared" si="152"/>
        <v>367.92889258044698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6.0818772791671423E-2</v>
      </c>
      <c r="EB193" s="21">
        <f>EXP(-LN(2)/25)*EB192+(1-EXP(-LN(2)/25))/(LN(2)/25)*Calculateur!DW193*Calculateur!DY193*VLOOKUP('Données projet'!$B$14,Paramètres!$A$1:$I$89,3,0)*0.475*44/12</f>
        <v>9.9122209480432419E-2</v>
      </c>
      <c r="EC193" s="21">
        <f>EXP(-LN(2)/2)*EC192+(1-EXP(-LN(2)/2))/(LN(2)/2)*DW193*DZ193*VLOOKUP('Données projet'!$B$14,Paramètres!$A$1:$I$89,3,0)*0.475*44/12</f>
        <v>1.0812226345590461E-23</v>
      </c>
      <c r="ED193" s="22">
        <f t="shared" si="178"/>
        <v>0.15994098227210385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-3.0859155231155454E-13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469.68830256438338</v>
      </c>
      <c r="T194" s="59">
        <f t="shared" si="142"/>
        <v>332.61387922152159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9.9315767892201798E-2</v>
      </c>
      <c r="AA194" s="21">
        <f>EXP(-LN(2)/25)*AA193+(1-EXP(-LN(2)/25))/(LN(2)/25)*Calculateur!V194*Calculateur!X194*VLOOKUP('Données projet'!$B$9,Paramètres!$A$1:$I$89,3,0)*0.475*44/12</f>
        <v>0.12995243634497783</v>
      </c>
      <c r="AB194" s="21">
        <f>EXP(-LN(2)/2)*AB193+(1-EXP(-LN(2)/2))/(LN(2)/2)*V194*Y194*VLOOKUP('Données projet'!$B$9,Paramètres!$A$1:$I$89,3,0)*0.475*44/12</f>
        <v>1.2606654885596255E-23</v>
      </c>
      <c r="AC194" s="22">
        <f t="shared" si="163"/>
        <v>0.22926820423717964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-3.6711753637064249E-13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550.66682372933292</v>
      </c>
      <c r="AO194" s="59">
        <f t="shared" si="144"/>
        <v>387.28615589698444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0.11815151697520565</v>
      </c>
      <c r="AV194" s="21">
        <f>EXP(-LN(2)/25)*AV193+(1-EXP(-LN(2)/25))/(LN(2)/25)*Calculateur!AQ194*Calculateur!AS194*VLOOKUP('Données projet'!$B$10,Paramètres!$A$1:$I$89,3,0)*0.475*44/12</f>
        <v>0.15459858806557727</v>
      </c>
      <c r="AW194" s="21">
        <f>EXP(-LN(2)/2)*AW193+(1-EXP(-LN(2)/2))/(LN(2)/2)*AQ194*AT194*VLOOKUP('Données projet'!$B$10,Paramètres!$A$1:$I$89,3,0)*0.475*44/12</f>
        <v>1.4997572191485132E-23</v>
      </c>
      <c r="AX194" s="21">
        <f t="shared" si="166"/>
        <v>0.2727501050407829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1.3301360013429075E-13</v>
      </c>
      <c r="BF194" s="13">
        <f t="shared" si="167"/>
        <v>1.9329766731057041E-12</v>
      </c>
      <c r="BG194" s="20">
        <f t="shared" si="168"/>
        <v>3.5982663925596575E-12</v>
      </c>
      <c r="BH194" s="59">
        <f t="shared" si="116"/>
        <v>293.3333333333369</v>
      </c>
      <c r="BI194" s="59">
        <f ca="1">AVERAGE(OFFSET($BH$3,0,0,'Données projet'!$E$11+1,1))-AVERAGE(OFFSET($H$3,0,0,'Données projet'!$E$11+1,1))</f>
        <v>376.33792692771908</v>
      </c>
      <c r="BJ194" s="59">
        <f t="shared" si="146"/>
        <v>367.92889258044698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5.9626153753015242E-2</v>
      </c>
      <c r="BQ194" s="21">
        <f>EXP(-LN(2)/25)*BQ193+(1-EXP(-LN(2)/25))/(LN(2)/25)*Calculateur!BL194*Calculateur!BN194*VLOOKUP('Données projet'!$B$11,Paramètres!$A$1:$I$89,3,0)*0.475*44/12</f>
        <v>9.641170744957954E-2</v>
      </c>
      <c r="BR194" s="21">
        <f>EXP(-LN(2)/2)*BR193+(1-EXP(-LN(2)/2))/(LN(2)/2)*BL194*BO194*VLOOKUP('Données projet'!$B$11,Paramètres!$A$1:$I$89,3,0)*0.475*44/12</f>
        <v>7.6453985686908586E-24</v>
      </c>
      <c r="BS194" s="22">
        <f t="shared" si="169"/>
        <v>0.15603786120259477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-1.0286385077051818E-13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388.50131600273431</v>
      </c>
      <c r="CE194" s="59">
        <f t="shared" si="148"/>
        <v>247.01165577562955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3.5773351863369246E-2</v>
      </c>
      <c r="CM194" s="21">
        <f>EXP(-LN(2)/2)*CM193+(1-EXP(-LN(2)/2))/(LN(2)/2)*CG194*CJ194*VLOOKUP('Données projet'!$B$12,Paramètres!$A$1:$I$89,3,0)*0.475*44/12</f>
        <v>3.6201806330713172E-24</v>
      </c>
      <c r="CN194" s="22">
        <f t="shared" si="172"/>
        <v>3.5773351863369246E-2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-1.223725121235475E-13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454.43000549907373</v>
      </c>
      <c r="CZ194" s="59">
        <f t="shared" si="150"/>
        <v>285.83623046025156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4.2557953078835802E-2</v>
      </c>
      <c r="DH194" s="21">
        <f>EXP(-LN(2)/2)*DH193+(1-EXP(-LN(2)/2))/(LN(2)/2)*DB194*DE194*VLOOKUP('Données projet'!$B$13,Paramètres!$A$1:$I$89,3,0)*0.475*44/12</f>
        <v>4.30676661520554E-24</v>
      </c>
      <c r="DI194" s="22">
        <f t="shared" si="175"/>
        <v>4.2557953078835802E-2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1.7053025658242404E-13</v>
      </c>
      <c r="DP194" s="17">
        <f>DO194*VLOOKUP('Données projet'!$B$14,Paramètres!$A$1:$I$89,3,0)*VLOOKUP('Données projet'!$B$14,Paramètres!$A$1:$I$89,5,0)</f>
        <v>1.3301360013429075E-13</v>
      </c>
      <c r="DQ194" s="13">
        <f t="shared" si="176"/>
        <v>1.9329766731057041E-12</v>
      </c>
      <c r="DR194" s="20">
        <f t="shared" si="177"/>
        <v>3.5982663925596575E-12</v>
      </c>
      <c r="DS194" s="59">
        <f t="shared" si="125"/>
        <v>293.3333333333369</v>
      </c>
      <c r="DT194" s="59">
        <f ca="1">AVERAGE(OFFSET($DS$3,0,0,'Données projet'!$E$14+1,1))-AVERAGE(OFFSET($H$3,0,0,'Données projet'!$E$14+1,1))</f>
        <v>376.33792692771908</v>
      </c>
      <c r="DU194" s="59">
        <f t="shared" si="152"/>
        <v>367.92889258044698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5.9626153753015242E-2</v>
      </c>
      <c r="EB194" s="21">
        <f>EXP(-LN(2)/25)*EB193+(1-EXP(-LN(2)/25))/(LN(2)/25)*Calculateur!DW194*Calculateur!DY194*VLOOKUP('Données projet'!$B$14,Paramètres!$A$1:$I$89,3,0)*0.475*44/12</f>
        <v>9.641170744957954E-2</v>
      </c>
      <c r="EC194" s="21">
        <f>EXP(-LN(2)/2)*EC193+(1-EXP(-LN(2)/2))/(LN(2)/2)*DW194*DZ194*VLOOKUP('Données projet'!$B$14,Paramètres!$A$1:$I$89,3,0)*0.475*44/12</f>
        <v>7.6453985686908586E-24</v>
      </c>
      <c r="ED194" s="22">
        <f t="shared" si="178"/>
        <v>0.15603786120259477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-3.0859155231155454E-13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469.68830256438338</v>
      </c>
      <c r="T195" s="59">
        <f t="shared" si="142"/>
        <v>332.61387922152159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9.7368246260472691E-2</v>
      </c>
      <c r="AA195" s="21">
        <f>EXP(-LN(2)/25)*AA194+(1-EXP(-LN(2)/25))/(LN(2)/25)*Calculateur!V195*Calculateur!X195*VLOOKUP('Données projet'!$B$9,Paramètres!$A$1:$I$89,3,0)*0.475*44/12</f>
        <v>0.12639888013922279</v>
      </c>
      <c r="AB195" s="21">
        <f>EXP(-LN(2)/2)*AB194+(1-EXP(-LN(2)/2))/(LN(2)/2)*V195*Y195*VLOOKUP('Données projet'!$B$9,Paramètres!$A$1:$I$89,3,0)*0.475*44/12</f>
        <v>8.9142511576836316E-24</v>
      </c>
      <c r="AC195" s="22">
        <f t="shared" si="163"/>
        <v>0.22376712639969548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-3.6711753637064249E-13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550.66682372933292</v>
      </c>
      <c r="AO195" s="59">
        <f t="shared" si="144"/>
        <v>387.28615589698444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0.11583463779263137</v>
      </c>
      <c r="AV195" s="21">
        <f>EXP(-LN(2)/25)*AV194+(1-EXP(-LN(2)/25))/(LN(2)/25)*Calculateur!AQ195*Calculateur!AS195*VLOOKUP('Données projet'!$B$10,Paramètres!$A$1:$I$89,3,0)*0.475*44/12</f>
        <v>0.15037108154493767</v>
      </c>
      <c r="AW195" s="21">
        <f>EXP(-LN(2)/2)*AW194+(1-EXP(-LN(2)/2))/(LN(2)/2)*AQ195*AT195*VLOOKUP('Données projet'!$B$10,Paramètres!$A$1:$I$89,3,0)*0.475*44/12</f>
        <v>1.0604884997933928E-23</v>
      </c>
      <c r="AX195" s="21">
        <f t="shared" si="166"/>
        <v>0.26620571933756904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1.3301360013429075E-13</v>
      </c>
      <c r="BF195" s="13">
        <f t="shared" si="167"/>
        <v>1.9329766731057041E-12</v>
      </c>
      <c r="BG195" s="20">
        <f t="shared" si="168"/>
        <v>3.5982663925596575E-12</v>
      </c>
      <c r="BH195" s="59">
        <f t="shared" si="116"/>
        <v>293.3333333333369</v>
      </c>
      <c r="BI195" s="59">
        <f ca="1">AVERAGE(OFFSET($BH$3,0,0,'Données projet'!$E$11+1,1))-AVERAGE(OFFSET($H$3,0,0,'Données projet'!$E$11+1,1))</f>
        <v>376.33792692771908</v>
      </c>
      <c r="BJ195" s="59">
        <f t="shared" si="146"/>
        <v>367.92889258044698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5.8456921246281324E-2</v>
      </c>
      <c r="BQ195" s="21">
        <f>EXP(-LN(2)/25)*BQ194+(1-EXP(-LN(2)/25))/(LN(2)/25)*Calculateur!BL195*Calculateur!BN195*VLOOKUP('Données projet'!$B$11,Paramètres!$A$1:$I$89,3,0)*0.475*44/12</f>
        <v>9.3775324239299448E-2</v>
      </c>
      <c r="BR195" s="21">
        <f>EXP(-LN(2)/2)*BR194+(1-EXP(-LN(2)/2))/(LN(2)/2)*BL195*BO195*VLOOKUP('Données projet'!$B$11,Paramètres!$A$1:$I$89,3,0)*0.475*44/12</f>
        <v>5.4061131727952307E-24</v>
      </c>
      <c r="BS195" s="22">
        <f t="shared" si="169"/>
        <v>0.15223224548558079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-1.0286385077051818E-13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388.50131600273431</v>
      </c>
      <c r="CE195" s="59">
        <f t="shared" si="148"/>
        <v>247.01165577562955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3.4795127675426599E-2</v>
      </c>
      <c r="CM195" s="21">
        <f>EXP(-LN(2)/2)*CM194+(1-EXP(-LN(2)/2))/(LN(2)/2)*CG195*CJ195*VLOOKUP('Données projet'!$B$12,Paramètres!$A$1:$I$89,3,0)*0.475*44/12</f>
        <v>2.559854274764937E-24</v>
      </c>
      <c r="CN195" s="22">
        <f t="shared" si="172"/>
        <v>3.4795127675426599E-2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-1.223725121235475E-13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454.43000549907373</v>
      </c>
      <c r="CZ195" s="59">
        <f t="shared" si="150"/>
        <v>285.83623046025156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4.139420361386955E-2</v>
      </c>
      <c r="DH195" s="21">
        <f>EXP(-LN(2)/2)*DH194+(1-EXP(-LN(2)/2))/(LN(2)/2)*DB195*DE195*VLOOKUP('Données projet'!$B$13,Paramètres!$A$1:$I$89,3,0)*0.475*44/12</f>
        <v>3.0453438785996717E-24</v>
      </c>
      <c r="DI195" s="22">
        <f t="shared" si="175"/>
        <v>4.139420361386955E-2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1.7053025658242404E-13</v>
      </c>
      <c r="DP195" s="17">
        <f>DO195*VLOOKUP('Données projet'!$B$14,Paramètres!$A$1:$I$89,3,0)*VLOOKUP('Données projet'!$B$14,Paramètres!$A$1:$I$89,5,0)</f>
        <v>1.3301360013429075E-13</v>
      </c>
      <c r="DQ195" s="13">
        <f t="shared" si="176"/>
        <v>1.9329766731057041E-12</v>
      </c>
      <c r="DR195" s="20">
        <f t="shared" si="177"/>
        <v>3.5982663925596575E-12</v>
      </c>
      <c r="DS195" s="59">
        <f t="shared" si="125"/>
        <v>293.3333333333369</v>
      </c>
      <c r="DT195" s="59">
        <f ca="1">AVERAGE(OFFSET($DS$3,0,0,'Données projet'!$E$14+1,1))-AVERAGE(OFFSET($H$3,0,0,'Données projet'!$E$14+1,1))</f>
        <v>376.33792692771908</v>
      </c>
      <c r="DU195" s="59">
        <f t="shared" si="152"/>
        <v>367.92889258044698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5.8456921246281324E-2</v>
      </c>
      <c r="EB195" s="21">
        <f>EXP(-LN(2)/25)*EB194+(1-EXP(-LN(2)/25))/(LN(2)/25)*Calculateur!DW195*Calculateur!DY195*VLOOKUP('Données projet'!$B$14,Paramètres!$A$1:$I$89,3,0)*0.475*44/12</f>
        <v>9.3775324239299448E-2</v>
      </c>
      <c r="EC195" s="21">
        <f>EXP(-LN(2)/2)*EC194+(1-EXP(-LN(2)/2))/(LN(2)/2)*DW195*DZ195*VLOOKUP('Données projet'!$B$14,Paramètres!$A$1:$I$89,3,0)*0.475*44/12</f>
        <v>5.4061131727952307E-24</v>
      </c>
      <c r="ED195" s="22">
        <f t="shared" si="178"/>
        <v>0.15223224548558079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-3.0859155231155454E-13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469.68830256438338</v>
      </c>
      <c r="T196" s="59">
        <f t="shared" si="142"/>
        <v>332.61387922152159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9.545891434007088E-2</v>
      </c>
      <c r="AA196" s="21">
        <f>EXP(-LN(2)/25)*AA195+(1-EXP(-LN(2)/25))/(LN(2)/25)*Calculateur!V196*Calculateur!X196*VLOOKUP('Données projet'!$B$9,Paramètres!$A$1:$I$89,3,0)*0.475*44/12</f>
        <v>0.12294249611478753</v>
      </c>
      <c r="AB196" s="21">
        <f>EXP(-LN(2)/2)*AB195+(1-EXP(-LN(2)/2))/(LN(2)/2)*V196*Y196*VLOOKUP('Données projet'!$B$9,Paramètres!$A$1:$I$89,3,0)*0.475*44/12</f>
        <v>6.3033274427981277E-24</v>
      </c>
      <c r="AC196" s="22">
        <f t="shared" si="163"/>
        <v>0.21840141045485839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-3.6711753637064249E-13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550.66682372933292</v>
      </c>
      <c r="AO196" s="59">
        <f t="shared" si="144"/>
        <v>387.28615589698444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0.1135631911976706</v>
      </c>
      <c r="AV196" s="21">
        <f>EXP(-LN(2)/25)*AV195+(1-EXP(-LN(2)/25))/(LN(2)/25)*Calculateur!AQ196*Calculateur!AS196*VLOOKUP('Données projet'!$B$10,Paramètres!$A$1:$I$89,3,0)*0.475*44/12</f>
        <v>0.14625917641241984</v>
      </c>
      <c r="AW196" s="21">
        <f>EXP(-LN(2)/2)*AW195+(1-EXP(-LN(2)/2))/(LN(2)/2)*AQ196*AT196*VLOOKUP('Données projet'!$B$10,Paramètres!$A$1:$I$89,3,0)*0.475*44/12</f>
        <v>7.4987860957425662E-24</v>
      </c>
      <c r="AX196" s="21">
        <f t="shared" si="166"/>
        <v>0.25982236761009042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1.3301360013429075E-13</v>
      </c>
      <c r="BF196" s="13">
        <f t="shared" si="167"/>
        <v>1.9329766731057041E-12</v>
      </c>
      <c r="BG196" s="20">
        <f t="shared" si="168"/>
        <v>3.5982663925596575E-12</v>
      </c>
      <c r="BH196" s="59">
        <f t="shared" ref="BH196:BH203" si="194">BG196+(AY196+AZ196)*44/12</f>
        <v>293.3333333333369</v>
      </c>
      <c r="BI196" s="59">
        <f ca="1">AVERAGE(OFFSET($BH$3,0,0,'Données projet'!$E$11+1,1))-AVERAGE(OFFSET($H$3,0,0,'Données projet'!$E$11+1,1))</f>
        <v>376.33792692771908</v>
      </c>
      <c r="BJ196" s="59">
        <f t="shared" si="146"/>
        <v>367.92889258044698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5.731061667584305E-2</v>
      </c>
      <c r="BQ196" s="21">
        <f>EXP(-LN(2)/25)*BQ195+(1-EXP(-LN(2)/25))/(LN(2)/25)*Calculateur!BL196*Calculateur!BN196*VLOOKUP('Données projet'!$B$11,Paramètres!$A$1:$I$89,3,0)*0.475*44/12</f>
        <v>9.1211033066545835E-2</v>
      </c>
      <c r="BR196" s="21">
        <f>EXP(-LN(2)/2)*BR195+(1-EXP(-LN(2)/2))/(LN(2)/2)*BL196*BO196*VLOOKUP('Données projet'!$B$11,Paramètres!$A$1:$I$89,3,0)*0.475*44/12</f>
        <v>3.8226992843454293E-24</v>
      </c>
      <c r="BS196" s="22">
        <f t="shared" si="169"/>
        <v>0.14852164974238888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-1.0286385077051818E-13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388.50131600273431</v>
      </c>
      <c r="CE196" s="59">
        <f t="shared" si="148"/>
        <v>247.01165577562955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3.3843653079345816E-2</v>
      </c>
      <c r="CM196" s="21">
        <f>EXP(-LN(2)/2)*CM195+(1-EXP(-LN(2)/2))/(LN(2)/2)*CG196*CJ196*VLOOKUP('Données projet'!$B$12,Paramètres!$A$1:$I$89,3,0)*0.475*44/12</f>
        <v>1.8100903165356586E-24</v>
      </c>
      <c r="CN196" s="22">
        <f t="shared" si="172"/>
        <v>3.3843653079345816E-2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-1.223725121235475E-13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454.43000549907373</v>
      </c>
      <c r="CZ196" s="59">
        <f t="shared" si="150"/>
        <v>285.83623046025156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4.0262276939221728E-2</v>
      </c>
      <c r="DH196" s="21">
        <f>EXP(-LN(2)/2)*DH195+(1-EXP(-LN(2)/2))/(LN(2)/2)*DB196*DE196*VLOOKUP('Données projet'!$B$13,Paramètres!$A$1:$I$89,3,0)*0.475*44/12</f>
        <v>2.15338330760277E-24</v>
      </c>
      <c r="DI196" s="22">
        <f t="shared" si="175"/>
        <v>4.0262276939221728E-2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1.7053025658242404E-13</v>
      </c>
      <c r="DP196" s="17">
        <f>DO196*VLOOKUP('Données projet'!$B$14,Paramètres!$A$1:$I$89,3,0)*VLOOKUP('Données projet'!$B$14,Paramètres!$A$1:$I$89,5,0)</f>
        <v>1.3301360013429075E-13</v>
      </c>
      <c r="DQ196" s="13">
        <f t="shared" si="176"/>
        <v>1.9329766731057041E-12</v>
      </c>
      <c r="DR196" s="20">
        <f t="shared" si="177"/>
        <v>3.5982663925596575E-12</v>
      </c>
      <c r="DS196" s="59">
        <f t="shared" ref="DS196:DS203" si="197">DR196+(DJ196+DK196)*44/12</f>
        <v>293.3333333333369</v>
      </c>
      <c r="DT196" s="59">
        <f ca="1">AVERAGE(OFFSET($DS$3,0,0,'Données projet'!$E$14+1,1))-AVERAGE(OFFSET($H$3,0,0,'Données projet'!$E$14+1,1))</f>
        <v>376.33792692771908</v>
      </c>
      <c r="DU196" s="59">
        <f t="shared" si="152"/>
        <v>367.92889258044698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5.731061667584305E-2</v>
      </c>
      <c r="EB196" s="21">
        <f>EXP(-LN(2)/25)*EB195+(1-EXP(-LN(2)/25))/(LN(2)/25)*Calculateur!DW196*Calculateur!DY196*VLOOKUP('Données projet'!$B$14,Paramètres!$A$1:$I$89,3,0)*0.475*44/12</f>
        <v>9.1211033066545835E-2</v>
      </c>
      <c r="EC196" s="21">
        <f>EXP(-LN(2)/2)*EC195+(1-EXP(-LN(2)/2))/(LN(2)/2)*DW196*DZ196*VLOOKUP('Données projet'!$B$14,Paramètres!$A$1:$I$89,3,0)*0.475*44/12</f>
        <v>3.8226992843454293E-24</v>
      </c>
      <c r="ED196" s="22">
        <f t="shared" si="178"/>
        <v>0.14852164974238888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-3.0859155231155454E-13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469.68830256438338</v>
      </c>
      <c r="T197" s="59">
        <f t="shared" ref="T197:T203" si="204">$T$3</f>
        <v>332.61387922152159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9.3587023254050675E-2</v>
      </c>
      <c r="AA197" s="21">
        <f>EXP(-LN(2)/25)*AA196+(1-EXP(-LN(2)/25))/(LN(2)/25)*Calculateur!V197*Calculateur!X197*VLOOKUP('Données projet'!$B$9,Paramètres!$A$1:$I$89,3,0)*0.475*44/12</f>
        <v>0.11958062709326378</v>
      </c>
      <c r="AB197" s="21">
        <f>EXP(-LN(2)/2)*AB196+(1-EXP(-LN(2)/2))/(LN(2)/2)*V197*Y197*VLOOKUP('Données projet'!$B$9,Paramètres!$A$1:$I$89,3,0)*0.475*44/12</f>
        <v>4.4571255788418158E-24</v>
      </c>
      <c r="AC197" s="22">
        <f t="shared" si="163"/>
        <v>0.21316765034731444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-3.6711753637064249E-13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550.66682372933292</v>
      </c>
      <c r="AO197" s="59">
        <f t="shared" ref="AO197:AO203" si="205">$AO$3</f>
        <v>387.28615589698444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0.11133628628499138</v>
      </c>
      <c r="AV197" s="21">
        <f>EXP(-LN(2)/25)*AV196+(1-EXP(-LN(2)/25))/(LN(2)/25)*Calculateur!AQ197*Calculateur!AS197*VLOOKUP('Données projet'!$B$10,Paramètres!$A$1:$I$89,3,0)*0.475*44/12</f>
        <v>0.14225971154198641</v>
      </c>
      <c r="AW197" s="21">
        <f>EXP(-LN(2)/2)*AW196+(1-EXP(-LN(2)/2))/(LN(2)/2)*AQ197*AT197*VLOOKUP('Données projet'!$B$10,Paramètres!$A$1:$I$89,3,0)*0.475*44/12</f>
        <v>5.3024424989669638E-24</v>
      </c>
      <c r="AX197" s="21">
        <f t="shared" si="166"/>
        <v>0.25359599782697778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1.3301360013429075E-13</v>
      </c>
      <c r="BF197" s="13">
        <f t="shared" si="167"/>
        <v>1.9329766731057041E-12</v>
      </c>
      <c r="BG197" s="20">
        <f t="shared" si="168"/>
        <v>3.5982663925596575E-12</v>
      </c>
      <c r="BH197" s="59">
        <f t="shared" si="194"/>
        <v>293.3333333333369</v>
      </c>
      <c r="BI197" s="59">
        <f ca="1">AVERAGE(OFFSET($BH$3,0,0,'Données projet'!$E$11+1,1))-AVERAGE(OFFSET($H$3,0,0,'Données projet'!$E$11+1,1))</f>
        <v>376.33792692771908</v>
      </c>
      <c r="BJ197" s="59">
        <f t="shared" ref="BJ197:BJ203" si="206">$BJ$3</f>
        <v>367.92889258044698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5.6186790438854321E-2</v>
      </c>
      <c r="BQ197" s="21">
        <f>EXP(-LN(2)/25)*BQ196+(1-EXP(-LN(2)/25))/(LN(2)/25)*Calculateur!BL197*Calculateur!BN197*VLOOKUP('Données projet'!$B$11,Paramètres!$A$1:$I$89,3,0)*0.475*44/12</f>
        <v>8.8716862570761376E-2</v>
      </c>
      <c r="BR197" s="21">
        <f>EXP(-LN(2)/2)*BR196+(1-EXP(-LN(2)/2))/(LN(2)/2)*BL197*BO197*VLOOKUP('Données projet'!$B$11,Paramètres!$A$1:$I$89,3,0)*0.475*44/12</f>
        <v>2.7030565863976154E-24</v>
      </c>
      <c r="BS197" s="22">
        <f t="shared" si="169"/>
        <v>0.14490365300961569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-1.0286385077051818E-13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388.50131600273431</v>
      </c>
      <c r="CE197" s="59">
        <f t="shared" ref="CE197:CE203" si="207">$CE$3</f>
        <v>247.01165577562955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3.291819660613074E-2</v>
      </c>
      <c r="CM197" s="21">
        <f>EXP(-LN(2)/2)*CM196+(1-EXP(-LN(2)/2))/(LN(2)/2)*CG197*CJ197*VLOOKUP('Données projet'!$B$12,Paramètres!$A$1:$I$89,3,0)*0.475*44/12</f>
        <v>1.2799271373824685E-24</v>
      </c>
      <c r="CN197" s="22">
        <f t="shared" si="172"/>
        <v>3.291819660613074E-2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-1.223725121235475E-13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454.43000549907373</v>
      </c>
      <c r="CZ197" s="59">
        <f t="shared" ref="CZ197:CZ203" si="208">$CZ$3</f>
        <v>285.83623046025156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3.9161302859017588E-2</v>
      </c>
      <c r="DH197" s="21">
        <f>EXP(-LN(2)/2)*DH196+(1-EXP(-LN(2)/2))/(LN(2)/2)*DB197*DE197*VLOOKUP('Données projet'!$B$13,Paramètres!$A$1:$I$89,3,0)*0.475*44/12</f>
        <v>1.5226719392998359E-24</v>
      </c>
      <c r="DI197" s="22">
        <f t="shared" si="175"/>
        <v>3.9161302859017588E-2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1.7053025658242404E-13</v>
      </c>
      <c r="DP197" s="17">
        <f>DO197*VLOOKUP('Données projet'!$B$14,Paramètres!$A$1:$I$89,3,0)*VLOOKUP('Données projet'!$B$14,Paramètres!$A$1:$I$89,5,0)</f>
        <v>1.3301360013429075E-13</v>
      </c>
      <c r="DQ197" s="13">
        <f t="shared" si="176"/>
        <v>1.9329766731057041E-12</v>
      </c>
      <c r="DR197" s="20">
        <f t="shared" si="177"/>
        <v>3.5982663925596575E-12</v>
      </c>
      <c r="DS197" s="59">
        <f t="shared" si="197"/>
        <v>293.3333333333369</v>
      </c>
      <c r="DT197" s="59">
        <f ca="1">AVERAGE(OFFSET($DS$3,0,0,'Données projet'!$E$14+1,1))-AVERAGE(OFFSET($H$3,0,0,'Données projet'!$E$14+1,1))</f>
        <v>376.33792692771908</v>
      </c>
      <c r="DU197" s="59">
        <f t="shared" ref="DU197:DU203" si="209">$DU$3</f>
        <v>367.92889258044698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5.6186790438854321E-2</v>
      </c>
      <c r="EB197" s="21">
        <f>EXP(-LN(2)/25)*EB196+(1-EXP(-LN(2)/25))/(LN(2)/25)*Calculateur!DW197*Calculateur!DY197*VLOOKUP('Données projet'!$B$14,Paramètres!$A$1:$I$89,3,0)*0.475*44/12</f>
        <v>8.8716862570761376E-2</v>
      </c>
      <c r="EC197" s="21">
        <f>EXP(-LN(2)/2)*EC196+(1-EXP(-LN(2)/2))/(LN(2)/2)*DW197*DZ197*VLOOKUP('Données projet'!$B$14,Paramètres!$A$1:$I$89,3,0)*0.475*44/12</f>
        <v>2.7030565863976154E-24</v>
      </c>
      <c r="ED197" s="22">
        <f t="shared" si="178"/>
        <v>0.14490365300961569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-3.0859155231155454E-13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469.68830256438338</v>
      </c>
      <c r="T198" s="59">
        <f t="shared" si="204"/>
        <v>332.61387922152159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9.17518388104865E-2</v>
      </c>
      <c r="AA198" s="21">
        <f>EXP(-LN(2)/25)*AA197+(1-EXP(-LN(2)/25))/(LN(2)/25)*Calculateur!V198*Calculateur!X198*VLOOKUP('Données projet'!$B$9,Paramètres!$A$1:$I$89,3,0)*0.475*44/12</f>
        <v>0.11631068855692661</v>
      </c>
      <c r="AB198" s="21">
        <f>EXP(-LN(2)/2)*AB197+(1-EXP(-LN(2)/2))/(LN(2)/2)*V198*Y198*VLOOKUP('Données projet'!$B$9,Paramètres!$A$1:$I$89,3,0)*0.475*44/12</f>
        <v>3.1516637213990639E-24</v>
      </c>
      <c r="AC198" s="22">
        <f t="shared" si="163"/>
        <v>0.2080625273674131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-3.6711753637064249E-13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550.66682372933292</v>
      </c>
      <c r="AO198" s="59">
        <f t="shared" si="205"/>
        <v>387.28615589698444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0.10915304961937193</v>
      </c>
      <c r="AV198" s="21">
        <f>EXP(-LN(2)/25)*AV197+(1-EXP(-LN(2)/25))/(LN(2)/25)*Calculateur!AQ198*Calculateur!AS198*VLOOKUP('Données projet'!$B$10,Paramètres!$A$1:$I$89,3,0)*0.475*44/12</f>
        <v>0.13836961224875771</v>
      </c>
      <c r="AW198" s="21">
        <f>EXP(-LN(2)/2)*AW197+(1-EXP(-LN(2)/2))/(LN(2)/2)*AQ198*AT198*VLOOKUP('Données projet'!$B$10,Paramètres!$A$1:$I$89,3,0)*0.475*44/12</f>
        <v>3.7493930478712831E-24</v>
      </c>
      <c r="AX198" s="21">
        <f t="shared" si="166"/>
        <v>0.24752266186812966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1.3301360013429075E-13</v>
      </c>
      <c r="BF198" s="13">
        <f t="shared" si="167"/>
        <v>1.9329766731057041E-12</v>
      </c>
      <c r="BG198" s="20">
        <f t="shared" si="168"/>
        <v>3.5982663925596575E-12</v>
      </c>
      <c r="BH198" s="59">
        <f t="shared" si="194"/>
        <v>293.3333333333369</v>
      </c>
      <c r="BI198" s="59">
        <f ca="1">AVERAGE(OFFSET($BH$3,0,0,'Données projet'!$E$11+1,1))-AVERAGE(OFFSET($H$3,0,0,'Données projet'!$E$11+1,1))</f>
        <v>376.33792692771908</v>
      </c>
      <c r="BJ198" s="59">
        <f t="shared" si="206"/>
        <v>367.92889258044698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5.5085001748906619E-2</v>
      </c>
      <c r="BQ198" s="21">
        <f>EXP(-LN(2)/25)*BQ197+(1-EXP(-LN(2)/25))/(LN(2)/25)*Calculateur!BL198*Calculateur!BN198*VLOOKUP('Données projet'!$B$11,Paramètres!$A$1:$I$89,3,0)*0.475*44/12</f>
        <v>8.6290895298346867E-2</v>
      </c>
      <c r="BR198" s="21">
        <f>EXP(-LN(2)/2)*BR197+(1-EXP(-LN(2)/2))/(LN(2)/2)*BL198*BO198*VLOOKUP('Données projet'!$B$11,Paramètres!$A$1:$I$89,3,0)*0.475*44/12</f>
        <v>1.9113496421727147E-24</v>
      </c>
      <c r="BS198" s="22">
        <f t="shared" si="169"/>
        <v>0.14137589704725348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-1.0286385077051818E-13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388.50131600273431</v>
      </c>
      <c r="CE198" s="59">
        <f t="shared" si="207"/>
        <v>247.01165577562955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3.2018046788843374E-2</v>
      </c>
      <c r="CM198" s="21">
        <f>EXP(-LN(2)/2)*CM197+(1-EXP(-LN(2)/2))/(LN(2)/2)*CG198*CJ198*VLOOKUP('Données projet'!$B$12,Paramètres!$A$1:$I$89,3,0)*0.475*44/12</f>
        <v>9.050451582678293E-25</v>
      </c>
      <c r="CN198" s="22">
        <f t="shared" si="172"/>
        <v>3.2018046788843374E-2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-1.223725121235475E-13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454.43000549907373</v>
      </c>
      <c r="CZ198" s="59">
        <f t="shared" si="208"/>
        <v>285.83623046025156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3.8090434972934337E-2</v>
      </c>
      <c r="DH198" s="21">
        <f>EXP(-LN(2)/2)*DH197+(1-EXP(-LN(2)/2))/(LN(2)/2)*DB198*DE198*VLOOKUP('Données projet'!$B$13,Paramètres!$A$1:$I$89,3,0)*0.475*44/12</f>
        <v>1.076691653801385E-24</v>
      </c>
      <c r="DI198" s="22">
        <f t="shared" si="175"/>
        <v>3.8090434972934337E-2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1.7053025658242404E-13</v>
      </c>
      <c r="DP198" s="17">
        <f>DO198*VLOOKUP('Données projet'!$B$14,Paramètres!$A$1:$I$89,3,0)*VLOOKUP('Données projet'!$B$14,Paramètres!$A$1:$I$89,5,0)</f>
        <v>1.3301360013429075E-13</v>
      </c>
      <c r="DQ198" s="13">
        <f t="shared" si="176"/>
        <v>1.9329766731057041E-12</v>
      </c>
      <c r="DR198" s="20">
        <f t="shared" si="177"/>
        <v>3.5982663925596575E-12</v>
      </c>
      <c r="DS198" s="59">
        <f t="shared" si="197"/>
        <v>293.3333333333369</v>
      </c>
      <c r="DT198" s="59">
        <f ca="1">AVERAGE(OFFSET($DS$3,0,0,'Données projet'!$E$14+1,1))-AVERAGE(OFFSET($H$3,0,0,'Données projet'!$E$14+1,1))</f>
        <v>376.33792692771908</v>
      </c>
      <c r="DU198" s="59">
        <f t="shared" si="209"/>
        <v>367.92889258044698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5.5085001748906619E-2</v>
      </c>
      <c r="EB198" s="21">
        <f>EXP(-LN(2)/25)*EB197+(1-EXP(-LN(2)/25))/(LN(2)/25)*Calculateur!DW198*Calculateur!DY198*VLOOKUP('Données projet'!$B$14,Paramètres!$A$1:$I$89,3,0)*0.475*44/12</f>
        <v>8.6290895298346867E-2</v>
      </c>
      <c r="EC198" s="21">
        <f>EXP(-LN(2)/2)*EC197+(1-EXP(-LN(2)/2))/(LN(2)/2)*DW198*DZ198*VLOOKUP('Données projet'!$B$14,Paramètres!$A$1:$I$89,3,0)*0.475*44/12</f>
        <v>1.9113496421727147E-24</v>
      </c>
      <c r="ED198" s="22">
        <f t="shared" si="178"/>
        <v>0.14137589704725348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-3.0859155231155454E-13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469.68830256438338</v>
      </c>
      <c r="T199" s="59">
        <f t="shared" si="204"/>
        <v>332.61387922152159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8.9952641214508633E-2</v>
      </c>
      <c r="AA199" s="21">
        <f>EXP(-LN(2)/25)*AA198+(1-EXP(-LN(2)/25))/(LN(2)/25)*Calculateur!V199*Calculateur!X199*VLOOKUP('Données projet'!$B$9,Paramètres!$A$1:$I$89,3,0)*0.475*44/12</f>
        <v>0.11313016666182417</v>
      </c>
      <c r="AB199" s="21">
        <f>EXP(-LN(2)/2)*AB198+(1-EXP(-LN(2)/2))/(LN(2)/2)*V199*Y199*VLOOKUP('Données projet'!$B$9,Paramètres!$A$1:$I$89,3,0)*0.475*44/12</f>
        <v>2.2285627894209079E-24</v>
      </c>
      <c r="AC199" s="22">
        <f t="shared" si="163"/>
        <v>0.20308280787633282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-3.6711753637064249E-13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550.66682372933292</v>
      </c>
      <c r="AO199" s="59">
        <f t="shared" si="205"/>
        <v>387.28615589698444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0.10701262489312241</v>
      </c>
      <c r="AV199" s="21">
        <f>EXP(-LN(2)/25)*AV198+(1-EXP(-LN(2)/25))/(LN(2)/25)*Calculateur!AQ199*Calculateur!AS199*VLOOKUP('Données projet'!$B$10,Paramètres!$A$1:$I$89,3,0)*0.475*44/12</f>
        <v>0.13458588792527376</v>
      </c>
      <c r="AW199" s="21">
        <f>EXP(-LN(2)/2)*AW198+(1-EXP(-LN(2)/2))/(LN(2)/2)*AQ199*AT199*VLOOKUP('Données projet'!$B$10,Paramètres!$A$1:$I$89,3,0)*0.475*44/12</f>
        <v>2.6512212494834819E-24</v>
      </c>
      <c r="AX199" s="21">
        <f t="shared" si="166"/>
        <v>0.24159851281839617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1.3301360013429075E-13</v>
      </c>
      <c r="BF199" s="13">
        <f t="shared" si="167"/>
        <v>1.9329766731057041E-12</v>
      </c>
      <c r="BG199" s="20">
        <f t="shared" si="168"/>
        <v>3.5982663925596575E-12</v>
      </c>
      <c r="BH199" s="59">
        <f t="shared" si="194"/>
        <v>293.3333333333369</v>
      </c>
      <c r="BI199" s="59">
        <f ca="1">AVERAGE(OFFSET($BH$3,0,0,'Données projet'!$E$11+1,1))-AVERAGE(OFFSET($H$3,0,0,'Données projet'!$E$11+1,1))</f>
        <v>376.33792692771908</v>
      </c>
      <c r="BJ199" s="59">
        <f t="shared" si="206"/>
        <v>367.92889258044698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5.4004818463144047E-2</v>
      </c>
      <c r="BQ199" s="21">
        <f>EXP(-LN(2)/25)*BQ198+(1-EXP(-LN(2)/25))/(LN(2)/25)*Calculateur!BL199*Calculateur!BN199*VLOOKUP('Données projet'!$B$11,Paramètres!$A$1:$I$89,3,0)*0.475*44/12</f>
        <v>8.393126622857261E-2</v>
      </c>
      <c r="BR199" s="21">
        <f>EXP(-LN(2)/2)*BR198+(1-EXP(-LN(2)/2))/(LN(2)/2)*BL199*BO199*VLOOKUP('Données projet'!$B$11,Paramètres!$A$1:$I$89,3,0)*0.475*44/12</f>
        <v>1.3515282931988077E-24</v>
      </c>
      <c r="BS199" s="22">
        <f t="shared" si="169"/>
        <v>0.13793608469171664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-1.0286385077051818E-13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388.50131600273431</v>
      </c>
      <c r="CE199" s="59">
        <f t="shared" si="207"/>
        <v>247.01165577562955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3.1142511615646549E-2</v>
      </c>
      <c r="CM199" s="21">
        <f>EXP(-LN(2)/2)*CM198+(1-EXP(-LN(2)/2))/(LN(2)/2)*CG199*CJ199*VLOOKUP('Données projet'!$B$12,Paramètres!$A$1:$I$89,3,0)*0.475*44/12</f>
        <v>6.3996356869123425E-25</v>
      </c>
      <c r="CN199" s="22">
        <f t="shared" si="172"/>
        <v>3.1142511615646549E-2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-1.223725121235475E-13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454.43000549907373</v>
      </c>
      <c r="CZ199" s="59">
        <f t="shared" si="208"/>
        <v>285.83623046025156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3.7048850025510525E-2</v>
      </c>
      <c r="DH199" s="21">
        <f>EXP(-LN(2)/2)*DH198+(1-EXP(-LN(2)/2))/(LN(2)/2)*DB199*DE199*VLOOKUP('Données projet'!$B$13,Paramètres!$A$1:$I$89,3,0)*0.475*44/12</f>
        <v>7.6133596964991793E-25</v>
      </c>
      <c r="DI199" s="22">
        <f t="shared" si="175"/>
        <v>3.7048850025510525E-2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1.7053025658242404E-13</v>
      </c>
      <c r="DP199" s="17">
        <f>DO199*VLOOKUP('Données projet'!$B$14,Paramètres!$A$1:$I$89,3,0)*VLOOKUP('Données projet'!$B$14,Paramètres!$A$1:$I$89,5,0)</f>
        <v>1.3301360013429075E-13</v>
      </c>
      <c r="DQ199" s="13">
        <f t="shared" si="176"/>
        <v>1.9329766731057041E-12</v>
      </c>
      <c r="DR199" s="20">
        <f t="shared" si="177"/>
        <v>3.5982663925596575E-12</v>
      </c>
      <c r="DS199" s="59">
        <f t="shared" si="197"/>
        <v>293.3333333333369</v>
      </c>
      <c r="DT199" s="59">
        <f ca="1">AVERAGE(OFFSET($DS$3,0,0,'Données projet'!$E$14+1,1))-AVERAGE(OFFSET($H$3,0,0,'Données projet'!$E$14+1,1))</f>
        <v>376.33792692771908</v>
      </c>
      <c r="DU199" s="59">
        <f t="shared" si="209"/>
        <v>367.92889258044698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5.4004818463144047E-2</v>
      </c>
      <c r="EB199" s="21">
        <f>EXP(-LN(2)/25)*EB198+(1-EXP(-LN(2)/25))/(LN(2)/25)*Calculateur!DW199*Calculateur!DY199*VLOOKUP('Données projet'!$B$14,Paramètres!$A$1:$I$89,3,0)*0.475*44/12</f>
        <v>8.393126622857261E-2</v>
      </c>
      <c r="EC199" s="21">
        <f>EXP(-LN(2)/2)*EC198+(1-EXP(-LN(2)/2))/(LN(2)/2)*DW199*DZ199*VLOOKUP('Données projet'!$B$14,Paramètres!$A$1:$I$89,3,0)*0.475*44/12</f>
        <v>1.3515282931988077E-24</v>
      </c>
      <c r="ED199" s="22">
        <f t="shared" si="178"/>
        <v>0.13793608469171664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-3.0859155231155454E-13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469.68830256438338</v>
      </c>
      <c r="T200" s="59">
        <f t="shared" si="204"/>
        <v>332.61387922152159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8.8188724785985717E-2</v>
      </c>
      <c r="AA200" s="21">
        <f>EXP(-LN(2)/25)*AA199+(1-EXP(-LN(2)/25))/(LN(2)/25)*Calculateur!V200*Calculateur!X200*VLOOKUP('Données projet'!$B$9,Paramètres!$A$1:$I$89,3,0)*0.475*44/12</f>
        <v>0.11003661630519969</v>
      </c>
      <c r="AB200" s="21">
        <f>EXP(-LN(2)/2)*AB199+(1-EXP(-LN(2)/2))/(LN(2)/2)*V200*Y200*VLOOKUP('Données projet'!$B$9,Paramètres!$A$1:$I$89,3,0)*0.475*44/12</f>
        <v>1.5758318606995319E-24</v>
      </c>
      <c r="AC200" s="22">
        <f t="shared" si="163"/>
        <v>0.19822534109118539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-3.6711753637064249E-13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550.66682372933292</v>
      </c>
      <c r="AO200" s="59">
        <f t="shared" si="205"/>
        <v>387.28615589698444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0.10491417259022447</v>
      </c>
      <c r="AV200" s="21">
        <f>EXP(-LN(2)/25)*AV199+(1-EXP(-LN(2)/25))/(LN(2)/25)*Calculateur!AQ200*Calculateur!AS200*VLOOKUP('Données projet'!$B$10,Paramètres!$A$1:$I$89,3,0)*0.475*44/12</f>
        <v>0.13090562974239289</v>
      </c>
      <c r="AW200" s="21">
        <f>EXP(-LN(2)/2)*AW199+(1-EXP(-LN(2)/2))/(LN(2)/2)*AQ200*AT200*VLOOKUP('Données projet'!$B$10,Paramètres!$A$1:$I$89,3,0)*0.475*44/12</f>
        <v>1.8746965239356416E-24</v>
      </c>
      <c r="AX200" s="21">
        <f t="shared" si="166"/>
        <v>0.23581980233261735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1.3301360013429075E-13</v>
      </c>
      <c r="BF200" s="13">
        <f t="shared" si="167"/>
        <v>1.9329766731057041E-12</v>
      </c>
      <c r="BG200" s="20">
        <f t="shared" si="168"/>
        <v>3.5982663925596575E-12</v>
      </c>
      <c r="BH200" s="59">
        <f t="shared" si="194"/>
        <v>293.3333333333369</v>
      </c>
      <c r="BI200" s="59">
        <f ca="1">AVERAGE(OFFSET($BH$3,0,0,'Données projet'!$E$11+1,1))-AVERAGE(OFFSET($H$3,0,0,'Données projet'!$E$11+1,1))</f>
        <v>376.33792692771908</v>
      </c>
      <c r="BJ200" s="59">
        <f t="shared" si="206"/>
        <v>367.92889258044698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5.2945816912768534E-2</v>
      </c>
      <c r="BQ200" s="21">
        <f>EXP(-LN(2)/25)*BQ199+(1-EXP(-LN(2)/25))/(LN(2)/25)*Calculateur!BL200*Calculateur!BN200*VLOOKUP('Données projet'!$B$11,Paramètres!$A$1:$I$89,3,0)*0.475*44/12</f>
        <v>8.1636161339798827E-2</v>
      </c>
      <c r="BR200" s="21">
        <f>EXP(-LN(2)/2)*BR199+(1-EXP(-LN(2)/2))/(LN(2)/2)*BL200*BO200*VLOOKUP('Données projet'!$B$11,Paramètres!$A$1:$I$89,3,0)*0.475*44/12</f>
        <v>9.5567482108635733E-25</v>
      </c>
      <c r="BS200" s="22">
        <f t="shared" si="169"/>
        <v>0.13458197825256735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-1.0286385077051818E-13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388.50131600273431</v>
      </c>
      <c r="CE200" s="59">
        <f t="shared" si="207"/>
        <v>247.01165577562955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3.0290917997803184E-2</v>
      </c>
      <c r="CM200" s="21">
        <f>EXP(-LN(2)/2)*CM199+(1-EXP(-LN(2)/2))/(LN(2)/2)*CG200*CJ200*VLOOKUP('Données projet'!$B$12,Paramètres!$A$1:$I$89,3,0)*0.475*44/12</f>
        <v>4.5252257913391465E-25</v>
      </c>
      <c r="CN200" s="22">
        <f t="shared" si="172"/>
        <v>3.0290917997803184E-2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-1.223725121235475E-13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454.43000549907373</v>
      </c>
      <c r="CZ200" s="59">
        <f t="shared" si="208"/>
        <v>285.83623046025156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3.603574727324859E-2</v>
      </c>
      <c r="DH200" s="21">
        <f>EXP(-LN(2)/2)*DH199+(1-EXP(-LN(2)/2))/(LN(2)/2)*DB200*DE200*VLOOKUP('Données projet'!$B$13,Paramètres!$A$1:$I$89,3,0)*0.475*44/12</f>
        <v>5.383458269006925E-25</v>
      </c>
      <c r="DI200" s="22">
        <f t="shared" si="175"/>
        <v>3.603574727324859E-2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1.7053025658242404E-13</v>
      </c>
      <c r="DP200" s="17">
        <f>DO200*VLOOKUP('Données projet'!$B$14,Paramètres!$A$1:$I$89,3,0)*VLOOKUP('Données projet'!$B$14,Paramètres!$A$1:$I$89,5,0)</f>
        <v>1.3301360013429075E-13</v>
      </c>
      <c r="DQ200" s="13">
        <f t="shared" si="176"/>
        <v>1.9329766731057041E-12</v>
      </c>
      <c r="DR200" s="20">
        <f t="shared" si="177"/>
        <v>3.5982663925596575E-12</v>
      </c>
      <c r="DS200" s="59">
        <f t="shared" si="197"/>
        <v>293.3333333333369</v>
      </c>
      <c r="DT200" s="59">
        <f ca="1">AVERAGE(OFFSET($DS$3,0,0,'Données projet'!$E$14+1,1))-AVERAGE(OFFSET($H$3,0,0,'Données projet'!$E$14+1,1))</f>
        <v>376.33792692771908</v>
      </c>
      <c r="DU200" s="59">
        <f t="shared" si="209"/>
        <v>367.92889258044698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5.2945816912768534E-2</v>
      </c>
      <c r="EB200" s="21">
        <f>EXP(-LN(2)/25)*EB199+(1-EXP(-LN(2)/25))/(LN(2)/25)*Calculateur!DW200*Calculateur!DY200*VLOOKUP('Données projet'!$B$14,Paramètres!$A$1:$I$89,3,0)*0.475*44/12</f>
        <v>8.1636161339798827E-2</v>
      </c>
      <c r="EC200" s="21">
        <f>EXP(-LN(2)/2)*EC199+(1-EXP(-LN(2)/2))/(LN(2)/2)*DW200*DZ200*VLOOKUP('Données projet'!$B$14,Paramètres!$A$1:$I$89,3,0)*0.475*44/12</f>
        <v>9.5567482108635733E-25</v>
      </c>
      <c r="ED200" s="22">
        <f t="shared" si="178"/>
        <v>0.13458197825256735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-3.0859155231155454E-13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469.68830256438338</v>
      </c>
      <c r="T201" s="59">
        <f t="shared" si="204"/>
        <v>332.61387922152159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8.6459397682743355E-2</v>
      </c>
      <c r="AA201" s="21">
        <f>EXP(-LN(2)/25)*AA200+(1-EXP(-LN(2)/25))/(LN(2)/25)*Calculateur!V201*Calculateur!X201*VLOOKUP('Données projet'!$B$9,Paramètres!$A$1:$I$89,3,0)*0.475*44/12</f>
        <v>0.10702765924575984</v>
      </c>
      <c r="AB201" s="21">
        <f>EXP(-LN(2)/2)*AB200+(1-EXP(-LN(2)/2))/(LN(2)/2)*V201*Y201*VLOOKUP('Données projet'!$B$9,Paramètres!$A$1:$I$89,3,0)*0.475*44/12</f>
        <v>1.1142813947104539E-24</v>
      </c>
      <c r="AC201" s="22">
        <f t="shared" si="163"/>
        <v>0.19348705692850321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-3.6711753637064249E-13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550.66682372933292</v>
      </c>
      <c r="AO201" s="59">
        <f t="shared" si="205"/>
        <v>387.28615589698444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0.10285686965705683</v>
      </c>
      <c r="AV201" s="21">
        <f>EXP(-LN(2)/25)*AV200+(1-EXP(-LN(2)/25))/(LN(2)/25)*Calculateur!AQ201*Calculateur!AS201*VLOOKUP('Données projet'!$B$10,Paramètres!$A$1:$I$89,3,0)*0.475*44/12</f>
        <v>0.12732600841305927</v>
      </c>
      <c r="AW201" s="21">
        <f>EXP(-LN(2)/2)*AW200+(1-EXP(-LN(2)/2))/(LN(2)/2)*AQ201*AT201*VLOOKUP('Données projet'!$B$10,Paramètres!$A$1:$I$89,3,0)*0.475*44/12</f>
        <v>1.325610624741741E-24</v>
      </c>
      <c r="AX201" s="21">
        <f t="shared" si="166"/>
        <v>0.23018287807011611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1.3301360013429075E-13</v>
      </c>
      <c r="BF201" s="13">
        <f t="shared" si="167"/>
        <v>1.9329766731057041E-12</v>
      </c>
      <c r="BG201" s="20">
        <f t="shared" si="168"/>
        <v>3.5982663925596575E-12</v>
      </c>
      <c r="BH201" s="59">
        <f t="shared" si="194"/>
        <v>293.3333333333369</v>
      </c>
      <c r="BI201" s="59">
        <f ca="1">AVERAGE(OFFSET($BH$3,0,0,'Données projet'!$E$11+1,1))-AVERAGE(OFFSET($H$3,0,0,'Données projet'!$E$11+1,1))</f>
        <v>376.33792692771908</v>
      </c>
      <c r="BJ201" s="59">
        <f t="shared" si="206"/>
        <v>367.92889258044698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5.1907581736868713E-2</v>
      </c>
      <c r="BQ201" s="21">
        <f>EXP(-LN(2)/25)*BQ200+(1-EXP(-LN(2)/25))/(LN(2)/25)*Calculateur!BL201*Calculateur!BN201*VLOOKUP('Données projet'!$B$11,Paramètres!$A$1:$I$89,3,0)*0.475*44/12</f>
        <v>7.9403816214902889E-2</v>
      </c>
      <c r="BR201" s="21">
        <f>EXP(-LN(2)/2)*BR200+(1-EXP(-LN(2)/2))/(LN(2)/2)*BL201*BO201*VLOOKUP('Données projet'!$B$11,Paramètres!$A$1:$I$89,3,0)*0.475*44/12</f>
        <v>6.7576414659940384E-25</v>
      </c>
      <c r="BS201" s="22">
        <f t="shared" si="169"/>
        <v>0.1313113979517716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-1.0286385077051818E-13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388.50131600273431</v>
      </c>
      <c r="CE201" s="59">
        <f t="shared" si="207"/>
        <v>247.01165577562955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2.946261125222311E-2</v>
      </c>
      <c r="CM201" s="21">
        <f>EXP(-LN(2)/2)*CM200+(1-EXP(-LN(2)/2))/(LN(2)/2)*CG201*CJ201*VLOOKUP('Données projet'!$B$12,Paramètres!$A$1:$I$89,3,0)*0.475*44/12</f>
        <v>3.1998178434561713E-25</v>
      </c>
      <c r="CN201" s="22">
        <f t="shared" si="172"/>
        <v>2.946261125222311E-2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-1.223725121235475E-13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454.43000549907373</v>
      </c>
      <c r="CZ201" s="59">
        <f t="shared" si="208"/>
        <v>285.83623046025156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3.5050347869024022E-2</v>
      </c>
      <c r="DH201" s="21">
        <f>EXP(-LN(2)/2)*DH200+(1-EXP(-LN(2)/2))/(LN(2)/2)*DB201*DE201*VLOOKUP('Données projet'!$B$13,Paramètres!$A$1:$I$89,3,0)*0.475*44/12</f>
        <v>3.8066798482495897E-25</v>
      </c>
      <c r="DI201" s="22">
        <f t="shared" si="175"/>
        <v>3.5050347869024022E-2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1.7053025658242404E-13</v>
      </c>
      <c r="DP201" s="17">
        <f>DO201*VLOOKUP('Données projet'!$B$14,Paramètres!$A$1:$I$89,3,0)*VLOOKUP('Données projet'!$B$14,Paramètres!$A$1:$I$89,5,0)</f>
        <v>1.3301360013429075E-13</v>
      </c>
      <c r="DQ201" s="13">
        <f t="shared" si="176"/>
        <v>1.9329766731057041E-12</v>
      </c>
      <c r="DR201" s="20">
        <f t="shared" si="177"/>
        <v>3.5982663925596575E-12</v>
      </c>
      <c r="DS201" s="59">
        <f t="shared" si="197"/>
        <v>293.3333333333369</v>
      </c>
      <c r="DT201" s="59">
        <f ca="1">AVERAGE(OFFSET($DS$3,0,0,'Données projet'!$E$14+1,1))-AVERAGE(OFFSET($H$3,0,0,'Données projet'!$E$14+1,1))</f>
        <v>376.33792692771908</v>
      </c>
      <c r="DU201" s="59">
        <f t="shared" si="209"/>
        <v>367.92889258044698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5.1907581736868713E-2</v>
      </c>
      <c r="EB201" s="21">
        <f>EXP(-LN(2)/25)*EB200+(1-EXP(-LN(2)/25))/(LN(2)/25)*Calculateur!DW201*Calculateur!DY201*VLOOKUP('Données projet'!$B$14,Paramètres!$A$1:$I$89,3,0)*0.475*44/12</f>
        <v>7.9403816214902889E-2</v>
      </c>
      <c r="EC201" s="21">
        <f>EXP(-LN(2)/2)*EC200+(1-EXP(-LN(2)/2))/(LN(2)/2)*DW201*DZ201*VLOOKUP('Données projet'!$B$14,Paramètres!$A$1:$I$89,3,0)*0.475*44/12</f>
        <v>6.7576414659940384E-25</v>
      </c>
      <c r="ED201" s="22">
        <f t="shared" si="178"/>
        <v>0.1313113979517716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-3.0859155231155454E-13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469.68830256438338</v>
      </c>
      <c r="T202" s="59">
        <f t="shared" si="204"/>
        <v>332.61387922152159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8.47639816292102E-2</v>
      </c>
      <c r="AA202" s="21">
        <f>EXP(-LN(2)/25)*AA201+(1-EXP(-LN(2)/25))/(LN(2)/25)*Calculateur!V202*Calculateur!X202*VLOOKUP('Données projet'!$B$9,Paramètres!$A$1:$I$89,3,0)*0.475*44/12</f>
        <v>0.10410098227534455</v>
      </c>
      <c r="AB202" s="21">
        <f>EXP(-LN(2)/2)*AB201+(1-EXP(-LN(2)/2))/(LN(2)/2)*V202*Y202*VLOOKUP('Données projet'!$B$9,Paramètres!$A$1:$I$89,3,0)*0.475*44/12</f>
        <v>7.8791593034976596E-25</v>
      </c>
      <c r="AC202" s="22">
        <f t="shared" si="163"/>
        <v>0.18886496390455476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-3.6711753637064249E-13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550.66682372933292</v>
      </c>
      <c r="AO202" s="59">
        <f t="shared" si="205"/>
        <v>387.28615589698444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0.10083990917957772</v>
      </c>
      <c r="AV202" s="21">
        <f>EXP(-LN(2)/25)*AV201+(1-EXP(-LN(2)/25))/(LN(2)/25)*Calculateur!AQ202*Calculateur!AS202*VLOOKUP('Données projet'!$B$10,Paramètres!$A$1:$I$89,3,0)*0.475*44/12</f>
        <v>0.1238442720172204</v>
      </c>
      <c r="AW202" s="21">
        <f>EXP(-LN(2)/2)*AW201+(1-EXP(-LN(2)/2))/(LN(2)/2)*AQ202*AT202*VLOOKUP('Données projet'!$B$10,Paramètres!$A$1:$I$89,3,0)*0.475*44/12</f>
        <v>9.3734826196782078E-25</v>
      </c>
      <c r="AX202" s="21">
        <f t="shared" si="166"/>
        <v>0.22468418119679812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1.3301360013429075E-13</v>
      </c>
      <c r="BF202" s="13">
        <f t="shared" si="167"/>
        <v>1.9329766731057041E-12</v>
      </c>
      <c r="BG202" s="20">
        <f t="shared" si="168"/>
        <v>3.5982663925596575E-12</v>
      </c>
      <c r="BH202" s="59">
        <f t="shared" si="194"/>
        <v>293.3333333333369</v>
      </c>
      <c r="BI202" s="59">
        <f ca="1">AVERAGE(OFFSET($BH$3,0,0,'Données projet'!$E$11+1,1))-AVERAGE(OFFSET($H$3,0,0,'Données projet'!$E$11+1,1))</f>
        <v>376.33792692771908</v>
      </c>
      <c r="BJ202" s="59">
        <f t="shared" si="206"/>
        <v>367.92889258044698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5.0889705719507364E-2</v>
      </c>
      <c r="BQ202" s="21">
        <f>EXP(-LN(2)/25)*BQ201+(1-EXP(-LN(2)/25))/(LN(2)/25)*Calculateur!BL202*Calculateur!BN202*VLOOKUP('Données projet'!$B$11,Paramètres!$A$1:$I$89,3,0)*0.475*44/12</f>
        <v>7.7232514684841158E-2</v>
      </c>
      <c r="BR202" s="21">
        <f>EXP(-LN(2)/2)*BR201+(1-EXP(-LN(2)/2))/(LN(2)/2)*BL202*BO202*VLOOKUP('Données projet'!$B$11,Paramètres!$A$1:$I$89,3,0)*0.475*44/12</f>
        <v>4.7783741054317866E-25</v>
      </c>
      <c r="BS202" s="22">
        <f t="shared" si="169"/>
        <v>0.12812222040434851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-1.0286385077051818E-13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388.50131600273431</v>
      </c>
      <c r="CE202" s="59">
        <f t="shared" si="207"/>
        <v>247.01165577562955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2.865695459815968E-2</v>
      </c>
      <c r="CM202" s="21">
        <f>EXP(-LN(2)/2)*CM201+(1-EXP(-LN(2)/2))/(LN(2)/2)*CG202*CJ202*VLOOKUP('Données projet'!$B$12,Paramètres!$A$1:$I$89,3,0)*0.475*44/12</f>
        <v>2.2626128956695732E-25</v>
      </c>
      <c r="CN202" s="22">
        <f t="shared" si="172"/>
        <v>2.865695459815968E-2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-1.223725121235475E-13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454.43000549907373</v>
      </c>
      <c r="CZ202" s="59">
        <f t="shared" si="208"/>
        <v>285.83623046025156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3.4091894263327871E-2</v>
      </c>
      <c r="DH202" s="21">
        <f>EXP(-LN(2)/2)*DH201+(1-EXP(-LN(2)/2))/(LN(2)/2)*DB202*DE202*VLOOKUP('Données projet'!$B$13,Paramètres!$A$1:$I$89,3,0)*0.475*44/12</f>
        <v>2.6917291345034625E-25</v>
      </c>
      <c r="DI202" s="22">
        <f t="shared" si="175"/>
        <v>3.4091894263327871E-2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1.7053025658242404E-13</v>
      </c>
      <c r="DP202" s="17">
        <f>DO202*VLOOKUP('Données projet'!$B$14,Paramètres!$A$1:$I$89,3,0)*VLOOKUP('Données projet'!$B$14,Paramètres!$A$1:$I$89,5,0)</f>
        <v>1.3301360013429075E-13</v>
      </c>
      <c r="DQ202" s="13">
        <f t="shared" si="176"/>
        <v>1.9329766731057041E-12</v>
      </c>
      <c r="DR202" s="20">
        <f t="shared" si="177"/>
        <v>3.5982663925596575E-12</v>
      </c>
      <c r="DS202" s="59">
        <f t="shared" si="197"/>
        <v>293.3333333333369</v>
      </c>
      <c r="DT202" s="59">
        <f ca="1">AVERAGE(OFFSET($DS$3,0,0,'Données projet'!$E$14+1,1))-AVERAGE(OFFSET($H$3,0,0,'Données projet'!$E$14+1,1))</f>
        <v>376.33792692771908</v>
      </c>
      <c r="DU202" s="59">
        <f t="shared" si="209"/>
        <v>367.92889258044698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5.0889705719507364E-2</v>
      </c>
      <c r="EB202" s="21">
        <f>EXP(-LN(2)/25)*EB201+(1-EXP(-LN(2)/25))/(LN(2)/25)*Calculateur!DW202*Calculateur!DY202*VLOOKUP('Données projet'!$B$14,Paramètres!$A$1:$I$89,3,0)*0.475*44/12</f>
        <v>7.7232514684841158E-2</v>
      </c>
      <c r="EC202" s="21">
        <f>EXP(-LN(2)/2)*EC201+(1-EXP(-LN(2)/2))/(LN(2)/2)*DW202*DZ202*VLOOKUP('Données projet'!$B$14,Paramètres!$A$1:$I$89,3,0)*0.475*44/12</f>
        <v>4.7783741054317866E-25</v>
      </c>
      <c r="ED202" s="22">
        <f t="shared" si="178"/>
        <v>0.12812222040434851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-3.0859155231155454E-13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469.68830256438338</v>
      </c>
      <c r="T203" s="59">
        <f t="shared" si="204"/>
        <v>332.61387922152159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8.3101811650385146E-2</v>
      </c>
      <c r="AA203" s="21">
        <f>EXP(-LN(2)/25)*AA202+(1-EXP(-LN(2)/25))/(LN(2)/25)*Calculateur!V203*Calculateur!X203*VLOOKUP('Données projet'!$B$9,Paramètres!$A$1:$I$89,3,0)*0.475*44/12</f>
        <v>0.10125433544059252</v>
      </c>
      <c r="AB203" s="21">
        <f>EXP(-LN(2)/2)*AB202+(1-EXP(-LN(2)/2))/(LN(2)/2)*V203*Y203*VLOOKUP('Données projet'!$B$9,Paramètres!$A$1:$I$89,3,0)*0.475*44/12</f>
        <v>5.5714069735522697E-25</v>
      </c>
      <c r="AC203" s="22">
        <f t="shared" si="163"/>
        <v>0.18435614709097767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-3.6711753637064249E-13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550.66682372933292</v>
      </c>
      <c r="AO203" s="59">
        <f t="shared" si="205"/>
        <v>387.28615589698444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9.8862500066837555E-2</v>
      </c>
      <c r="AV203" s="21">
        <f>EXP(-LN(2)/25)*AV202+(1-EXP(-LN(2)/25))/(LN(2)/25)*Calculateur!AQ203*Calculateur!AS203*VLOOKUP('Données projet'!$B$10,Paramètres!$A$1:$I$89,3,0)*0.475*44/12</f>
        <v>0.1204577438862223</v>
      </c>
      <c r="AW203" s="21">
        <f>EXP(-LN(2)/2)*AW202+(1-EXP(-LN(2)/2))/(LN(2)/2)*AQ203*AT203*VLOOKUP('Données projet'!$B$10,Paramètres!$A$1:$I$89,3,0)*0.475*44/12</f>
        <v>6.6280531237087048E-25</v>
      </c>
      <c r="AX203" s="21">
        <f t="shared" si="166"/>
        <v>0.21932024395305985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1.3301360013429075E-13</v>
      </c>
      <c r="BF203" s="13">
        <f t="shared" si="167"/>
        <v>1.9329766731057041E-12</v>
      </c>
      <c r="BG203" s="20">
        <f t="shared" si="168"/>
        <v>3.5982663925596575E-12</v>
      </c>
      <c r="BH203" s="59">
        <f t="shared" si="194"/>
        <v>293.3333333333369</v>
      </c>
      <c r="BI203" s="59">
        <f ca="1">AVERAGE(OFFSET($BH$3,0,0,'Données projet'!$E$11+1,1))-AVERAGE(OFFSET($H$3,0,0,'Données projet'!$E$11+1,1))</f>
        <v>376.33792692771908</v>
      </c>
      <c r="BJ203" s="59">
        <f t="shared" si="206"/>
        <v>367.92889258044698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4.9891789630003403E-2</v>
      </c>
      <c r="BQ203" s="21">
        <f>EXP(-LN(2)/25)*BQ202+(1-EXP(-LN(2)/25))/(LN(2)/25)*Calculateur!BL203*Calculateur!BN203*VLOOKUP('Données projet'!$B$11,Paramètres!$A$1:$I$89,3,0)*0.475*44/12</f>
        <v>7.5120587509302741E-2</v>
      </c>
      <c r="BR203" s="21">
        <f>EXP(-LN(2)/2)*BR202+(1-EXP(-LN(2)/2))/(LN(2)/2)*BL203*BO203*VLOOKUP('Données projet'!$B$11,Paramètres!$A$1:$I$89,3,0)*0.475*44/12</f>
        <v>3.3788207329970192E-25</v>
      </c>
      <c r="BS203" s="22">
        <f t="shared" si="169"/>
        <v>0.12501237713930613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-1.0286385077051818E-13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388.50131600273431</v>
      </c>
      <c r="CE203" s="59">
        <f t="shared" si="207"/>
        <v>247.01165577562955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2.7873328667669256E-2</v>
      </c>
      <c r="CM203" s="21">
        <f>EXP(-LN(2)/2)*CM202+(1-EXP(-LN(2)/2))/(LN(2)/2)*CG203*CJ203*VLOOKUP('Données projet'!$B$12,Paramètres!$A$1:$I$89,3,0)*0.475*44/12</f>
        <v>1.5999089217280856E-25</v>
      </c>
      <c r="CN203" s="22">
        <f t="shared" si="172"/>
        <v>2.7873328667669256E-2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-1.223725121235475E-13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454.43000549907373</v>
      </c>
      <c r="CZ203" s="59">
        <f t="shared" si="208"/>
        <v>285.83623046025156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3.3159649621882371E-2</v>
      </c>
      <c r="DH203" s="21">
        <f>EXP(-LN(2)/2)*DH202+(1-EXP(-LN(2)/2))/(LN(2)/2)*DB203*DE203*VLOOKUP('Données projet'!$B$13,Paramètres!$A$1:$I$89,3,0)*0.475*44/12</f>
        <v>1.9033399241247948E-25</v>
      </c>
      <c r="DI203" s="22">
        <f t="shared" si="175"/>
        <v>3.3159649621882371E-2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1.7053025658242404E-13</v>
      </c>
      <c r="DP203" s="17">
        <f>DO203*VLOOKUP('Données projet'!$B$14,Paramètres!$A$1:$I$89,3,0)*VLOOKUP('Données projet'!$B$14,Paramètres!$A$1:$I$89,5,0)</f>
        <v>1.3301360013429075E-13</v>
      </c>
      <c r="DQ203" s="13">
        <f t="shared" si="176"/>
        <v>1.9329766731057041E-12</v>
      </c>
      <c r="DR203" s="20">
        <f t="shared" si="177"/>
        <v>3.5982663925596575E-12</v>
      </c>
      <c r="DS203" s="59">
        <f t="shared" si="197"/>
        <v>293.3333333333369</v>
      </c>
      <c r="DT203" s="59">
        <f ca="1">AVERAGE(OFFSET($DS$3,0,0,'Données projet'!$E$14+1,1))-AVERAGE(OFFSET($H$3,0,0,'Données projet'!$E$14+1,1))</f>
        <v>376.33792692771908</v>
      </c>
      <c r="DU203" s="59">
        <f t="shared" si="209"/>
        <v>367.92889258044698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4.9891789630003403E-2</v>
      </c>
      <c r="EB203" s="21">
        <f>EXP(-LN(2)/25)*EB202+(1-EXP(-LN(2)/25))/(LN(2)/25)*Calculateur!DW203*Calculateur!DY203*VLOOKUP('Données projet'!$B$14,Paramètres!$A$1:$I$89,3,0)*0.475*44/12</f>
        <v>7.5120587509302741E-2</v>
      </c>
      <c r="EC203" s="21">
        <f>EXP(-LN(2)/2)*EC202+(1-EXP(-LN(2)/2))/(LN(2)/2)*DW203*DZ203*VLOOKUP('Données projet'!$B$14,Paramètres!$A$1:$I$89,3,0)*0.475*44/12</f>
        <v>3.3788207329970192E-25</v>
      </c>
      <c r="ED203" s="22">
        <f t="shared" si="178"/>
        <v>0.12501237713930613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1.2688471048731957</v>
      </c>
      <c r="BV205" s="82">
        <f>EXP(LN('Données projet'!B114)/'Données projet'!A114)</f>
        <v>1.2054868146447177</v>
      </c>
      <c r="CQ205" s="82">
        <f>EXP(LN('Données projet'!B140)/'Données projet'!A140)</f>
        <v>1.2054868146447177</v>
      </c>
      <c r="DL205" s="82">
        <f>EXP(LN('Données projet'!B166)/'Données projet'!A166)</f>
        <v>1.2688471048731957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K16" activeCellId="2" sqref="G16 I16 K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9.3725664131854884</v>
      </c>
      <c r="C6" s="147">
        <f ca="1">IF(OR('Données projet'!B9="",'Données projet'!C9="",'Données projet'!C9=0%),0,Calculateur!S3)</f>
        <v>469.68830256438338</v>
      </c>
      <c r="D6" s="147">
        <f>IF(OR('Données projet'!B9="",'Données projet'!C9="",'Données projet'!C9=0%),0,Calculateur!T3)</f>
        <v>332.61387922152159</v>
      </c>
      <c r="E6" s="147">
        <f ca="1">MIN(C6,D6)</f>
        <v>332.61387922152159</v>
      </c>
      <c r="F6" s="147">
        <f ca="1">E6*B6</f>
        <v>3117.4456729509679</v>
      </c>
      <c r="G6" s="147">
        <f ca="1">F6*(100%-'Données projet'!$C$24)*(100%-'Données projet'!$C$25)*(100%-'Données projet'!$C$26)*(100%-'Données projet'!$C$27)</f>
        <v>2805.7011056558713</v>
      </c>
      <c r="H6" s="148">
        <f>IF(OR('Données projet'!B9="",'Données projet'!C9="",'Données projet'!C9=0%),0,AVERAGE(Calculateur!$AC$3:$AC$33)*B6)</f>
        <v>13.656884604432721</v>
      </c>
      <c r="I6" s="149">
        <f>H6*(100%-'Données projet'!$C$24)*(100%-'Données projet'!$C$25)*(100%-'Données projet'!$C$26)*(100%-'Données projet'!$C$27)</f>
        <v>12.291196143989449</v>
      </c>
      <c r="J6" s="150">
        <f>IF(OR('Données projet'!B9="",'Données projet'!C9="",'Données projet'!C9=0%),0,SUM(Calculateur!$V$3:$V$33)*VLOOKUP('Données projet'!$B$9,Paramètres!$A$1:$I$89,9,0)*B6)</f>
        <v>145.27477940437507</v>
      </c>
      <c r="K6" s="151">
        <f>J6*(100%-'Données projet'!$C$24)*(100%-'Données projet'!$C$25)*(100%-'Données projet'!$C$26)*(100%-'Données projet'!$C$27)</f>
        <v>130.74730146393756</v>
      </c>
      <c r="L6" s="152">
        <f ca="1">G6+I6+K6</f>
        <v>2948.7396032637985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Cormier</v>
      </c>
      <c r="B7" s="154">
        <f>'Données projet'!D10</f>
        <v>0.89262537268433229</v>
      </c>
      <c r="C7" s="147">
        <f ca="1">IF(OR('Données projet'!B10="",'Données projet'!C10="",'Données projet'!C10=0%),0,Calculateur!AN3)</f>
        <v>550.66682372933292</v>
      </c>
      <c r="D7" s="147">
        <f>IF(OR('Données projet'!B10="",'Données projet'!C10="",'Données projet'!C10=0%),0,Calculateur!AO3)</f>
        <v>387.28615589698444</v>
      </c>
      <c r="E7" s="147">
        <f t="shared" ref="E7:E15" ca="1" si="0">MIN(C7,D7)</f>
        <v>387.28615589698444</v>
      </c>
      <c r="F7" s="147">
        <f t="shared" ref="F7:F15" ca="1" si="1">E7*B7</f>
        <v>345.70144924302815</v>
      </c>
      <c r="G7" s="147">
        <f ca="1">F7*(100%-'Données projet'!$C$24)*(100%-'Données projet'!$C$25)*(100%-'Données projet'!$C$26)*(100%-'Données projet'!$C$27)</f>
        <v>311.13130431872537</v>
      </c>
      <c r="H7" s="155">
        <f>IF(OR('Données projet'!B10="",'Données projet'!C10="",'Données projet'!C10=0%),0,AVERAGE(Calculateur!$AX$3:$AX$33)*B7)</f>
        <v>1.5473317532115889</v>
      </c>
      <c r="I7" s="149">
        <f>H7*(100%-'Données projet'!$C$24)*(100%-'Données projet'!$C$25)*(100%-'Données projet'!$C$26)*(100%-'Données projet'!$C$27)</f>
        <v>1.39259857789043</v>
      </c>
      <c r="J7" s="150">
        <f>IF(OR('Données projet'!B10="",'Données projet'!C10="",'Données projet'!C10=0%),0,SUM(Calculateur!$AQ$3:$AQ$33)*VLOOKUP('Données projet'!$B$10,Paramètres!$A$1:$I$89,9,0)*B7)</f>
        <v>13.835693276607151</v>
      </c>
      <c r="K7" s="151">
        <f>J7*(100%-'Données projet'!$C$24)*(100%-'Données projet'!$C$25)*(100%-'Données projet'!$C$26)*(100%-'Données projet'!$C$27)</f>
        <v>12.452123948946436</v>
      </c>
      <c r="L7" s="152">
        <f t="shared" ref="L7:L15" ca="1" si="2">G7+I7+K7</f>
        <v>324.97602684556227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Merisier</v>
      </c>
      <c r="B8" s="154">
        <f>'Données projet'!D11</f>
        <v>0.89262537268433229</v>
      </c>
      <c r="C8" s="147">
        <f ca="1">IF(OR('Données projet'!B11="",'Données projet'!C11="",'Données projet'!C11=0%),0,Calculateur!BI3)</f>
        <v>376.33792692771908</v>
      </c>
      <c r="D8" s="147">
        <f>IF(OR('Données projet'!B11="",'Données projet'!C11="",'Données projet'!C11=0%),0,Calculateur!BJ3)</f>
        <v>367.92889258044698</v>
      </c>
      <c r="E8" s="147">
        <f t="shared" ca="1" si="0"/>
        <v>367.92889258044698</v>
      </c>
      <c r="F8" s="147">
        <f t="shared" ca="1" si="1"/>
        <v>328.42266486095514</v>
      </c>
      <c r="G8" s="147">
        <f ca="1">F8*(100%-'Données projet'!$C$24)*(100%-'Données projet'!$C$25)*(100%-'Données projet'!$C$26)*(100%-'Données projet'!$C$27)</f>
        <v>295.58039837485961</v>
      </c>
      <c r="H8" s="155">
        <f>IF(OR('Données projet'!B11="",'Données projet'!C11="",'Données projet'!C11=0%),0,AVERAGE(Calculateur!$BS$3:$BS$33)*B8)</f>
        <v>1.7677758617387289</v>
      </c>
      <c r="I8" s="149">
        <f>H8*(100%-'Données projet'!$C$24)*(100%-'Données projet'!$C$25)*(100%-'Données projet'!$C$26)*(100%-'Données projet'!$C$27)</f>
        <v>1.590998275564856</v>
      </c>
      <c r="J8" s="150">
        <f>IF(OR('Données projet'!B11="",'Données projet'!C11="",'Données projet'!C11=0%),0,SUM(Calculateur!$BL$3:$BL$33)*VLOOKUP('Données projet'!$B$11,Paramètres!$A$1:$I$89,9,0)*B8)</f>
        <v>14.728318649291483</v>
      </c>
      <c r="K8" s="151">
        <f>J8*(100%-'Données projet'!$C$24)*(100%-'Données projet'!$C$25)*(100%-'Données projet'!$C$26)*(100%-'Données projet'!$C$27)</f>
        <v>13.255486784362335</v>
      </c>
      <c r="L8" s="152">
        <f t="shared" ca="1" si="2"/>
        <v>310.42688343478682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sessile</v>
      </c>
      <c r="B9" s="154">
        <f>'Données projet'!D12</f>
        <v>3.2274335868145125</v>
      </c>
      <c r="C9" s="147">
        <f ca="1">IF(OR('Données projet'!B12="",'Données projet'!C12="",'Données projet'!C12=0%),0,Calculateur!CD3)</f>
        <v>388.50131600273431</v>
      </c>
      <c r="D9" s="147">
        <f>IF(OR('Données projet'!B12="",'Données projet'!C12="",'Données projet'!C12=0%),0,Calculateur!CE3)</f>
        <v>247.01165577562955</v>
      </c>
      <c r="E9" s="147">
        <f t="shared" ca="1" si="0"/>
        <v>247.01165577562955</v>
      </c>
      <c r="F9" s="147">
        <f t="shared" ca="1" si="1"/>
        <v>797.21371418493175</v>
      </c>
      <c r="G9" s="147">
        <f ca="1">F9*(100%-'Données projet'!$C$24)*(100%-'Données projet'!$C$25)*(100%-'Données projet'!$C$26)*(100%-'Données projet'!$C$27)</f>
        <v>717.49234276643858</v>
      </c>
      <c r="H9" s="155">
        <f>IF(OR('Données projet'!B12="",'Données projet'!C12="",'Données projet'!C12=0%),0,AVERAGE(Calculateur!$CN$3:$CN$33)*B9)</f>
        <v>0.96773930072012437</v>
      </c>
      <c r="I9" s="149">
        <f>H9*(100%-'Données projet'!$C$24)*(100%-'Données projet'!$C$25)*(100%-'Données projet'!$C$26)*(100%-'Données projet'!$C$27)</f>
        <v>0.87096537064811197</v>
      </c>
      <c r="J9" s="150">
        <f>IF(OR('Données projet'!B12="",'Données projet'!C12="",'Données projet'!C12=0%),0,SUM(Calculateur!$CG$3:$CG$33)*VLOOKUP('Données projet'!$B$12,Paramètres!$A$1:$I$89,9,0)*B9)</f>
        <v>23.398893504405216</v>
      </c>
      <c r="K9" s="151">
        <f>J9*(100%-'Données projet'!$C$24)*(100%-'Données projet'!$C$25)*(100%-'Données projet'!$C$26)*(100%-'Données projet'!$C$27)</f>
        <v>21.059004153964693</v>
      </c>
      <c r="L9" s="152">
        <f t="shared" ca="1" si="2"/>
        <v>739.42231229105141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Cormier</v>
      </c>
      <c r="B10" s="154">
        <f>'Données projet'!D13</f>
        <v>0.30737462731566789</v>
      </c>
      <c r="C10" s="147">
        <f ca="1">IF(OR('Données projet'!B13="",'Données projet'!C13="",'Données projet'!C13=0%),0,Calculateur!CY3)</f>
        <v>454.43000549907373</v>
      </c>
      <c r="D10" s="147">
        <f>IF(OR('Données projet'!B13="",'Données projet'!C13="",'Données projet'!C13=0%),0,Calculateur!CZ3)</f>
        <v>285.83623046025156</v>
      </c>
      <c r="E10" s="147">
        <f t="shared" ca="1" si="0"/>
        <v>285.83623046025156</v>
      </c>
      <c r="F10" s="147">
        <f t="shared" ca="1" si="1"/>
        <v>87.858804811035185</v>
      </c>
      <c r="G10" s="147">
        <f ca="1">F10*(100%-'Données projet'!$C$24)*(100%-'Données projet'!$C$25)*(100%-'Données projet'!$C$26)*(100%-'Données projet'!$C$27)</f>
        <v>79.072924329931666</v>
      </c>
      <c r="H10" s="155">
        <f>IF(OR('Données projet'!B13="",'Données projet'!C13="",'Données projet'!C13=0%),0,AVERAGE(Calculateur!$DI$3:$DI$33)*B10)</f>
        <v>0.10964533949045747</v>
      </c>
      <c r="I10" s="149">
        <f>H10*(100%-'Données projet'!$C$24)*(100%-'Données projet'!$C$25)*(100%-'Données projet'!$C$26)*(100%-'Données projet'!$C$27)</f>
        <v>9.8680805541411731E-2</v>
      </c>
      <c r="J10" s="150">
        <f>IF(OR('Données projet'!B13="",'Données projet'!C13="",'Données projet'!C13=0%),0,SUM(Calculateur!$DB$3:$DB$33)*VLOOKUP('Données projet'!$B$13,Paramètres!$A$1:$I$89,9,0)*B10)</f>
        <v>2.2284660480385923</v>
      </c>
      <c r="K10" s="151">
        <f>J10*(100%-'Données projet'!$C$24)*(100%-'Données projet'!$C$25)*(100%-'Données projet'!$C$26)*(100%-'Données projet'!$C$27)</f>
        <v>2.0056194432347332</v>
      </c>
      <c r="L10" s="152">
        <f t="shared" ca="1" si="2"/>
        <v>81.177224578707808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Merisier</v>
      </c>
      <c r="B11" s="154">
        <f>'Données projet'!D14</f>
        <v>0.30737462731566789</v>
      </c>
      <c r="C11" s="147">
        <f ca="1">IF(OR('Données projet'!B14="",'Données projet'!C14="",'Données projet'!C14=0%),0,Calculateur!DT3)</f>
        <v>376.33792692771908</v>
      </c>
      <c r="D11" s="147">
        <f>IF(OR('Données projet'!B14="",'Données projet'!C14="",'Données projet'!C14=0%),0,Calculateur!DU3)</f>
        <v>367.92889258044698</v>
      </c>
      <c r="E11" s="147">
        <f t="shared" ca="1" si="0"/>
        <v>367.92889258044698</v>
      </c>
      <c r="F11" s="147">
        <f t="shared" ca="1" si="1"/>
        <v>113.09200623558129</v>
      </c>
      <c r="G11" s="147">
        <f ca="1">F11*(100%-'Données projet'!$C$24)*(100%-'Données projet'!$C$25)*(100%-'Données projet'!$C$26)*(100%-'Données projet'!$C$27)</f>
        <v>101.78280561202317</v>
      </c>
      <c r="H11" s="155">
        <f>IF(OR('Données projet'!B14="",'Données projet'!C14="",'Données projet'!C14=0%),0,AVERAGE(Calculateur!$ED$3:$ED$33)*B11)</f>
        <v>0.6087317964596245</v>
      </c>
      <c r="I11" s="149">
        <f>H11*(100%-'Données projet'!$C$24)*(100%-'Données projet'!$C$25)*(100%-'Données projet'!$C$26)*(100%-'Données projet'!$C$27)</f>
        <v>0.5478586168136621</v>
      </c>
      <c r="J11" s="150">
        <f>IF(OR('Données projet'!B14="",'Données projet'!C14="",'Données projet'!C14=0%),0,SUM(Calculateur!$DW$3:$DW$33)*VLOOKUP('Données projet'!$B$14,Paramètres!$A$1:$I$89,9,0)*B11)</f>
        <v>5.0716813507085199</v>
      </c>
      <c r="K11" s="151">
        <f>J11*(100%-'Données projet'!$C$24)*(100%-'Données projet'!$C$25)*(100%-'Données projet'!$C$26)*(100%-'Données projet'!$C$27)</f>
        <v>4.5645132156376684</v>
      </c>
      <c r="L11" s="152">
        <f t="shared" ca="1" si="2"/>
        <v>106.8951774444745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4789.7343122864995</v>
      </c>
      <c r="G16" s="166">
        <f t="shared" ca="1" si="3"/>
        <v>4310.7608810578504</v>
      </c>
      <c r="H16" s="167">
        <f t="shared" si="3"/>
        <v>18.658108656053248</v>
      </c>
      <c r="I16" s="167">
        <f t="shared" si="3"/>
        <v>16.792297790447922</v>
      </c>
      <c r="J16" s="168">
        <f t="shared" si="3"/>
        <v>204.53783223342603</v>
      </c>
      <c r="K16" s="168">
        <f t="shared" si="3"/>
        <v>184.08404901008345</v>
      </c>
      <c r="L16" s="169">
        <f t="shared" ca="1" si="3"/>
        <v>4511.6372278583822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Cormier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J28" sqref="J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140.72837190886708</v>
      </c>
      <c r="U10" s="178">
        <f>'Données projet'!D9</f>
        <v>9.3725664131854884</v>
      </c>
      <c r="V10" s="177">
        <f>U10*T10</f>
        <v>1318.9860119353236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Cormier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-2262.786223051578</v>
      </c>
      <c r="U11" s="178">
        <f>'Données projet'!D10</f>
        <v>0.89262537268433229</v>
      </c>
      <c r="V11" s="177">
        <f t="shared" ref="V11" si="0">U11*T11</f>
        <v>-2019.8203956563875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-62.634504936142321</v>
      </c>
      <c r="U12" s="178">
        <f>'Données projet'!D11</f>
        <v>0.89262537268433229</v>
      </c>
      <c r="V12" s="177">
        <f t="shared" ref="V12:V19" si="1">U12*T12</f>
        <v>-55.909148311522692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-404.22292002441043</v>
      </c>
      <c r="U13" s="178">
        <f>'Données projet'!D12</f>
        <v>3.2274335868145125</v>
      </c>
      <c r="V13" s="177">
        <f t="shared" si="1"/>
        <v>-1304.6026286470187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-2463.940663838589</v>
      </c>
      <c r="U14" s="178">
        <f>'Données projet'!D13</f>
        <v>0.30737462731566789</v>
      </c>
      <c r="V14" s="177">
        <f t="shared" si="1"/>
        <v>-757.35284327530564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Merisier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-62.634504936142321</v>
      </c>
      <c r="U15" s="178">
        <f>'Données projet'!D14</f>
        <v>0.30737462731566789</v>
      </c>
      <c r="V15" s="177">
        <f t="shared" si="1"/>
        <v>-19.252257611848108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[1]Devis!$H$8</f>
        <v>1859.0000000000002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450</v>
      </c>
      <c r="J21" s="1" t="s">
        <v>327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f>(2060*9.9)/15</f>
        <v>1359.6</v>
      </c>
      <c r="J22" s="1" t="s">
        <v>324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6</v>
      </c>
      <c r="C23" s="193">
        <v>15</v>
      </c>
      <c r="D23" s="182">
        <f>B23*C23</f>
        <v>90</v>
      </c>
      <c r="E23" s="193"/>
      <c r="F23" s="230"/>
      <c r="H23" s="190">
        <v>0</v>
      </c>
      <c r="I23" s="191">
        <f>0.45*21450/15</f>
        <v>643.5</v>
      </c>
      <c r="J23" s="1" t="s">
        <v>326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-69665.328046357696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20</v>
      </c>
      <c r="D24" s="182">
        <f t="shared" ref="D24:D42" si="2">B24*C24</f>
        <v>1120</v>
      </c>
      <c r="E24" s="193"/>
      <c r="F24" s="233"/>
      <c r="H24" s="190">
        <v>0</v>
      </c>
      <c r="I24" s="191">
        <v>816</v>
      </c>
      <c r="J24" s="1" t="s">
        <v>325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55849.228695831916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24</v>
      </c>
      <c r="D25" s="182">
        <f t="shared" si="2"/>
        <v>1344</v>
      </c>
      <c r="E25" s="193"/>
      <c r="F25" s="233"/>
      <c r="H25" s="190">
        <v>1</v>
      </c>
      <c r="I25" s="191">
        <v>450</v>
      </c>
      <c r="J25" s="1" t="s">
        <v>328</v>
      </c>
      <c r="K25" s="208"/>
      <c r="L25" s="130" t="s">
        <v>285</v>
      </c>
      <c r="M25" s="130"/>
      <c r="N25" s="130"/>
      <c r="O25" s="130"/>
      <c r="P25" s="192">
        <v>165</v>
      </c>
      <c r="Q25" s="234"/>
      <c r="R25" s="23"/>
      <c r="S25" s="186" t="s">
        <v>266</v>
      </c>
      <c r="T25" s="299">
        <f ca="1">T23-T24</f>
        <v>-125514.55674218961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56</v>
      </c>
      <c r="C26" s="193">
        <v>24</v>
      </c>
      <c r="D26" s="182">
        <f t="shared" si="2"/>
        <v>1344</v>
      </c>
      <c r="E26" s="193"/>
      <c r="F26" s="233"/>
      <c r="G26" s="229"/>
      <c r="H26" s="190">
        <v>3</v>
      </c>
      <c r="I26" s="191">
        <v>450</v>
      </c>
      <c r="J26" s="1" t="s">
        <v>329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56</v>
      </c>
      <c r="C27" s="193">
        <v>35</v>
      </c>
      <c r="D27" s="182">
        <f t="shared" si="2"/>
        <v>1960</v>
      </c>
      <c r="E27" s="193"/>
      <c r="F27" s="233"/>
      <c r="G27" s="229"/>
      <c r="H27" s="190">
        <v>5</v>
      </c>
      <c r="I27" s="191">
        <v>450</v>
      </c>
      <c r="J27" s="1" t="s">
        <v>330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56</v>
      </c>
      <c r="C28" s="193">
        <v>70</v>
      </c>
      <c r="D28" s="182">
        <f t="shared" si="2"/>
        <v>3920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56</v>
      </c>
      <c r="C29" s="193">
        <v>100</v>
      </c>
      <c r="D29" s="182">
        <f t="shared" si="2"/>
        <v>5600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56</v>
      </c>
      <c r="C30" s="193">
        <v>140</v>
      </c>
      <c r="D30" s="182">
        <f t="shared" si="2"/>
        <v>7840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3723.2819130554612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55</v>
      </c>
      <c r="C31" s="193">
        <v>180</v>
      </c>
      <c r="D31" s="182">
        <f t="shared" si="2"/>
        <v>9900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51</v>
      </c>
      <c r="C32" s="193">
        <v>200</v>
      </c>
      <c r="D32" s="182">
        <f t="shared" si="2"/>
        <v>10200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352</v>
      </c>
      <c r="C33" s="193">
        <v>250</v>
      </c>
      <c r="D33" s="182">
        <f t="shared" si="2"/>
        <v>88000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157.89473684210526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151.09544195416774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144.58893966906004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138.36262169288045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132.40442267261287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126.70279681589753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121.24669551760527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116.02554594986154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111.02923057403019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106.24806753495714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101.67279189948052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Cormier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97.294537702852196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93.104820768279609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89.0955222662963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[1]Devis!$H$9</f>
        <v>3717.9999999999995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85.258872982101707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81.587438260384445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78.074103598454016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74.71206085976462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71.494795081114475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68.416071847956445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</v>
      </c>
      <c r="C54" s="191">
        <v>15</v>
      </c>
      <c r="D54" s="179">
        <f>B54*C54</f>
        <v>90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65.469925213355452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56</v>
      </c>
      <c r="C55" s="191">
        <v>20</v>
      </c>
      <c r="D55" s="179">
        <f t="shared" ref="D55:D73" si="4">B55*C55</f>
        <v>1120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62.650646137182271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>
        <v>24</v>
      </c>
      <c r="D56" s="179">
        <f t="shared" si="4"/>
        <v>1344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59.952771423140923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56</v>
      </c>
      <c r="C57" s="191">
        <v>24</v>
      </c>
      <c r="D57" s="179">
        <f t="shared" si="4"/>
        <v>1344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57.371073132192286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56</v>
      </c>
      <c r="C58" s="191">
        <v>35</v>
      </c>
      <c r="D58" s="179">
        <f t="shared" si="4"/>
        <v>1960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54.900548451858647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56</v>
      </c>
      <c r="C59" s="191">
        <v>70</v>
      </c>
      <c r="D59" s="179">
        <f t="shared" si="4"/>
        <v>3920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52.536410001778627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56</v>
      </c>
      <c r="C60" s="191">
        <v>90</v>
      </c>
      <c r="D60" s="179">
        <f t="shared" si="4"/>
        <v>5040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50.274076556725952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56</v>
      </c>
      <c r="C61" s="191">
        <v>110</v>
      </c>
      <c r="D61" s="179">
        <f t="shared" si="4"/>
        <v>6160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48.109164169115758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55</v>
      </c>
      <c r="C62" s="191">
        <v>130</v>
      </c>
      <c r="D62" s="179">
        <f t="shared" si="4"/>
        <v>7150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46.037477673794974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51</v>
      </c>
      <c r="C63" s="191">
        <v>150</v>
      </c>
      <c r="D63" s="179">
        <f t="shared" si="4"/>
        <v>7650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44.055002558655495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352</v>
      </c>
      <c r="C64" s="191">
        <v>170</v>
      </c>
      <c r="D64" s="179">
        <f t="shared" si="4"/>
        <v>59840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42.157897185316259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40.342485344800266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38.605249133780163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36.942822137588678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35.351982906783427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33.829648714625293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32.372869583373486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30.978822567821524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29.644806284996676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28.368235679422661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27.146637013801595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25.977643075408228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24.858988588907394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23.788505826705645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22.764120408330761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[1]Devis!$H$10</f>
        <v>1830.3999999999996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21.783847280699298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20.845786871482577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19.948121408117309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19.089111395327567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18.267092244332606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17.480471047208233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27</v>
      </c>
      <c r="C85" s="191">
        <v>6</v>
      </c>
      <c r="D85" s="179">
        <f>B85*C85</f>
        <v>162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16.727723490151423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39</v>
      </c>
      <c r="C86" s="191">
        <v>10</v>
      </c>
      <c r="D86" s="179">
        <f t="shared" ref="D86:D104" si="6">B86*C86</f>
        <v>390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16.007390899666433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61</v>
      </c>
      <c r="C87" s="191">
        <v>15</v>
      </c>
      <c r="D87" s="179">
        <f t="shared" si="6"/>
        <v>915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15.318077415948746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71</v>
      </c>
      <c r="C88" s="191">
        <v>25</v>
      </c>
      <c r="D88" s="179">
        <f t="shared" si="6"/>
        <v>1775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14.65844728798923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72</v>
      </c>
      <c r="C89" s="191">
        <v>30</v>
      </c>
      <c r="D89" s="179">
        <f t="shared" si="6"/>
        <v>2160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14.02722228515716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69</v>
      </c>
      <c r="C90" s="191">
        <v>60</v>
      </c>
      <c r="D90" s="179">
        <f t="shared" si="6"/>
        <v>4140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13.423179220246089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380</v>
      </c>
      <c r="C91" s="191">
        <v>80</v>
      </c>
      <c r="D91" s="179">
        <f t="shared" si="6"/>
        <v>30400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12.845147579182862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12.292007252806567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11.762686366322075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11.256159202222079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10.771444212652712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10.307602117371015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9.863734083608632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9.4389799843144804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9.0325167314014188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8.643556680766908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8.2713461059970417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7.9151637377962132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7.5743193663121682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7.2481525036480079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6.9360311039693867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6.6373503387266863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6.3515314246188392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6.0780205020275977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5.8162875617488989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[1]Devis!$H$8</f>
        <v>1859.0000000000002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5.5658254179415296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5.3261487253029003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5.0967930385673688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4.8773139125046603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v>15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29</v>
      </c>
      <c r="C117" s="191">
        <v>20</v>
      </c>
      <c r="D117" s="179">
        <f t="shared" ref="D117:D135" si="8">B117*C117</f>
        <v>580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42</v>
      </c>
      <c r="C118" s="191">
        <v>24</v>
      </c>
      <c r="D118" s="179">
        <f t="shared" si="8"/>
        <v>1008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42</v>
      </c>
      <c r="C119" s="191">
        <v>24</v>
      </c>
      <c r="D119" s="179">
        <f t="shared" si="8"/>
        <v>1008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42</v>
      </c>
      <c r="C120" s="191">
        <v>35</v>
      </c>
      <c r="D120" s="179">
        <f t="shared" si="8"/>
        <v>1470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42</v>
      </c>
      <c r="C121" s="191">
        <v>70</v>
      </c>
      <c r="D121" s="179">
        <f t="shared" si="8"/>
        <v>2940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42</v>
      </c>
      <c r="C122" s="191">
        <v>100</v>
      </c>
      <c r="D122" s="179">
        <f t="shared" si="8"/>
        <v>4200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42</v>
      </c>
      <c r="C123" s="191">
        <v>140</v>
      </c>
      <c r="D123" s="179">
        <f t="shared" si="8"/>
        <v>5880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42</v>
      </c>
      <c r="C124" s="191">
        <v>180</v>
      </c>
      <c r="D124" s="179">
        <f t="shared" si="8"/>
        <v>7560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39</v>
      </c>
      <c r="C125" s="191">
        <v>200</v>
      </c>
      <c r="D125" s="179">
        <f t="shared" si="8"/>
        <v>7800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303</v>
      </c>
      <c r="C126" s="191">
        <v>250</v>
      </c>
      <c r="D126" s="179">
        <f t="shared" si="8"/>
        <v>75750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[1]Devis!$H$9</f>
        <v>3717.9999999999995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>
        <v>15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29</v>
      </c>
      <c r="C148" s="191">
        <v>20</v>
      </c>
      <c r="D148" s="182">
        <f t="shared" ref="D148:D166" si="10">B148*C148</f>
        <v>580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42</v>
      </c>
      <c r="C149" s="191">
        <v>24</v>
      </c>
      <c r="D149" s="182">
        <f t="shared" si="10"/>
        <v>1008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42</v>
      </c>
      <c r="C150" s="191">
        <v>24</v>
      </c>
      <c r="D150" s="182">
        <f t="shared" si="10"/>
        <v>1008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42</v>
      </c>
      <c r="C151" s="191">
        <v>35</v>
      </c>
      <c r="D151" s="182">
        <f t="shared" si="10"/>
        <v>1470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42</v>
      </c>
      <c r="C152" s="191">
        <v>70</v>
      </c>
      <c r="D152" s="182">
        <f t="shared" si="10"/>
        <v>2940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42</v>
      </c>
      <c r="C153" s="191">
        <v>90</v>
      </c>
      <c r="D153" s="182">
        <f t="shared" si="10"/>
        <v>3780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42</v>
      </c>
      <c r="C154" s="191">
        <v>110</v>
      </c>
      <c r="D154" s="182">
        <f t="shared" si="10"/>
        <v>4620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42</v>
      </c>
      <c r="C155" s="191">
        <v>130</v>
      </c>
      <c r="D155" s="182">
        <f t="shared" si="10"/>
        <v>5460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39</v>
      </c>
      <c r="C156" s="191">
        <v>150</v>
      </c>
      <c r="D156" s="182">
        <f t="shared" si="10"/>
        <v>5850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303</v>
      </c>
      <c r="C157" s="191">
        <v>170</v>
      </c>
      <c r="D157" s="182">
        <f t="shared" si="10"/>
        <v>51510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Merisier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[1]Devis!$H$10</f>
        <v>1830.3999999999996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27</v>
      </c>
      <c r="C178" s="193">
        <v>6</v>
      </c>
      <c r="D178" s="179">
        <f>B178*C178</f>
        <v>162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39</v>
      </c>
      <c r="C179" s="193">
        <v>10</v>
      </c>
      <c r="D179" s="179">
        <f t="shared" ref="D179:D197" si="11">B179*C179</f>
        <v>390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61</v>
      </c>
      <c r="C180" s="193">
        <v>15</v>
      </c>
      <c r="D180" s="179">
        <f t="shared" si="11"/>
        <v>915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71</v>
      </c>
      <c r="C181" s="193">
        <v>25</v>
      </c>
      <c r="D181" s="179">
        <f t="shared" si="11"/>
        <v>1775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72</v>
      </c>
      <c r="C182" s="193">
        <v>30</v>
      </c>
      <c r="D182" s="179">
        <f t="shared" si="11"/>
        <v>2160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69</v>
      </c>
      <c r="C183" s="193">
        <v>60</v>
      </c>
      <c r="D183" s="179">
        <f t="shared" si="11"/>
        <v>4140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380</v>
      </c>
      <c r="C184" s="193">
        <v>80</v>
      </c>
      <c r="D184" s="179">
        <f t="shared" si="11"/>
        <v>30400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ROBINET</cp:lastModifiedBy>
  <cp:lastPrinted>2023-11-28T18:53:23Z</cp:lastPrinted>
  <dcterms:created xsi:type="dcterms:W3CDTF">2021-02-01T08:22:39Z</dcterms:created>
  <dcterms:modified xsi:type="dcterms:W3CDTF">2024-01-26T11:10:28Z</dcterms:modified>
</cp:coreProperties>
</file>