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BOISREDON (17) - LOUINEAU\Dossier à déposé\"/>
    </mc:Choice>
  </mc:AlternateContent>
  <xr:revisionPtr revIDLastSave="0" documentId="13_ncr:1_{434F8AF1-D1D5-4F2B-B1A9-BEB1CF6459AF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151" i="2" a="1"/>
  <c r="BC151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BC83" i="2" a="1"/>
  <c r="BC83" i="2" s="1"/>
  <c r="BC47" i="2" a="1"/>
  <c r="BC47" i="2" s="1"/>
  <c r="BC7" i="2" a="1"/>
  <c r="BC7" i="2" s="1"/>
  <c r="BC58" i="2" a="1"/>
  <c r="BC58" i="2" s="1"/>
  <c r="BC185" i="2" a="1"/>
  <c r="BC185" i="2" s="1"/>
  <c r="BC34" i="2" a="1"/>
  <c r="BC34" i="2" s="1"/>
  <c r="BC143" i="2" a="1"/>
  <c r="BC143" i="2" s="1"/>
  <c r="BC31" i="2" a="1"/>
  <c r="BC31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<sst xmlns="http://schemas.openxmlformats.org/spreadsheetml/2006/main" count="1172" uniqueCount="324">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</sst>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5" zoomScale="90" zoomScaleNormal="90" workbookViewId="0">
      <selection activeCell="F45" sqref="F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10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0.157</v>
      </c>
      <c r="D9" s="36">
        <f t="shared" ref="D9:D18" si="0">C9*$C$5</f>
        <v>1.57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0.38</v>
      </c>
      <c r="D10" s="36">
        <f t="shared" si="0"/>
        <v>3.8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138</v>
      </c>
      <c r="C11" s="35">
        <v>0.46300000000000002</v>
      </c>
      <c r="D11" s="36">
        <f t="shared" si="0"/>
        <v>4.63</v>
      </c>
      <c r="E11" s="37">
        <v>34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10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taeda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13</v>
      </c>
      <c r="B88" s="63">
        <v>101</v>
      </c>
      <c r="C88" s="63">
        <v>1</v>
      </c>
      <c r="D88" s="63">
        <v>28</v>
      </c>
      <c r="E88" s="54"/>
      <c r="F88" s="54"/>
      <c r="G88" s="54">
        <v>1</v>
      </c>
      <c r="H88" s="93"/>
      <c r="I88" s="56">
        <f>IFERROR(B88/A88,"")</f>
        <v>7.7692307692307692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18</v>
      </c>
      <c r="B89" s="63">
        <v>166</v>
      </c>
      <c r="C89" s="63">
        <v>2</v>
      </c>
      <c r="D89" s="63">
        <v>40</v>
      </c>
      <c r="E89" s="54">
        <v>0.25</v>
      </c>
      <c r="F89" s="54"/>
      <c r="G89" s="54">
        <v>0.75</v>
      </c>
      <c r="H89" s="93"/>
      <c r="I89" s="56">
        <f t="shared" ref="I89:I107" si="3">IF(A89&lt;&gt;0,(B89-(B88-D88))/(A89-A88),"")</f>
        <v>18.600000000000001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23</v>
      </c>
      <c r="B90" s="63">
        <v>215</v>
      </c>
      <c r="C90" s="63">
        <v>3</v>
      </c>
      <c r="D90" s="63">
        <v>52</v>
      </c>
      <c r="E90" s="93">
        <v>0.5</v>
      </c>
      <c r="F90" s="93"/>
      <c r="G90" s="93">
        <v>0.5</v>
      </c>
      <c r="H90" s="93"/>
      <c r="I90" s="56">
        <f t="shared" si="3"/>
        <v>17.8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269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15.142857142857142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34</v>
      </c>
      <c r="B92" s="63">
        <v>325</v>
      </c>
      <c r="C92" s="63">
        <v>5</v>
      </c>
      <c r="D92" s="63">
        <v>325</v>
      </c>
      <c r="E92" s="93">
        <v>0.7</v>
      </c>
      <c r="F92" s="93"/>
      <c r="G92" s="93">
        <v>0.3</v>
      </c>
      <c r="H92" s="93"/>
      <c r="I92" s="56">
        <f t="shared" si="3"/>
        <v>14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taeda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439.06700232017681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187.13674266165236</v>
      </c>
      <c r="AO3" s="62">
        <f>IF('Données projet'!E10&gt;30,$AM$33-$H$33,LOOKUP('Données projet'!$E$10,$A$3:$A$203,AM3:AM203)-LOOKUP('Données projet'!$E$10,$A$3:$A$203,$H$3:$H$203))</f>
        <v>439.28159165815276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195.80903373714432</v>
      </c>
      <c r="BJ3" s="62">
        <f>IF('Données projet'!E11&gt;30,$BH$33-$H$33,LOOKUP('Données projet'!$E$11,$A$3:$A$203,BH3:BH203)-LOOKUP('Données projet'!$E$11,$A$3:$A$203,$H$3:$H$203))</f>
        <v>388.30721786668977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439.06700232017681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260.1434244379796</v>
      </c>
      <c r="AN4" s="62">
        <f ca="1">AVERAGE(OFFSET($AM$3,0,0,'Données projet'!$E$10+1,1))-AVERAGE(OFFSET($H$3,0,0,'Données projet'!$E$10+1,1))</f>
        <v>187.13674266165236</v>
      </c>
      <c r="AO4" s="62">
        <f>$AO$3</f>
        <v>439.28159165815276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7.7692307692307692</v>
      </c>
      <c r="BD4" s="13">
        <f>IF('Données projet'!$A$88&gt;35,BD3+BC4-BL3,IF(A4&lt;'Données projet'!$A$88,$BA$205^A4,IF(A4='Données projet'!$A$88,'Données projet'!$B$88,BD3+BC4-BL3)))</f>
        <v>1.4261938757879591</v>
      </c>
      <c r="BE4" s="14">
        <f>BD4*VLOOKUP('Données projet'!$B$11,Paramètres!$A$1:$I$89,3,0)*VLOOKUP('Données projet'!$B$11,Paramètres!$A$1:$I$89,5,0)</f>
        <v>0.85286393772119951</v>
      </c>
      <c r="BF4" s="14">
        <f>EXP(-1.0587+0.8836*LN(BE4)+0.284)</f>
        <v>0.40038464441801103</v>
      </c>
      <c r="BG4" s="22">
        <f t="shared" ref="BG4:BG67" si="7">(BE4+BF4)*0.475*44/12</f>
        <v>2.1827412805591249</v>
      </c>
      <c r="BH4" s="62">
        <f t="shared" ref="BH4:BH67" si="8">BG4+(AY4+AZ4)*44/12</f>
        <v>260.07163016944799</v>
      </c>
      <c r="BI4" s="62">
        <f ca="1">AVERAGE(OFFSET($BH$3,0,0,'Données projet'!$E$11+1,1))-AVERAGE(OFFSET($H$3,0,0,'Données projet'!$E$11+1,1))</f>
        <v>195.80903373714432</v>
      </c>
      <c r="BJ4" s="62">
        <f>$BJ$3</f>
        <v>388.30721786668977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439.06700232017681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262.38956383505422</v>
      </c>
      <c r="AN5" s="62">
        <f ca="1">AVERAGE(OFFSET($AM$3,0,0,'Données projet'!$E$10+1,1))-AVERAGE(OFFSET($H$3,0,0,'Données projet'!$E$10+1,1))</f>
        <v>187.13674266165236</v>
      </c>
      <c r="AO5" s="62">
        <f t="shared" ref="AO5:AO68" si="36">$AO$3</f>
        <v>439.28159165815276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7.7692307692307692</v>
      </c>
      <c r="BD5" s="13">
        <f>IF('Données projet'!$A$88&gt;35,BD4+BC5-BL4,IF(A5&lt;'Données projet'!$A$88,$BA$205^A5,IF(A5='Données projet'!$A$88,'Données projet'!$B$88,BD4+BC5-BL4)))</f>
        <v>2.0340289713350805</v>
      </c>
      <c r="BE5" s="14">
        <f>BD5*VLOOKUP('Données projet'!$B$11,Paramètres!$A$1:$I$89,3,0)*VLOOKUP('Données projet'!$B$11,Paramètres!$A$1:$I$89,5,0)</f>
        <v>1.2163493248583781</v>
      </c>
      <c r="BF5" s="14">
        <f t="shared" ref="BF5:BF68" si="37">EXP(-1.0587+0.8836*LN(BE5)+0.284)</f>
        <v>0.54791046443869817</v>
      </c>
      <c r="BG5" s="22">
        <f t="shared" si="7"/>
        <v>3.072752466359074</v>
      </c>
      <c r="BH5" s="62">
        <f t="shared" si="8"/>
        <v>262.18386357747022</v>
      </c>
      <c r="BI5" s="62">
        <f ca="1">AVERAGE(OFFSET($BH$3,0,0,'Données projet'!$E$11+1,1))-AVERAGE(OFFSET($H$3,0,0,'Données projet'!$E$11+1,1))</f>
        <v>195.80903373714432</v>
      </c>
      <c r="BJ5" s="62">
        <f t="shared" ref="BJ5:BJ68" si="38">$BJ$3</f>
        <v>388.30721786668977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439.06700232017681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265.10280709686913</v>
      </c>
      <c r="AN6" s="62">
        <f ca="1">AVERAGE(OFFSET($AM$3,0,0,'Données projet'!$E$10+1,1))-AVERAGE(OFFSET($H$3,0,0,'Données projet'!$E$10+1,1))</f>
        <v>187.13674266165236</v>
      </c>
      <c r="AO6" s="62">
        <f t="shared" si="36"/>
        <v>439.28159165815276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7.7692307692307692</v>
      </c>
      <c r="BD6" s="13">
        <f>IF('Données projet'!$A$88&gt;35,BD5+BC6-BL5,IF(A6&lt;'Données projet'!$A$88,$BA$205^A6,IF(A6='Données projet'!$A$88,'Données projet'!$B$88,BD5+BC6-BL5)))</f>
        <v>2.9009196620933739</v>
      </c>
      <c r="BE6" s="14">
        <f>BD6*VLOOKUP('Données projet'!$B$11,Paramètres!$A$1:$I$89,3,0)*VLOOKUP('Données projet'!$B$11,Paramètres!$A$1:$I$89,5,0)</f>
        <v>1.7347499579318377</v>
      </c>
      <c r="BF6" s="14">
        <f t="shared" si="37"/>
        <v>0.74979368271678282</v>
      </c>
      <c r="BG6" s="22">
        <f t="shared" si="7"/>
        <v>4.3272468407963478</v>
      </c>
      <c r="BH6" s="62">
        <f t="shared" si="8"/>
        <v>264.66058017412968</v>
      </c>
      <c r="BI6" s="62">
        <f ca="1">AVERAGE(OFFSET($BH$3,0,0,'Données projet'!$E$11+1,1))-AVERAGE(OFFSET($H$3,0,0,'Données projet'!$E$11+1,1))</f>
        <v>195.80903373714432</v>
      </c>
      <c r="BJ6" s="62">
        <f t="shared" si="38"/>
        <v>388.30721786668977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439.06700232017681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268.49713617112559</v>
      </c>
      <c r="AN7" s="62">
        <f ca="1">AVERAGE(OFFSET($AM$3,0,0,'Données projet'!$E$10+1,1))-AVERAGE(OFFSET($H$3,0,0,'Données projet'!$E$10+1,1))</f>
        <v>187.13674266165236</v>
      </c>
      <c r="AO7" s="62">
        <f t="shared" si="36"/>
        <v>439.28159165815276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7.7692307692307692</v>
      </c>
      <c r="BD7" s="13">
        <f>IF('Données projet'!$A$88&gt;35,BD6+BC7-BL6,IF(A7&lt;'Données projet'!$A$88,$BA$205^A7,IF(A7='Données projet'!$A$88,'Données projet'!$B$88,BD6+BC7-BL6)))</f>
        <v>4.1372738562304461</v>
      </c>
      <c r="BE7" s="14">
        <f>BD7*VLOOKUP('Données projet'!$B$11,Paramètres!$A$1:$I$89,3,0)*VLOOKUP('Données projet'!$B$11,Paramètres!$A$1:$I$89,5,0)</f>
        <v>2.474089766025807</v>
      </c>
      <c r="BF7" s="14">
        <f t="shared" si="37"/>
        <v>1.0260628389675426</v>
      </c>
      <c r="BG7" s="22">
        <f t="shared" si="7"/>
        <v>6.0960991203634167</v>
      </c>
      <c r="BH7" s="62">
        <f t="shared" si="8"/>
        <v>267.65165467591896</v>
      </c>
      <c r="BI7" s="62">
        <f ca="1">AVERAGE(OFFSET($BH$3,0,0,'Données projet'!$E$11+1,1))-AVERAGE(OFFSET($H$3,0,0,'Données projet'!$E$11+1,1))</f>
        <v>195.80903373714432</v>
      </c>
      <c r="BJ7" s="62">
        <f t="shared" si="38"/>
        <v>388.30721786668977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439.06700232017681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272.88493956505795</v>
      </c>
      <c r="AN8" s="62">
        <f ca="1">AVERAGE(OFFSET($AM$3,0,0,'Données projet'!$E$10+1,1))-AVERAGE(OFFSET($H$3,0,0,'Données projet'!$E$10+1,1))</f>
        <v>187.13674266165236</v>
      </c>
      <c r="AO8" s="62">
        <f t="shared" si="36"/>
        <v>439.28159165815276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7.7692307692307692</v>
      </c>
      <c r="BD8" s="13">
        <f>IF('Données projet'!$A$88&gt;35,BD7+BC8-BL7,IF(A8&lt;'Données projet'!$A$88,$BA$205^A8,IF(A8='Données projet'!$A$88,'Données projet'!$B$88,BD7+BC8-BL7)))</f>
        <v>5.9005546362134957</v>
      </c>
      <c r="BE8" s="14">
        <f>BD8*VLOOKUP('Données projet'!$B$11,Paramètres!$A$1:$I$89,3,0)*VLOOKUP('Données projet'!$B$11,Paramètres!$A$1:$I$89,5,0)</f>
        <v>3.5285316724556708</v>
      </c>
      <c r="BF8" s="14">
        <f t="shared" si="37"/>
        <v>1.404126193348852</v>
      </c>
      <c r="BG8" s="22">
        <f t="shared" si="7"/>
        <v>8.5910457829428761</v>
      </c>
      <c r="BH8" s="62">
        <f t="shared" si="8"/>
        <v>271.36882356072067</v>
      </c>
      <c r="BI8" s="62">
        <f ca="1">AVERAGE(OFFSET($BH$3,0,0,'Données projet'!$E$11+1,1))-AVERAGE(OFFSET($H$3,0,0,'Données projet'!$E$11+1,1))</f>
        <v>195.80903373714432</v>
      </c>
      <c r="BJ8" s="62">
        <f t="shared" si="38"/>
        <v>388.30721786668977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439.06700232017681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278.72242949911606</v>
      </c>
      <c r="AN9" s="62">
        <f ca="1">AVERAGE(OFFSET($AM$3,0,0,'Données projet'!$E$10+1,1))-AVERAGE(OFFSET($H$3,0,0,'Données projet'!$E$10+1,1))</f>
        <v>187.13674266165236</v>
      </c>
      <c r="AO9" s="62">
        <f t="shared" si="36"/>
        <v>439.28159165815276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7.7692307692307692</v>
      </c>
      <c r="BD9" s="13">
        <f>IF('Données projet'!$A$88&gt;35,BD8+BC9-BL8,IF(A9&lt;'Données projet'!$A$88,$BA$205^A9,IF(A9='Données projet'!$A$88,'Données projet'!$B$88,BD8+BC9-BL8)))</f>
        <v>8.4153348859199362</v>
      </c>
      <c r="BE9" s="14">
        <f>BD9*VLOOKUP('Données projet'!$B$11,Paramètres!$A$1:$I$89,3,0)*VLOOKUP('Données projet'!$B$11,Paramètres!$A$1:$I$89,5,0)</f>
        <v>5.0323702617801223</v>
      </c>
      <c r="BF9" s="14">
        <f t="shared" si="37"/>
        <v>1.9214908599868947</v>
      </c>
      <c r="BG9" s="22">
        <f t="shared" si="7"/>
        <v>12.111308120410888</v>
      </c>
      <c r="BH9" s="62">
        <f t="shared" si="8"/>
        <v>276.11130812041091</v>
      </c>
      <c r="BI9" s="62">
        <f ca="1">AVERAGE(OFFSET($BH$3,0,0,'Données projet'!$E$11+1,1))-AVERAGE(OFFSET($H$3,0,0,'Données projet'!$E$11+1,1))</f>
        <v>195.80903373714432</v>
      </c>
      <c r="BJ9" s="62">
        <f t="shared" si="38"/>
        <v>388.30721786668977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439.06700232017681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286.6760886613967</v>
      </c>
      <c r="AN10" s="62">
        <f ca="1">AVERAGE(OFFSET($AM$3,0,0,'Données projet'!$E$10+1,1))-AVERAGE(OFFSET($H$3,0,0,'Données projet'!$E$10+1,1))</f>
        <v>187.13674266165236</v>
      </c>
      <c r="AO10" s="62">
        <f t="shared" si="36"/>
        <v>439.28159165815276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7.7692307692307692</v>
      </c>
      <c r="BD10" s="13">
        <f>IF('Données projet'!$A$88&gt;35,BD9+BC10-BL9,IF(A10&lt;'Données projet'!$A$88,$BA$205^A10,IF(A10='Données projet'!$A$88,'Données projet'!$B$88,BD9+BC10-BL9)))</f>
        <v>12.001899077003776</v>
      </c>
      <c r="BE10" s="14">
        <f>BD10*VLOOKUP('Données projet'!$B$11,Paramètres!$A$1:$I$89,3,0)*VLOOKUP('Données projet'!$B$11,Paramètres!$A$1:$I$89,5,0)</f>
        <v>7.1771356480482584</v>
      </c>
      <c r="BF10" s="14">
        <f t="shared" si="37"/>
        <v>2.6294838330787229</v>
      </c>
      <c r="BG10" s="22">
        <f t="shared" si="7"/>
        <v>17.079862262962827</v>
      </c>
      <c r="BH10" s="62">
        <f t="shared" si="8"/>
        <v>282.30208448518505</v>
      </c>
      <c r="BI10" s="62">
        <f ca="1">AVERAGE(OFFSET($BH$3,0,0,'Données projet'!$E$11+1,1))-AVERAGE(OFFSET($H$3,0,0,'Données projet'!$E$11+1,1))</f>
        <v>195.80903373714432</v>
      </c>
      <c r="BJ10" s="62">
        <f t="shared" si="38"/>
        <v>388.30721786668977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439.06700232017681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297.71991279004334</v>
      </c>
      <c r="AN11" s="62">
        <f ca="1">AVERAGE(OFFSET($AM$3,0,0,'Données projet'!$E$10+1,1))-AVERAGE(OFFSET($H$3,0,0,'Données projet'!$E$10+1,1))</f>
        <v>187.13674266165236</v>
      </c>
      <c r="AO11" s="62">
        <f t="shared" si="36"/>
        <v>439.28159165815276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7.7692307692307692</v>
      </c>
      <c r="BD11" s="13">
        <f>IF('Données projet'!$A$88&gt;35,BD10+BC11-BL10,IF(A11&lt;'Données projet'!$A$88,$BA$205^A11,IF(A11='Données projet'!$A$88,'Données projet'!$B$88,BD10+BC11-BL10)))</f>
        <v>17.117034961447946</v>
      </c>
      <c r="BE11" s="14">
        <f>BD11*VLOOKUP('Données projet'!$B$11,Paramètres!$A$1:$I$89,3,0)*VLOOKUP('Données projet'!$B$11,Paramètres!$A$1:$I$89,5,0)</f>
        <v>10.235986906945872</v>
      </c>
      <c r="BF11" s="14">
        <f t="shared" si="37"/>
        <v>3.5983440631455994</v>
      </c>
      <c r="BG11" s="22">
        <f t="shared" si="7"/>
        <v>24.094793106242644</v>
      </c>
      <c r="BH11" s="62">
        <f t="shared" si="8"/>
        <v>290.53923755068712</v>
      </c>
      <c r="BI11" s="62">
        <f ca="1">AVERAGE(OFFSET($BH$3,0,0,'Données projet'!$E$11+1,1))-AVERAGE(OFFSET($H$3,0,0,'Données projet'!$E$11+1,1))</f>
        <v>195.80903373714432</v>
      </c>
      <c r="BJ11" s="62">
        <f t="shared" si="38"/>
        <v>388.30721786668977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439.06700232017681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313.27776290704742</v>
      </c>
      <c r="AN12" s="62">
        <f ca="1">AVERAGE(OFFSET($AM$3,0,0,'Données projet'!$E$10+1,1))-AVERAGE(OFFSET($H$3,0,0,'Données projet'!$E$10+1,1))</f>
        <v>187.13674266165236</v>
      </c>
      <c r="AO12" s="62">
        <f t="shared" si="36"/>
        <v>439.28159165815276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7.7692307692307692</v>
      </c>
      <c r="BD12" s="13">
        <f>IF('Données projet'!$A$88&gt;35,BD11+BC12-BL11,IF(A12&lt;'Données projet'!$A$88,$BA$205^A12,IF(A12='Données projet'!$A$88,'Données projet'!$B$88,BD11+BC12-BL11)))</f>
        <v>24.412210433665443</v>
      </c>
      <c r="BE12" s="14">
        <f>BD12*VLOOKUP('Données projet'!$B$11,Paramètres!$A$1:$I$89,3,0)*VLOOKUP('Données projet'!$B$11,Paramètres!$A$1:$I$89,5,0)</f>
        <v>14.598501839331936</v>
      </c>
      <c r="BF12" s="14">
        <f t="shared" si="37"/>
        <v>4.9241907608973428</v>
      </c>
      <c r="BG12" s="22">
        <f t="shared" si="7"/>
        <v>34.002022945399325</v>
      </c>
      <c r="BH12" s="62">
        <f t="shared" si="8"/>
        <v>301.66868961206603</v>
      </c>
      <c r="BI12" s="62">
        <f ca="1">AVERAGE(OFFSET($BH$3,0,0,'Données projet'!$E$11+1,1))-AVERAGE(OFFSET($H$3,0,0,'Données projet'!$E$11+1,1))</f>
        <v>195.80903373714432</v>
      </c>
      <c r="BJ12" s="62">
        <f t="shared" si="38"/>
        <v>388.30721786668977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439.06700232017681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335.43181126874777</v>
      </c>
      <c r="AN13" s="62">
        <f ca="1">AVERAGE(OFFSET($AM$3,0,0,'Données projet'!$E$10+1,1))-AVERAGE(OFFSET($H$3,0,0,'Données projet'!$E$10+1,1))</f>
        <v>187.13674266165236</v>
      </c>
      <c r="AO13" s="62">
        <f t="shared" si="36"/>
        <v>439.28159165815276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7.7692307692307692</v>
      </c>
      <c r="BD13" s="13">
        <f>IF('Données projet'!$A$88&gt;35,BD12+BC13-BL12,IF(A13&lt;'Données projet'!$A$88,$BA$205^A13,IF(A13='Données projet'!$A$88,'Données projet'!$B$88,BD12+BC13-BL12)))</f>
        <v>34.816545014940573</v>
      </c>
      <c r="BE13" s="14">
        <f>BD13*VLOOKUP('Données projet'!$B$11,Paramètres!$A$1:$I$89,3,0)*VLOOKUP('Données projet'!$B$11,Paramètres!$A$1:$I$89,5,0)</f>
        <v>20.820293918934464</v>
      </c>
      <c r="BF13" s="14">
        <f t="shared" si="37"/>
        <v>6.7385592439734481</v>
      </c>
      <c r="BG13" s="22">
        <f t="shared" si="7"/>
        <v>47.998335925397946</v>
      </c>
      <c r="BH13" s="62">
        <f t="shared" si="8"/>
        <v>316.88722481428681</v>
      </c>
      <c r="BI13" s="62">
        <f ca="1">AVERAGE(OFFSET($BH$3,0,0,'Données projet'!$E$11+1,1))-AVERAGE(OFFSET($H$3,0,0,'Données projet'!$E$11+1,1))</f>
        <v>195.80903373714432</v>
      </c>
      <c r="BJ13" s="62">
        <f t="shared" si="38"/>
        <v>388.30721786668977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439.06700232017681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367.22785087914758</v>
      </c>
      <c r="AN14" s="62">
        <f ca="1">AVERAGE(OFFSET($AM$3,0,0,'Données projet'!$E$10+1,1))-AVERAGE(OFFSET($H$3,0,0,'Données projet'!$E$10+1,1))</f>
        <v>187.13674266165236</v>
      </c>
      <c r="AO14" s="62">
        <f t="shared" si="36"/>
        <v>439.28159165815276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7.7692307692307692</v>
      </c>
      <c r="BD14" s="13">
        <f>IF('Données projet'!$A$88&gt;35,BD13+BC14-BL13,IF(A14&lt;'Données projet'!$A$88,$BA$205^A14,IF(A14='Données projet'!$A$88,'Données projet'!$B$88,BD13+BC14-BL13)))</f>
        <v>49.65514327640404</v>
      </c>
      <c r="BE14" s="14">
        <f>BD14*VLOOKUP('Données projet'!$B$11,Paramètres!$A$1:$I$89,3,0)*VLOOKUP('Données projet'!$B$11,Paramètres!$A$1:$I$89,5,0)</f>
        <v>29.693775679289619</v>
      </c>
      <c r="BF14" s="14">
        <f t="shared" si="37"/>
        <v>9.2214503640117265</v>
      </c>
      <c r="BG14" s="22">
        <f t="shared" si="7"/>
        <v>67.777352025416505</v>
      </c>
      <c r="BH14" s="62">
        <f t="shared" si="8"/>
        <v>337.88846313652766</v>
      </c>
      <c r="BI14" s="62">
        <f ca="1">AVERAGE(OFFSET($BH$3,0,0,'Données projet'!$E$11+1,1))-AVERAGE(OFFSET($H$3,0,0,'Données projet'!$E$11+1,1))</f>
        <v>195.80903373714432</v>
      </c>
      <c r="BJ14" s="62">
        <f t="shared" si="38"/>
        <v>388.30721786668977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439.06700232017681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187.13674266165236</v>
      </c>
      <c r="AO15" s="62">
        <f t="shared" si="36"/>
        <v>439.28159165815276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7.7692307692307692</v>
      </c>
      <c r="BD15" s="13">
        <f>IF('Données projet'!$A$88&gt;35,BD14+BC15-BL14,IF(A15&lt;'Données projet'!$A$88,$BA$205^A15,IF(A15='Données projet'!$A$88,'Données projet'!$B$88,BD14+BC15-BL14)))</f>
        <v>70.81786124218111</v>
      </c>
      <c r="BE15" s="14">
        <f>BD15*VLOOKUP('Données projet'!$B$11,Paramètres!$A$1:$I$89,3,0)*VLOOKUP('Données projet'!$B$11,Paramètres!$A$1:$I$89,5,0)</f>
        <v>42.349081022824308</v>
      </c>
      <c r="BF15" s="14">
        <f t="shared" si="37"/>
        <v>12.61918812867636</v>
      </c>
      <c r="BG15" s="22">
        <f t="shared" si="7"/>
        <v>95.736402105530317</v>
      </c>
      <c r="BH15" s="62">
        <f t="shared" si="8"/>
        <v>367.06973543886363</v>
      </c>
      <c r="BI15" s="62">
        <f ca="1">AVERAGE(OFFSET($BH$3,0,0,'Données projet'!$E$11+1,1))-AVERAGE(OFFSET($H$3,0,0,'Données projet'!$E$11+1,1))</f>
        <v>195.80903373714432</v>
      </c>
      <c r="BJ15" s="62">
        <f t="shared" si="38"/>
        <v>388.30721786668977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439.06700232017681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397.11674874565313</v>
      </c>
      <c r="AN16" s="62">
        <f ca="1">AVERAGE(OFFSET($AM$3,0,0,'Données projet'!$E$10+1,1))-AVERAGE(OFFSET($H$3,0,0,'Données projet'!$E$10+1,1))</f>
        <v>187.13674266165236</v>
      </c>
      <c r="AO16" s="62">
        <f t="shared" si="36"/>
        <v>439.28159165815276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101</v>
      </c>
      <c r="BB16" s="13">
        <f>VLOOKUP(A16,'Données projet'!$A$87:$I$107,9,0)</f>
        <v>7.7692307692307692</v>
      </c>
      <c r="BC16" s="13">
        <f t="array" ref="BC16">INDEX(BB:BB,MIN(IF(ISNUMBER(BB16:BB212),ROW(BB16:BB212),"")))</f>
        <v>7.7692307692307692</v>
      </c>
      <c r="BD16" s="13">
        <f>IF('Données projet'!$A$88&gt;35,BD15+BC16-BL15,IF(A16&lt;'Données projet'!$A$88,$BA$205^A16,IF(A16='Données projet'!$A$88,'Données projet'!$B$88,BD15+BC16-BL15)))</f>
        <v>101</v>
      </c>
      <c r="BE16" s="14">
        <f>BD16*VLOOKUP('Données projet'!$B$11,Paramètres!$A$1:$I$89,3,0)*VLOOKUP('Données projet'!$B$11,Paramètres!$A$1:$I$89,5,0)</f>
        <v>60.398000000000003</v>
      </c>
      <c r="BF16" s="14">
        <f t="shared" si="37"/>
        <v>17.26885714728807</v>
      </c>
      <c r="BG16" s="22">
        <f t="shared" si="7"/>
        <v>135.26977619819337</v>
      </c>
      <c r="BH16" s="62">
        <f t="shared" si="8"/>
        <v>407.82533175374891</v>
      </c>
      <c r="BI16" s="62">
        <f ca="1">AVERAGE(OFFSET($BH$3,0,0,'Données projet'!$E$11+1,1))-AVERAGE(OFFSET($H$3,0,0,'Données projet'!$E$11+1,1))</f>
        <v>195.80903373714432</v>
      </c>
      <c r="BJ16" s="62">
        <f t="shared" si="38"/>
        <v>388.30721786668977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28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18.958097589783147</v>
      </c>
      <c r="BS16" s="24">
        <f t="shared" si="9"/>
        <v>18.958097589783147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439.06700232017681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425.4630229177061</v>
      </c>
      <c r="AN17" s="62">
        <f ca="1">AVERAGE(OFFSET($AM$3,0,0,'Données projet'!$E$10+1,1))-AVERAGE(OFFSET($H$3,0,0,'Données projet'!$E$10+1,1))</f>
        <v>187.13674266165236</v>
      </c>
      <c r="AO17" s="62">
        <f t="shared" si="36"/>
        <v>439.28159165815276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18.600000000000001</v>
      </c>
      <c r="BD17" s="13">
        <f>IF('Données projet'!$A$88&gt;35,BD16+BC17-BL16,IF(A17&lt;'Données projet'!$A$88,$BA$205^A17,IF(A17='Données projet'!$A$88,'Données projet'!$B$88,BD16+BC17-BL16)))</f>
        <v>91.6</v>
      </c>
      <c r="BE17" s="14">
        <f>BD17*VLOOKUP('Données projet'!$B$11,Paramètres!$A$1:$I$89,3,0)*VLOOKUP('Données projet'!$B$11,Paramètres!$A$1:$I$89,5,0)</f>
        <v>54.776799999999994</v>
      </c>
      <c r="BF17" s="14">
        <f t="shared" si="37"/>
        <v>15.840762095818524</v>
      </c>
      <c r="BG17" s="22">
        <f t="shared" si="7"/>
        <v>122.99225398355058</v>
      </c>
      <c r="BH17" s="62">
        <f t="shared" si="8"/>
        <v>396.77003176132837</v>
      </c>
      <c r="BI17" s="62">
        <f ca="1">AVERAGE(OFFSET($BH$3,0,0,'Données projet'!$E$11+1,1))-AVERAGE(OFFSET($H$3,0,0,'Données projet'!$E$11+1,1))</f>
        <v>195.80903373714432</v>
      </c>
      <c r="BJ17" s="62">
        <f t="shared" si="38"/>
        <v>388.30721786668977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13.405399364132007</v>
      </c>
      <c r="BS17" s="24">
        <f t="shared" si="9"/>
        <v>13.405399364132007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439.06700232017681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453.69346731764233</v>
      </c>
      <c r="AN18" s="62">
        <f ca="1">AVERAGE(OFFSET($AM$3,0,0,'Données projet'!$E$10+1,1))-AVERAGE(OFFSET($H$3,0,0,'Données projet'!$E$10+1,1))</f>
        <v>187.13674266165236</v>
      </c>
      <c r="AO18" s="62">
        <f t="shared" si="36"/>
        <v>439.28159165815276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18.600000000000001</v>
      </c>
      <c r="BD18" s="13">
        <f>IF('Données projet'!$A$88&gt;35,BD17+BC18-BL17,IF(A18&lt;'Données projet'!$A$88,$BA$205^A18,IF(A18='Données projet'!$A$88,'Données projet'!$B$88,BD17+BC18-BL17)))</f>
        <v>110.19999999999999</v>
      </c>
      <c r="BE18" s="14">
        <f>BD18*VLOOKUP('Données projet'!$B$11,Paramètres!$A$1:$I$89,3,0)*VLOOKUP('Données projet'!$B$11,Paramètres!$A$1:$I$89,5,0)</f>
        <v>65.899600000000007</v>
      </c>
      <c r="BF18" s="14">
        <f t="shared" si="37"/>
        <v>18.651634138580526</v>
      </c>
      <c r="BG18" s="22">
        <f t="shared" si="7"/>
        <v>147.26006612469442</v>
      </c>
      <c r="BH18" s="62">
        <f t="shared" si="8"/>
        <v>422.26006612469439</v>
      </c>
      <c r="BI18" s="62">
        <f ca="1">AVERAGE(OFFSET($BH$3,0,0,'Données projet'!$E$11+1,1))-AVERAGE(OFFSET($H$3,0,0,'Données projet'!$E$11+1,1))</f>
        <v>195.80903373714432</v>
      </c>
      <c r="BJ18" s="62">
        <f t="shared" si="38"/>
        <v>388.30721786668977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9.4790487948915754</v>
      </c>
      <c r="BS18" s="24">
        <f t="shared" si="9"/>
        <v>9.4790487948915754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439.06700232017681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481.82808974199105</v>
      </c>
      <c r="AN19" s="62">
        <f ca="1">AVERAGE(OFFSET($AM$3,0,0,'Données projet'!$E$10+1,1))-AVERAGE(OFFSET($H$3,0,0,'Données projet'!$E$10+1,1))</f>
        <v>187.13674266165236</v>
      </c>
      <c r="AO19" s="62">
        <f t="shared" si="36"/>
        <v>439.28159165815276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18.600000000000001</v>
      </c>
      <c r="BD19" s="13">
        <f>IF('Données projet'!$A$88&gt;35,BD18+BC19-BL18,IF(A19&lt;'Données projet'!$A$88,$BA$205^A19,IF(A19='Données projet'!$A$88,'Données projet'!$B$88,BD18+BC19-BL18)))</f>
        <v>128.79999999999998</v>
      </c>
      <c r="BE19" s="14">
        <f>BD19*VLOOKUP('Données projet'!$B$11,Paramètres!$A$1:$I$89,3,0)*VLOOKUP('Données projet'!$B$11,Paramètres!$A$1:$I$89,5,0)</f>
        <v>77.022400000000005</v>
      </c>
      <c r="BF19" s="14">
        <f t="shared" si="37"/>
        <v>21.407546084466961</v>
      </c>
      <c r="BG19" s="22">
        <f t="shared" si="7"/>
        <v>171.43215609711328</v>
      </c>
      <c r="BH19" s="62">
        <f t="shared" si="8"/>
        <v>447.65437831933548</v>
      </c>
      <c r="BI19" s="62">
        <f ca="1">AVERAGE(OFFSET($BH$3,0,0,'Données projet'!$E$11+1,1))-AVERAGE(OFFSET($H$3,0,0,'Données projet'!$E$11+1,1))</f>
        <v>195.80903373714432</v>
      </c>
      <c r="BJ19" s="62">
        <f t="shared" si="38"/>
        <v>388.30721786668977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6.7026996820660045</v>
      </c>
      <c r="BS19" s="24">
        <f t="shared" si="9"/>
        <v>6.7026996820660045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439.06700232017681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187.13674266165236</v>
      </c>
      <c r="AO20" s="62">
        <f t="shared" si="36"/>
        <v>439.28159165815276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18.600000000000001</v>
      </c>
      <c r="BD20" s="13">
        <f>IF('Données projet'!$A$88&gt;35,BD19+BC20-BL19,IF(A20&lt;'Données projet'!$A$88,$BA$205^A20,IF(A20='Données projet'!$A$88,'Données projet'!$B$88,BD19+BC20-BL19)))</f>
        <v>147.39999999999998</v>
      </c>
      <c r="BE20" s="14">
        <f>BD20*VLOOKUP('Données projet'!$B$11,Paramètres!$A$1:$I$89,3,0)*VLOOKUP('Données projet'!$B$11,Paramètres!$A$1:$I$89,5,0)</f>
        <v>88.145199999999988</v>
      </c>
      <c r="BF20" s="14">
        <f t="shared" si="37"/>
        <v>24.117351189004136</v>
      </c>
      <c r="BG20" s="22">
        <f t="shared" si="7"/>
        <v>195.52394332084884</v>
      </c>
      <c r="BH20" s="62">
        <f t="shared" si="8"/>
        <v>472.9683877652933</v>
      </c>
      <c r="BI20" s="62">
        <f ca="1">AVERAGE(OFFSET($BH$3,0,0,'Données projet'!$E$11+1,1))-AVERAGE(OFFSET($H$3,0,0,'Données projet'!$E$11+1,1))</f>
        <v>195.80903373714432</v>
      </c>
      <c r="BJ20" s="62">
        <f t="shared" si="38"/>
        <v>388.30721786668977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4.7395243974457886</v>
      </c>
      <c r="BS20" s="24">
        <f t="shared" si="9"/>
        <v>4.7395243974457886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439.06700232017681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481.1716507072569</v>
      </c>
      <c r="AN21" s="62">
        <f ca="1">AVERAGE(OFFSET($AM$3,0,0,'Données projet'!$E$10+1,1))-AVERAGE(OFFSET($H$3,0,0,'Données projet'!$E$10+1,1))</f>
        <v>187.13674266165236</v>
      </c>
      <c r="AO21" s="62">
        <f t="shared" si="36"/>
        <v>439.28159165815276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166</v>
      </c>
      <c r="BB21" s="13">
        <f>VLOOKUP(A21,'Données projet'!$A$87:$I$107,9,0)</f>
        <v>18.600000000000001</v>
      </c>
      <c r="BC21" s="13">
        <f t="array" ref="BC21">INDEX(BB:BB,MIN(IF(ISNUMBER(BB21:BB217),ROW(BB21:BB217),"")))</f>
        <v>18.600000000000001</v>
      </c>
      <c r="BD21" s="13">
        <f>IF('Données projet'!$A$88&gt;35,BD20+BC21-BL20,IF(A21&lt;'Données projet'!$A$88,$BA$205^A21,IF(A21='Données projet'!$A$88,'Données projet'!$B$88,BD20+BC21-BL20)))</f>
        <v>165.99999999999997</v>
      </c>
      <c r="BE21" s="14">
        <f>BD21*VLOOKUP('Données projet'!$B$11,Paramètres!$A$1:$I$89,3,0)*VLOOKUP('Données projet'!$B$11,Paramètres!$A$1:$I$89,5,0)</f>
        <v>99.267999999999986</v>
      </c>
      <c r="BF21" s="14">
        <f t="shared" si="37"/>
        <v>26.78753414535981</v>
      </c>
      <c r="BG21" s="22">
        <f t="shared" si="7"/>
        <v>219.54672196983498</v>
      </c>
      <c r="BH21" s="62">
        <f t="shared" si="8"/>
        <v>498.21338863650169</v>
      </c>
      <c r="BI21" s="62">
        <f ca="1">AVERAGE(OFFSET($BH$3,0,0,'Données projet'!$E$11+1,1))-AVERAGE(OFFSET($H$3,0,0,'Données projet'!$E$11+1,1))</f>
        <v>195.80903373714432</v>
      </c>
      <c r="BJ21" s="62">
        <f t="shared" si="38"/>
        <v>388.30721786668977</v>
      </c>
      <c r="BK21" s="16">
        <f>IF(ISNA(VLOOKUP(A21,'Données projet'!$A$87:$I$107,3,0)),0,VLOOKUP(A21,'Données projet'!$A$87:$I$107,3,0))</f>
        <v>2</v>
      </c>
      <c r="BL21" s="16">
        <f>IF(ISNA(VLOOKUP(A21,'Données projet'!$A$87:$I$107,4,0)),0,VLOOKUP(A21,'Données projet'!$A$87:$I$107,4,0))</f>
        <v>40</v>
      </c>
      <c r="BM21" s="17">
        <f>IF(ISNA(VLOOKUP(A21,'Données projet'!$A$87:$I$107,5,0)),0%,VLOOKUP(A21,'Données projet'!$A$87:$I$107,5,0)*VLOOKUP('Données projet'!$B$11,Paramètres!$A$1:$I$89,7,0))</f>
        <v>0.1125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0.75</v>
      </c>
      <c r="BP21" s="23">
        <f>EXP(-LN(2)/35)*BP20+(1-EXP(-LN(2)/35))/(LN(2)/35)*BL21*BM21*VLOOKUP('Données projet'!$B$11,Paramètres!$A$1:$I$89,3,0)*0.475*44/12</f>
        <v>3.5697849495878025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23.663597258657802</v>
      </c>
      <c r="BS21" s="24">
        <f t="shared" si="9"/>
        <v>27.233382208245605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439.06700232017681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507.94492229456341</v>
      </c>
      <c r="AN22" s="62">
        <f ca="1">AVERAGE(OFFSET($AM$3,0,0,'Données projet'!$E$10+1,1))-AVERAGE(OFFSET($H$3,0,0,'Données projet'!$E$10+1,1))</f>
        <v>187.13674266165236</v>
      </c>
      <c r="AO22" s="62">
        <f t="shared" si="36"/>
        <v>439.28159165815276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17.8</v>
      </c>
      <c r="BD22" s="13">
        <f>IF('Données projet'!$A$88&gt;35,BD21+BC22-BL21,IF(A22&lt;'Données projet'!$A$88,$BA$205^A22,IF(A22='Données projet'!$A$88,'Données projet'!$B$88,BD21+BC22-BL21)))</f>
        <v>143.79999999999998</v>
      </c>
      <c r="BE22" s="14">
        <f>BD22*VLOOKUP('Données projet'!$B$11,Paramètres!$A$1:$I$89,3,0)*VLOOKUP('Données projet'!$B$11,Paramètres!$A$1:$I$89,5,0)</f>
        <v>85.992400000000004</v>
      </c>
      <c r="BF22" s="14">
        <f t="shared" si="37"/>
        <v>23.596141005324462</v>
      </c>
      <c r="BG22" s="22">
        <f t="shared" si="7"/>
        <v>190.86670891760676</v>
      </c>
      <c r="BH22" s="62">
        <f t="shared" si="8"/>
        <v>470.75559780649564</v>
      </c>
      <c r="BI22" s="62">
        <f ca="1">AVERAGE(OFFSET($BH$3,0,0,'Données projet'!$E$11+1,1))-AVERAGE(OFFSET($H$3,0,0,'Données projet'!$E$11+1,1))</f>
        <v>195.80903373714432</v>
      </c>
      <c r="BJ22" s="62">
        <f t="shared" si="38"/>
        <v>388.30721786668977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3.499783644080209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16.732690088864331</v>
      </c>
      <c r="BS22" s="24">
        <f t="shared" si="9"/>
        <v>20.232473732944541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439.06700232017681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534.65266281929757</v>
      </c>
      <c r="AN23" s="62">
        <f ca="1">AVERAGE(OFFSET($AM$3,0,0,'Données projet'!$E$10+1,1))-AVERAGE(OFFSET($H$3,0,0,'Données projet'!$E$10+1,1))</f>
        <v>187.13674266165236</v>
      </c>
      <c r="AO23" s="62">
        <f t="shared" si="36"/>
        <v>439.28159165815276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17.8</v>
      </c>
      <c r="BD23" s="13">
        <f>IF('Données projet'!$A$88&gt;35,BD22+BC23-BL22,IF(A23&lt;'Données projet'!$A$88,$BA$205^A23,IF(A23='Données projet'!$A$88,'Données projet'!$B$88,BD22+BC23-BL22)))</f>
        <v>161.6</v>
      </c>
      <c r="BE23" s="14">
        <f>BD23*VLOOKUP('Données projet'!$B$11,Paramètres!$A$1:$I$89,3,0)*VLOOKUP('Données projet'!$B$11,Paramètres!$A$1:$I$89,5,0)</f>
        <v>96.636800000000008</v>
      </c>
      <c r="BF23" s="14">
        <f t="shared" si="37"/>
        <v>26.159173215164081</v>
      </c>
      <c r="BG23" s="22">
        <f t="shared" si="7"/>
        <v>213.86965334974411</v>
      </c>
      <c r="BH23" s="62">
        <f t="shared" si="8"/>
        <v>494.98076446085526</v>
      </c>
      <c r="BI23" s="62">
        <f ca="1">AVERAGE(OFFSET($BH$3,0,0,'Données projet'!$E$11+1,1))-AVERAGE(OFFSET($H$3,0,0,'Données projet'!$E$11+1,1))</f>
        <v>195.80903373714432</v>
      </c>
      <c r="BJ23" s="62">
        <f t="shared" si="38"/>
        <v>388.30721786668977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3.4311550214770392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11.831798629328903</v>
      </c>
      <c r="BS23" s="24">
        <f t="shared" si="9"/>
        <v>15.262953650805942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439.06700232017681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561.30238416423026</v>
      </c>
      <c r="AN24" s="62">
        <f ca="1">AVERAGE(OFFSET($AM$3,0,0,'Données projet'!$E$10+1,1))-AVERAGE(OFFSET($H$3,0,0,'Données projet'!$E$10+1,1))</f>
        <v>187.13674266165236</v>
      </c>
      <c r="AO24" s="62">
        <f t="shared" si="36"/>
        <v>439.28159165815276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17.8</v>
      </c>
      <c r="BD24" s="13">
        <f>IF('Données projet'!$A$88&gt;35,BD23+BC24-BL23,IF(A24&lt;'Données projet'!$A$88,$BA$205^A24,IF(A24='Données projet'!$A$88,'Données projet'!$B$88,BD23+BC24-BL23)))</f>
        <v>179.4</v>
      </c>
      <c r="BE24" s="14">
        <f>BD24*VLOOKUP('Données projet'!$B$11,Paramètres!$A$1:$I$89,3,0)*VLOOKUP('Données projet'!$B$11,Paramètres!$A$1:$I$89,5,0)</f>
        <v>107.2812</v>
      </c>
      <c r="BF24" s="14">
        <f t="shared" si="37"/>
        <v>28.68948404302737</v>
      </c>
      <c r="BG24" s="22">
        <f t="shared" si="7"/>
        <v>236.81560804160597</v>
      </c>
      <c r="BH24" s="62">
        <f t="shared" si="8"/>
        <v>519.14894137493934</v>
      </c>
      <c r="BI24" s="62">
        <f ca="1">AVERAGE(OFFSET($BH$3,0,0,'Données projet'!$E$11+1,1))-AVERAGE(OFFSET($H$3,0,0,'Données projet'!$E$11+1,1))</f>
        <v>195.80903373714432</v>
      </c>
      <c r="BJ24" s="62">
        <f t="shared" si="38"/>
        <v>388.30721786668977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3.3638721643037908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8.3663450444321654</v>
      </c>
      <c r="BS24" s="24">
        <f t="shared" si="9"/>
        <v>11.730217208735956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439.06700232017681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187.13674266165236</v>
      </c>
      <c r="AO25" s="62">
        <f t="shared" si="36"/>
        <v>439.28159165815276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17.8</v>
      </c>
      <c r="BD25" s="13">
        <f>IF('Données projet'!$A$88&gt;35,BD24+BC25-BL24,IF(A25&lt;'Données projet'!$A$88,$BA$205^A25,IF(A25='Données projet'!$A$88,'Données projet'!$B$88,BD24+BC25-BL24)))</f>
        <v>197.20000000000002</v>
      </c>
      <c r="BE25" s="14">
        <f>BD25*VLOOKUP('Données projet'!$B$11,Paramètres!$A$1:$I$89,3,0)*VLOOKUP('Données projet'!$B$11,Paramètres!$A$1:$I$89,5,0)</f>
        <v>117.92560000000003</v>
      </c>
      <c r="BF25" s="14">
        <f t="shared" si="37"/>
        <v>31.190689636070587</v>
      </c>
      <c r="BG25" s="22">
        <f t="shared" si="7"/>
        <v>259.71087111615634</v>
      </c>
      <c r="BH25" s="62">
        <f t="shared" si="8"/>
        <v>543.26642667171188</v>
      </c>
      <c r="BI25" s="62">
        <f ca="1">AVERAGE(OFFSET($BH$3,0,0,'Données projet'!$E$11+1,1))-AVERAGE(OFFSET($H$3,0,0,'Données projet'!$E$11+1,1))</f>
        <v>195.80903373714432</v>
      </c>
      <c r="BJ25" s="62">
        <f t="shared" si="38"/>
        <v>388.30721786668977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3.2979086829212192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5.9158993146644514</v>
      </c>
      <c r="BS25" s="24">
        <f t="shared" si="9"/>
        <v>9.2138079975856702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439.06700232017681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538.60859161500105</v>
      </c>
      <c r="AN26" s="62">
        <f ca="1">AVERAGE(OFFSET($AM$3,0,0,'Données projet'!$E$10+1,1))-AVERAGE(OFFSET($H$3,0,0,'Données projet'!$E$10+1,1))</f>
        <v>187.13674266165236</v>
      </c>
      <c r="AO26" s="62">
        <f t="shared" si="36"/>
        <v>439.28159165815276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215</v>
      </c>
      <c r="BB26" s="13">
        <f>VLOOKUP(A26,'Données projet'!$A$87:$I$107,9,0)</f>
        <v>17.8</v>
      </c>
      <c r="BC26" s="13">
        <f t="array" ref="BC26">INDEX(BB:BB,MIN(IF(ISNUMBER(BB26:BB222),ROW(BB26:BB222),"")))</f>
        <v>17.8</v>
      </c>
      <c r="BD26" s="13">
        <f>IF('Données projet'!$A$88&gt;35,BD25+BC26-BL25,IF(A26&lt;'Données projet'!$A$88,$BA$205^A26,IF(A26='Données projet'!$A$88,'Données projet'!$B$88,BD25+BC26-BL25)))</f>
        <v>215.00000000000003</v>
      </c>
      <c r="BE26" s="14">
        <f>BD26*VLOOKUP('Données projet'!$B$11,Paramètres!$A$1:$I$89,3,0)*VLOOKUP('Données projet'!$B$11,Paramètres!$A$1:$I$89,5,0)</f>
        <v>128.57000000000002</v>
      </c>
      <c r="BF26" s="14">
        <f t="shared" si="37"/>
        <v>33.665715905233277</v>
      </c>
      <c r="BG26" s="22">
        <f t="shared" si="7"/>
        <v>282.56053853494797</v>
      </c>
      <c r="BH26" s="62">
        <f t="shared" si="8"/>
        <v>567.33831631272574</v>
      </c>
      <c r="BI26" s="62">
        <f ca="1">AVERAGE(OFFSET($BH$3,0,0,'Données projet'!$E$11+1,1))-AVERAGE(OFFSET($H$3,0,0,'Données projet'!$E$11+1,1))</f>
        <v>195.80903373714432</v>
      </c>
      <c r="BJ26" s="62">
        <f t="shared" si="38"/>
        <v>388.30721786668977</v>
      </c>
      <c r="BK26" s="16">
        <f>IF(ISNA(VLOOKUP(A26,'Données projet'!$A$87:$I$107,3,0)),0,VLOOKUP(A26,'Données projet'!$A$87:$I$107,3,0))</f>
        <v>3</v>
      </c>
      <c r="BL26" s="16">
        <f>IF(ISNA(VLOOKUP(A26,'Données projet'!$A$87:$I$107,4,0)),0,VLOOKUP(A26,'Données projet'!$A$87:$I$107,4,0))</f>
        <v>52</v>
      </c>
      <c r="BM26" s="17">
        <f>IF(ISNA(VLOOKUP(A26,'Données projet'!$A$87:$I$107,5,0)),0%,VLOOKUP(A26,'Données projet'!$A$87:$I$107,5,0)*VLOOKUP('Données projet'!$B$11,Paramètres!$A$1:$I$89,7,0))</f>
        <v>0.22500000000000001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12.514679574103097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21.787120284157577</v>
      </c>
      <c r="BS26" s="24">
        <f t="shared" si="9"/>
        <v>34.301799858260672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439.06700232017681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561.18403886927126</v>
      </c>
      <c r="AN27" s="62">
        <f ca="1">AVERAGE(OFFSET($AM$3,0,0,'Données projet'!$E$10+1,1))-AVERAGE(OFFSET($H$3,0,0,'Données projet'!$E$10+1,1))</f>
        <v>187.13674266165236</v>
      </c>
      <c r="AO27" s="62">
        <f t="shared" si="36"/>
        <v>439.28159165815276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15.142857142857142</v>
      </c>
      <c r="BD27" s="13">
        <f>IF('Données projet'!$A$88&gt;35,BD26+BC27-BL26,IF(A27&lt;'Données projet'!$A$88,$BA$205^A27,IF(A27='Données projet'!$A$88,'Données projet'!$B$88,BD26+BC27-BL26)))</f>
        <v>178.14285714285717</v>
      </c>
      <c r="BE27" s="14">
        <f>BD27*VLOOKUP('Données projet'!$B$11,Paramètres!$A$1:$I$89,3,0)*VLOOKUP('Données projet'!$B$11,Paramètres!$A$1:$I$89,5,0)</f>
        <v>106.5294285714286</v>
      </c>
      <c r="BF27" s="14">
        <f t="shared" si="37"/>
        <v>28.511771457031461</v>
      </c>
      <c r="BG27" s="22">
        <f t="shared" si="7"/>
        <v>235.19675671623455</v>
      </c>
      <c r="BH27" s="62">
        <f t="shared" si="8"/>
        <v>521.19675671623452</v>
      </c>
      <c r="BI27" s="62">
        <f ca="1">AVERAGE(OFFSET($BH$3,0,0,'Données projet'!$E$11+1,1))-AVERAGE(OFFSET($H$3,0,0,'Données projet'!$E$11+1,1))</f>
        <v>195.80903373714432</v>
      </c>
      <c r="BJ27" s="62">
        <f t="shared" si="38"/>
        <v>388.30721786668977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12.269274340855759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15.405820495454805</v>
      </c>
      <c r="BS27" s="24">
        <f t="shared" si="9"/>
        <v>27.675094836310564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439.06700232017681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583.72227333286173</v>
      </c>
      <c r="AN28" s="62">
        <f ca="1">AVERAGE(OFFSET($AM$3,0,0,'Données projet'!$E$10+1,1))-AVERAGE(OFFSET($H$3,0,0,'Données projet'!$E$10+1,1))</f>
        <v>187.13674266165236</v>
      </c>
      <c r="AO28" s="62">
        <f t="shared" si="36"/>
        <v>439.28159165815276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15.142857142857142</v>
      </c>
      <c r="BD28" s="13">
        <f>IF('Données projet'!$A$88&gt;35,BD27+BC28-BL27,IF(A28&lt;'Données projet'!$A$88,$BA$205^A28,IF(A28='Données projet'!$A$88,'Données projet'!$B$88,BD27+BC28-BL27)))</f>
        <v>193.28571428571431</v>
      </c>
      <c r="BE28" s="14">
        <f>BD28*VLOOKUP('Données projet'!$B$11,Paramètres!$A$1:$I$89,3,0)*VLOOKUP('Données projet'!$B$11,Paramètres!$A$1:$I$89,5,0)</f>
        <v>115.58485714285716</v>
      </c>
      <c r="BF28" s="14">
        <f t="shared" si="37"/>
        <v>30.643003864758004</v>
      </c>
      <c r="BG28" s="22">
        <f t="shared" si="7"/>
        <v>254.68019125492972</v>
      </c>
      <c r="BH28" s="62">
        <f t="shared" si="8"/>
        <v>541.90241347715198</v>
      </c>
      <c r="BI28" s="62">
        <f ca="1">AVERAGE(OFFSET($BH$3,0,0,'Données projet'!$E$11+1,1))-AVERAGE(OFFSET($H$3,0,0,'Données projet'!$E$11+1,1))</f>
        <v>195.80903373714432</v>
      </c>
      <c r="BJ28" s="62">
        <f t="shared" si="38"/>
        <v>388.30721786668977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12.02868135454999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10.89356014207879</v>
      </c>
      <c r="BS28" s="24">
        <f t="shared" si="9"/>
        <v>22.922241496628779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439.06700232017681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606.22634543239269</v>
      </c>
      <c r="AN29" s="62">
        <f ca="1">AVERAGE(OFFSET($AM$3,0,0,'Données projet'!$E$10+1,1))-AVERAGE(OFFSET($H$3,0,0,'Données projet'!$E$10+1,1))</f>
        <v>187.13674266165236</v>
      </c>
      <c r="AO29" s="62">
        <f t="shared" si="36"/>
        <v>439.28159165815276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15.142857142857142</v>
      </c>
      <c r="BD29" s="13">
        <f>IF('Données projet'!$A$88&gt;35,BD28+BC29-BL28,IF(A29&lt;'Données projet'!$A$88,$BA$205^A29,IF(A29='Données projet'!$A$88,'Données projet'!$B$88,BD28+BC29-BL28)))</f>
        <v>208.42857142857144</v>
      </c>
      <c r="BE29" s="14">
        <f>BD29*VLOOKUP('Données projet'!$B$11,Paramètres!$A$1:$I$89,3,0)*VLOOKUP('Données projet'!$B$11,Paramètres!$A$1:$I$89,5,0)</f>
        <v>124.64028571428574</v>
      </c>
      <c r="BF29" s="14">
        <f t="shared" si="37"/>
        <v>32.754868392894572</v>
      </c>
      <c r="BG29" s="22">
        <f t="shared" si="7"/>
        <v>274.129893403339</v>
      </c>
      <c r="BH29" s="62">
        <f t="shared" si="8"/>
        <v>562.57433784778345</v>
      </c>
      <c r="BI29" s="62">
        <f ca="1">AVERAGE(OFFSET($BH$3,0,0,'Données projet'!$E$11+1,1))-AVERAGE(OFFSET($H$3,0,0,'Données projet'!$E$11+1,1))</f>
        <v>195.80903373714432</v>
      </c>
      <c r="BJ29" s="62">
        <f t="shared" si="38"/>
        <v>388.30721786668977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11.792806249958446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7.7029102477274032</v>
      </c>
      <c r="BS29" s="24">
        <f t="shared" si="9"/>
        <v>19.495716497685848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439.06700232017681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628.69886366407695</v>
      </c>
      <c r="AN30" s="62">
        <f ca="1">AVERAGE(OFFSET($AM$3,0,0,'Données projet'!$E$10+1,1))-AVERAGE(OFFSET($H$3,0,0,'Données projet'!$E$10+1,1))</f>
        <v>187.13674266165236</v>
      </c>
      <c r="AO30" s="62">
        <f t="shared" si="36"/>
        <v>439.28159165815276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15.142857142857142</v>
      </c>
      <c r="BD30" s="13">
        <f>IF('Données projet'!$A$88&gt;35,BD29+BC30-BL29,IF(A30&lt;'Données projet'!$A$88,$BA$205^A30,IF(A30='Données projet'!$A$88,'Données projet'!$B$88,BD29+BC30-BL29)))</f>
        <v>223.57142857142858</v>
      </c>
      <c r="BE30" s="14">
        <f>BD30*VLOOKUP('Données projet'!$B$11,Paramètres!$A$1:$I$89,3,0)*VLOOKUP('Données projet'!$B$11,Paramètres!$A$1:$I$89,5,0)</f>
        <v>133.6957142857143</v>
      </c>
      <c r="BF30" s="14">
        <f t="shared" si="37"/>
        <v>34.848932189999701</v>
      </c>
      <c r="BG30" s="22">
        <f t="shared" si="7"/>
        <v>293.54859261186851</v>
      </c>
      <c r="BH30" s="62">
        <f t="shared" si="8"/>
        <v>583.2152592785352</v>
      </c>
      <c r="BI30" s="62">
        <f ca="1">AVERAGE(OFFSET($BH$3,0,0,'Données projet'!$E$11+1,1))-AVERAGE(OFFSET($H$3,0,0,'Données projet'!$E$11+1,1))</f>
        <v>195.80903373714432</v>
      </c>
      <c r="BJ30" s="62">
        <f t="shared" si="38"/>
        <v>388.30721786668977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11.561556512298333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5.4467800710393961</v>
      </c>
      <c r="BS30" s="24">
        <f t="shared" si="9"/>
        <v>17.00833658333773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439.06700232017681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651.14208288676889</v>
      </c>
      <c r="AN31" s="62">
        <f ca="1">AVERAGE(OFFSET($AM$3,0,0,'Données projet'!$E$10+1,1))-AVERAGE(OFFSET($H$3,0,0,'Données projet'!$E$10+1,1))</f>
        <v>187.13674266165236</v>
      </c>
      <c r="AO31" s="62">
        <f t="shared" si="36"/>
        <v>439.28159165815276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15.142857142857142</v>
      </c>
      <c r="BD31" s="13">
        <f>IF('Données projet'!$A$88&gt;35,BD30+BC31-BL30,IF(A31&lt;'Données projet'!$A$88,$BA$205^A31,IF(A31='Données projet'!$A$88,'Données projet'!$B$88,BD30+BC31-BL30)))</f>
        <v>238.71428571428572</v>
      </c>
      <c r="BE31" s="14">
        <f>BD31*VLOOKUP('Données projet'!$B$11,Paramètres!$A$1:$I$89,3,0)*VLOOKUP('Données projet'!$B$11,Paramètres!$A$1:$I$89,5,0)</f>
        <v>142.75114285714287</v>
      </c>
      <c r="BF31" s="14">
        <f t="shared" si="37"/>
        <v>36.926538099571019</v>
      </c>
      <c r="BG31" s="22">
        <f t="shared" si="7"/>
        <v>312.93862766627666</v>
      </c>
      <c r="BH31" s="62">
        <f t="shared" si="8"/>
        <v>603.82751655516552</v>
      </c>
      <c r="BI31" s="62">
        <f ca="1">AVERAGE(OFFSET($BH$3,0,0,'Données projet'!$E$11+1,1))-AVERAGE(OFFSET($H$3,0,0,'Données projet'!$E$11+1,1))</f>
        <v>195.80903373714432</v>
      </c>
      <c r="BJ31" s="62">
        <f t="shared" si="38"/>
        <v>388.30721786668977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11.334841440945322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3.8514551238637025</v>
      </c>
      <c r="BS31" s="24">
        <f t="shared" si="9"/>
        <v>15.186296564809025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439.06700232017681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673.55797070593519</v>
      </c>
      <c r="AN32" s="62">
        <f ca="1">AVERAGE(OFFSET($AM$3,0,0,'Données projet'!$E$10+1,1))-AVERAGE(OFFSET($H$3,0,0,'Données projet'!$E$10+1,1))</f>
        <v>187.13674266165236</v>
      </c>
      <c r="AO32" s="62">
        <f t="shared" si="36"/>
        <v>439.28159165815276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15.142857142857142</v>
      </c>
      <c r="BD32" s="13">
        <f>IF('Données projet'!$A$88&gt;35,BD31+BC32-BL31,IF(A32&lt;'Données projet'!$A$88,$BA$205^A32,IF(A32='Données projet'!$A$88,'Données projet'!$B$88,BD31+BC32-BL31)))</f>
        <v>253.85714285714286</v>
      </c>
      <c r="BE32" s="14">
        <f>BD32*VLOOKUP('Données projet'!$B$11,Paramètres!$A$1:$I$89,3,0)*VLOOKUP('Données projet'!$B$11,Paramètres!$A$1:$I$89,5,0)</f>
        <v>151.80657142857146</v>
      </c>
      <c r="BF32" s="14">
        <f t="shared" si="37"/>
        <v>38.988848967460292</v>
      </c>
      <c r="BG32" s="22">
        <f t="shared" si="7"/>
        <v>332.30202385642195</v>
      </c>
      <c r="BH32" s="62">
        <f t="shared" si="8"/>
        <v>624.4131349675331</v>
      </c>
      <c r="BI32" s="62">
        <f ca="1">AVERAGE(OFFSET($BH$3,0,0,'Données projet'!$E$11+1,1))-AVERAGE(OFFSET($H$3,0,0,'Données projet'!$E$11+1,1))</f>
        <v>195.80903373714432</v>
      </c>
      <c r="BJ32" s="62">
        <f t="shared" si="38"/>
        <v>388.30721786668977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11.112572113859004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2.7233900355196985</v>
      </c>
      <c r="BS32" s="24">
        <f t="shared" si="9"/>
        <v>13.835962149378702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439.06700232017681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187.13674266165236</v>
      </c>
      <c r="AO33" s="62">
        <f t="shared" si="36"/>
        <v>439.28159165815276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269</v>
      </c>
      <c r="BB33" s="13">
        <f>VLOOKUP(A33,'Données projet'!$A$87:$I$107,9,0)</f>
        <v>15.142857142857142</v>
      </c>
      <c r="BC33" s="13">
        <f t="array" ref="BC33">INDEX(BB:BB,MIN(IF(ISNUMBER(BB33:BB229),ROW(BB33:BB229),"")))</f>
        <v>15.142857142857142</v>
      </c>
      <c r="BD33" s="13">
        <f>IF('Données projet'!$A$88&gt;35,BD32+BC33-BL32,IF(A33&lt;'Données projet'!$A$88,$BA$205^A33,IF(A33='Données projet'!$A$88,'Données projet'!$B$88,BD32+BC33-BL32)))</f>
        <v>269</v>
      </c>
      <c r="BE33" s="14">
        <f>BD33*VLOOKUP('Données projet'!$B$11,Paramètres!$A$1:$I$89,3,0)*VLOOKUP('Données projet'!$B$11,Paramètres!$A$1:$I$89,5,0)</f>
        <v>160.86200000000002</v>
      </c>
      <c r="BF33" s="14">
        <f t="shared" si="37"/>
        <v>41.03688107178359</v>
      </c>
      <c r="BG33" s="22">
        <f t="shared" si="7"/>
        <v>351.64055120002314</v>
      </c>
      <c r="BH33" s="62">
        <f t="shared" si="8"/>
        <v>644.97388453335645</v>
      </c>
      <c r="BI33" s="62">
        <f ca="1">AVERAGE(OFFSET($BH$3,0,0,'Données projet'!$E$11+1,1))-AVERAGE(OFFSET($H$3,0,0,'Données projet'!$E$11+1,1))</f>
        <v>195.80903373714432</v>
      </c>
      <c r="BJ33" s="62">
        <f t="shared" si="38"/>
        <v>388.30721786668977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10.894661352705947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1.9257275619318515</v>
      </c>
      <c r="BS33" s="24">
        <f t="shared" si="9"/>
        <v>12.8203889146378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439.06700232017681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187.13674266165236</v>
      </c>
      <c r="AO34" s="62">
        <f t="shared" si="36"/>
        <v>439.28159165815276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</v>
      </c>
      <c r="BD34" s="13">
        <f>IF('Données projet'!$A$88&gt;35,BD33+BC34-BL33,IF(A34&lt;'Données projet'!$A$88,$BA$205^A34,IF(A34='Données projet'!$A$88,'Données projet'!$B$88,BD33+BC34-BL33)))</f>
        <v>283</v>
      </c>
      <c r="BE34" s="14">
        <f>BD34*VLOOKUP('Données projet'!$B$11,Paramètres!$A$1:$I$89,3,0)*VLOOKUP('Données projet'!$B$11,Paramètres!$A$1:$I$89,5,0)</f>
        <v>169.23400000000001</v>
      </c>
      <c r="BF34" s="14">
        <f t="shared" si="37"/>
        <v>42.918420001269354</v>
      </c>
      <c r="BG34" s="22">
        <f t="shared" si="7"/>
        <v>369.4987981688775</v>
      </c>
      <c r="BH34" s="62">
        <f t="shared" si="8"/>
        <v>662.83213150221081</v>
      </c>
      <c r="BI34" s="62">
        <f ca="1">AVERAGE(OFFSET($BH$3,0,0,'Données projet'!$E$11+1,1))-AVERAGE(OFFSET($H$3,0,0,'Données projet'!$E$11+1,1))</f>
        <v>195.80903373714432</v>
      </c>
      <c r="BJ34" s="62">
        <f t="shared" si="38"/>
        <v>388.30721786668977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10.681023688666661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1.3616950177598495</v>
      </c>
      <c r="BS34" s="24">
        <f t="shared" si="9"/>
        <v>12.042718706426511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439.06700232017681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187.13674266165236</v>
      </c>
      <c r="AO35" s="62">
        <f t="shared" si="36"/>
        <v>439.28159165815276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</v>
      </c>
      <c r="BD35" s="13">
        <f>IF('Données projet'!$A$88&gt;35,BD34+BC35-BL34,IF(A35&lt;'Données projet'!$A$88,$BA$205^A35,IF(A35='Données projet'!$A$88,'Données projet'!$B$88,BD34+BC35-BL34)))</f>
        <v>297</v>
      </c>
      <c r="BE35" s="14">
        <f>BD35*VLOOKUP('Données projet'!$B$11,Paramètres!$A$1:$I$89,3,0)*VLOOKUP('Données projet'!$B$11,Paramètres!$A$1:$I$89,5,0)</f>
        <v>177.60600000000002</v>
      </c>
      <c r="BF35" s="14">
        <f t="shared" si="37"/>
        <v>44.789150937858665</v>
      </c>
      <c r="BG35" s="22">
        <f t="shared" si="7"/>
        <v>387.33822121677053</v>
      </c>
      <c r="BH35" s="62">
        <f t="shared" si="8"/>
        <v>680.67155455010379</v>
      </c>
      <c r="BI35" s="62">
        <f ca="1">AVERAGE(OFFSET($BH$3,0,0,'Données projet'!$E$11+1,1))-AVERAGE(OFFSET($H$3,0,0,'Données projet'!$E$11+1,1))</f>
        <v>195.80903373714432</v>
      </c>
      <c r="BJ35" s="62">
        <f t="shared" si="38"/>
        <v>388.30721786668977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10.471575328913076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0.96286378096592584</v>
      </c>
      <c r="BS35" s="24">
        <f t="shared" si="9"/>
        <v>11.434439109879001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439.06700232017681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187.13674266165236</v>
      </c>
      <c r="AO36" s="62">
        <f t="shared" si="36"/>
        <v>439.28159165815276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</v>
      </c>
      <c r="BD36" s="13">
        <f>IF('Données projet'!$A$88&gt;35,BD35+BC36-BL35,IF(A36&lt;'Données projet'!$A$88,$BA$205^A36,IF(A36='Données projet'!$A$88,'Données projet'!$B$88,BD35+BC36-BL35)))</f>
        <v>311</v>
      </c>
      <c r="BE36" s="14">
        <f>BD36*VLOOKUP('Données projet'!$B$11,Paramètres!$A$1:$I$89,3,0)*VLOOKUP('Données projet'!$B$11,Paramètres!$A$1:$I$89,5,0)</f>
        <v>185.97800000000001</v>
      </c>
      <c r="BF36" s="14">
        <f t="shared" si="37"/>
        <v>46.649641523668571</v>
      </c>
      <c r="BG36" s="22">
        <f t="shared" si="7"/>
        <v>405.15980898705612</v>
      </c>
      <c r="BH36" s="62">
        <f t="shared" si="8"/>
        <v>698.49314232038944</v>
      </c>
      <c r="BI36" s="62">
        <f ca="1">AVERAGE(OFFSET($BH$3,0,0,'Données projet'!$E$11+1,1))-AVERAGE(OFFSET($H$3,0,0,'Données projet'!$E$11+1,1))</f>
        <v>195.80903373714432</v>
      </c>
      <c r="BJ36" s="62">
        <f t="shared" si="38"/>
        <v>388.30721786668977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10.266234123743374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0.68084750887992485</v>
      </c>
      <c r="BS36" s="24">
        <f t="shared" si="9"/>
        <v>10.947081632623298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439.06700232017681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187.13674266165236</v>
      </c>
      <c r="AO37" s="62">
        <f t="shared" si="36"/>
        <v>439.28159165815276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325</v>
      </c>
      <c r="BB37" s="13">
        <f>VLOOKUP(A37,'Données projet'!$A$87:$I$107,9,0)</f>
        <v>14</v>
      </c>
      <c r="BC37" s="13">
        <f t="array" ref="BC37">INDEX(BB:BB,MIN(IF(ISNUMBER(BB37:BB233),ROW(BB37:BB233),"")))</f>
        <v>14</v>
      </c>
      <c r="BD37" s="13">
        <f>IF('Données projet'!$A$88&gt;35,BD36+BC37-BL36,IF(A37&lt;'Données projet'!$A$88,$BA$205^A37,IF(A37='Données projet'!$A$88,'Données projet'!$B$88,BD36+BC37-BL36)))</f>
        <v>325</v>
      </c>
      <c r="BE37" s="14">
        <f>BD37*VLOOKUP('Données projet'!$B$11,Paramètres!$A$1:$I$89,3,0)*VLOOKUP('Données projet'!$B$11,Paramètres!$A$1:$I$89,5,0)</f>
        <v>194.35</v>
      </c>
      <c r="BF37" s="14">
        <f t="shared" si="37"/>
        <v>48.500405405690429</v>
      </c>
      <c r="BG37" s="22">
        <f t="shared" si="7"/>
        <v>422.96445608157745</v>
      </c>
      <c r="BH37" s="62">
        <f t="shared" si="8"/>
        <v>716.29778941491077</v>
      </c>
      <c r="BI37" s="62">
        <f ca="1">AVERAGE(OFFSET($BH$3,0,0,'Données projet'!$E$11+1,1))-AVERAGE(OFFSET($H$3,0,0,'Données projet'!$E$11+1,1))</f>
        <v>195.80903373714432</v>
      </c>
      <c r="BJ37" s="62">
        <f t="shared" si="38"/>
        <v>388.30721786668977</v>
      </c>
      <c r="BK37" s="16">
        <f>IF(ISNA(VLOOKUP(A37,'Données projet'!$A$87:$I$107,3,0)),0,VLOOKUP(A37,'Données projet'!$A$87:$I$107,3,0))</f>
        <v>5</v>
      </c>
      <c r="BL37" s="16">
        <f>IF(ISNA(VLOOKUP(A37,'Données projet'!$A$87:$I$107,4,0)),0,VLOOKUP(A37,'Données projet'!$A$87:$I$107,4,0))</f>
        <v>325</v>
      </c>
      <c r="BM37" s="17">
        <f>IF(ISNA(VLOOKUP(A37,'Données projet'!$A$87:$I$107,5,0)),0%,VLOOKUP(A37,'Données projet'!$A$87:$I$107,5,0)*VLOOKUP('Données projet'!$B$11,Paramètres!$A$1:$I$89,7,0))</f>
        <v>0.315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0.3</v>
      </c>
      <c r="BP37" s="23">
        <f>EXP(-LN(2)/35)*BP36+(1-EXP(-LN(2)/35))/(LN(2)/35)*BL37*BM37*VLOOKUP('Données projet'!$B$11,Paramètres!$A$1:$I$89,3,0)*0.475*44/12</f>
        <v>91.277527137483801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66.496235997763563</v>
      </c>
      <c r="BS37" s="24">
        <f t="shared" si="9"/>
        <v>157.77376313524735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439.06700232017681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187.13674266165236</v>
      </c>
      <c r="AO38" s="62">
        <f t="shared" si="36"/>
        <v>439.28159165815276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195.80903373714432</v>
      </c>
      <c r="BJ38" s="62">
        <f t="shared" si="38"/>
        <v>388.30721786668977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89.487630504111962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47.019939397399625</v>
      </c>
      <c r="BS38" s="24">
        <f t="shared" si="9"/>
        <v>136.5075699015116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439.06700232017681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187.13674266165236</v>
      </c>
      <c r="AO39" s="62">
        <f t="shared" si="36"/>
        <v>439.28159165815276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195.80903373714432</v>
      </c>
      <c r="BJ39" s="62">
        <f t="shared" si="38"/>
        <v>388.30721786668977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87.732832651991401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33.248117998881781</v>
      </c>
      <c r="BS39" s="24">
        <f t="shared" si="9"/>
        <v>120.98095065087318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439.06700232017681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187.13674266165236</v>
      </c>
      <c r="AO40" s="62">
        <f t="shared" si="36"/>
        <v>439.28159165815276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195.80903373714432</v>
      </c>
      <c r="BJ40" s="62">
        <f t="shared" si="38"/>
        <v>388.30721786668977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86.012445315429929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23.509969698699813</v>
      </c>
      <c r="BS40" s="24">
        <f t="shared" si="9"/>
        <v>109.52241501412973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439.06700232017681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187.13674266165236</v>
      </c>
      <c r="AO41" s="62">
        <f t="shared" si="36"/>
        <v>439.28159165815276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195.80903373714432</v>
      </c>
      <c r="BJ41" s="62">
        <f t="shared" si="38"/>
        <v>388.30721786668977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84.325793725205756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16.624058999440891</v>
      </c>
      <c r="BS41" s="24">
        <f t="shared" si="9"/>
        <v>100.94985272464665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439.06700232017681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187.13674266165236</v>
      </c>
      <c r="AO42" s="62">
        <f t="shared" si="36"/>
        <v>439.28159165815276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195.80903373714432</v>
      </c>
      <c r="BJ42" s="62">
        <f t="shared" si="38"/>
        <v>388.30721786668977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82.672216343909994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11.754984849349906</v>
      </c>
      <c r="BS42" s="24">
        <f t="shared" si="9"/>
        <v>94.427201193259904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439.06700232017681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187.13674266165236</v>
      </c>
      <c r="AO43" s="62">
        <f t="shared" si="36"/>
        <v>439.28159165815276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195.80903373714432</v>
      </c>
      <c r="BJ43" s="62">
        <f t="shared" si="38"/>
        <v>388.30721786668977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81.051064606478832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8.3120294997204454</v>
      </c>
      <c r="BS43" s="24">
        <f t="shared" si="9"/>
        <v>89.36309410619927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439.06700232017681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187.13674266165236</v>
      </c>
      <c r="AO44" s="62">
        <f t="shared" si="36"/>
        <v>439.28159165815276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195.80903373714432</v>
      </c>
      <c r="BJ44" s="62">
        <f t="shared" si="38"/>
        <v>388.30721786668977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79.46170266581376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5.8774924246749531</v>
      </c>
      <c r="BS44" s="24">
        <f t="shared" si="9"/>
        <v>85.339195090488715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439.06700232017681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187.13674266165236</v>
      </c>
      <c r="AO45" s="62">
        <f t="shared" si="36"/>
        <v>439.28159165815276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195.80903373714432</v>
      </c>
      <c r="BJ45" s="62">
        <f t="shared" si="38"/>
        <v>388.30721786668977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77.903507143390073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4.1560147498602227</v>
      </c>
      <c r="BS45" s="24">
        <f t="shared" si="9"/>
        <v>82.059521893250292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439.06700232017681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187.13674266165236</v>
      </c>
      <c r="AO46" s="62">
        <f t="shared" si="36"/>
        <v>439.28159165815276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195.80903373714432</v>
      </c>
      <c r="BJ46" s="62">
        <f t="shared" si="38"/>
        <v>388.30721786668977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76.375866884755695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2.9387462123374766</v>
      </c>
      <c r="BS46" s="24">
        <f t="shared" si="9"/>
        <v>79.314613097093172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439.06700232017681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187.13674266165236</v>
      </c>
      <c r="AO47" s="62">
        <f t="shared" si="36"/>
        <v>439.28159165815276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195.80903373714432</v>
      </c>
      <c r="BJ47" s="62">
        <f t="shared" si="38"/>
        <v>388.30721786668977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74.878182719824579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2.0780073749301113</v>
      </c>
      <c r="BS47" s="24">
        <f t="shared" si="9"/>
        <v>76.956190094754689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439.06700232017681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187.13674266165236</v>
      </c>
      <c r="AO48" s="62">
        <f t="shared" si="36"/>
        <v>439.28159165815276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195.80903373714432</v>
      </c>
      <c r="BJ48" s="62">
        <f t="shared" si="38"/>
        <v>388.30721786668977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73.40986722787062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1.4693731061687383</v>
      </c>
      <c r="BS48" s="24">
        <f t="shared" si="9"/>
        <v>74.879240334039352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439.06700232017681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187.13674266165236</v>
      </c>
      <c r="AO49" s="62">
        <f t="shared" si="36"/>
        <v>439.28159165815276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195.80903373714432</v>
      </c>
      <c r="BJ49" s="62">
        <f t="shared" si="38"/>
        <v>388.30721786668977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71.970344507129866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1.0390036874650557</v>
      </c>
      <c r="BS49" s="24">
        <f t="shared" si="9"/>
        <v>73.009348194594921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439.06700232017681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187.13674266165236</v>
      </c>
      <c r="AO50" s="62">
        <f t="shared" si="36"/>
        <v>439.28159165815276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195.80903373714432</v>
      </c>
      <c r="BJ50" s="62">
        <f t="shared" si="38"/>
        <v>388.30721786668977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70.559049948920674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0.73468655308436914</v>
      </c>
      <c r="BS50" s="24">
        <f t="shared" si="9"/>
        <v>71.293736502005046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439.06700232017681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187.13674266165236</v>
      </c>
      <c r="AO51" s="62">
        <f t="shared" si="36"/>
        <v>439.28159165815276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195.80903373714432</v>
      </c>
      <c r="BJ51" s="62">
        <f t="shared" si="38"/>
        <v>388.30721786668977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69.175430016193275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0.51950184373252783</v>
      </c>
      <c r="BS51" s="24">
        <f t="shared" si="9"/>
        <v>69.694931859925802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439.06700232017681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187.13674266165236</v>
      </c>
      <c r="AO52" s="62">
        <f t="shared" si="36"/>
        <v>439.28159165815276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195.80903373714432</v>
      </c>
      <c r="BJ52" s="62">
        <f t="shared" si="38"/>
        <v>388.30721786668977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67.818942026421837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0.36734327654218457</v>
      </c>
      <c r="BS52" s="24">
        <f t="shared" si="9"/>
        <v>68.186285302964023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439.06700232017681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187.13674266165236</v>
      </c>
      <c r="AO53" s="62">
        <f t="shared" si="36"/>
        <v>439.28159165815276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195.80903373714432</v>
      </c>
      <c r="BJ53" s="62">
        <f t="shared" si="38"/>
        <v>388.30721786668977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66.489053938753841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0.25975092186626392</v>
      </c>
      <c r="BS53" s="24">
        <f t="shared" si="9"/>
        <v>66.748804860620112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439.06700232017681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187.13674266165236</v>
      </c>
      <c r="AO54" s="62">
        <f t="shared" si="36"/>
        <v>439.28159165815276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195.80903373714432</v>
      </c>
      <c r="BJ54" s="62">
        <f t="shared" si="38"/>
        <v>388.30721786668977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65.185244145333371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0.18367163827109229</v>
      </c>
      <c r="BS54" s="24">
        <f t="shared" si="9"/>
        <v>65.368915783604464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439.06700232017681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187.13674266165236</v>
      </c>
      <c r="AO55" s="62">
        <f t="shared" si="36"/>
        <v>439.28159165815276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195.80903373714432</v>
      </c>
      <c r="BJ55" s="62">
        <f t="shared" si="38"/>
        <v>388.30721786668977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63.907001266716428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0.12987546093313196</v>
      </c>
      <c r="BS55" s="24">
        <f t="shared" si="9"/>
        <v>64.036876727649556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439.06700232017681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187.13674266165236</v>
      </c>
      <c r="AO56" s="62">
        <f t="shared" si="36"/>
        <v>439.28159165815276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195.80903373714432</v>
      </c>
      <c r="BJ56" s="62">
        <f t="shared" si="38"/>
        <v>388.30721786668977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62.653823951297994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9.1835819135546143E-2</v>
      </c>
      <c r="BS56" s="24">
        <f t="shared" si="9"/>
        <v>62.745659770433541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439.06700232017681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187.13674266165236</v>
      </c>
      <c r="AO57" s="62">
        <f t="shared" si="36"/>
        <v>439.28159165815276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195.80903373714432</v>
      </c>
      <c r="BJ57" s="62">
        <f t="shared" si="38"/>
        <v>388.30721786668977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61.425220678672225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6.4937730466565979E-2</v>
      </c>
      <c r="BS57" s="24">
        <f t="shared" si="9"/>
        <v>61.490158409138793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439.06700232017681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187.13674266165236</v>
      </c>
      <c r="AO58" s="62">
        <f t="shared" si="36"/>
        <v>439.28159165815276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195.80903373714432</v>
      </c>
      <c r="BJ58" s="62">
        <f t="shared" si="38"/>
        <v>388.30721786668977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60.220709566848647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4.5917909567773071E-2</v>
      </c>
      <c r="BS58" s="24">
        <f t="shared" si="9"/>
        <v>60.266627476416417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439.06700232017681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187.13674266165236</v>
      </c>
      <c r="AO59" s="62">
        <f t="shared" si="36"/>
        <v>439.28159165815276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195.80903373714432</v>
      </c>
      <c r="BJ59" s="62">
        <f t="shared" si="38"/>
        <v>388.30721786668977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59.039818183248698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3.246886523328299E-2</v>
      </c>
      <c r="BS59" s="24">
        <f t="shared" si="9"/>
        <v>59.072287048481982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439.06700232017681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187.13674266165236</v>
      </c>
      <c r="AO60" s="62">
        <f t="shared" si="36"/>
        <v>439.28159165815276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195.80903373714432</v>
      </c>
      <c r="BJ60" s="62">
        <f t="shared" si="38"/>
        <v>388.30721786668977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57.882083359408519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2.2958954783886536E-2</v>
      </c>
      <c r="BS60" s="24">
        <f t="shared" si="9"/>
        <v>57.905042314192407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439.06700232017681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187.13674266165236</v>
      </c>
      <c r="AO61" s="62">
        <f t="shared" si="36"/>
        <v>439.28159165815276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195.80903373714432</v>
      </c>
      <c r="BJ61" s="62">
        <f t="shared" si="38"/>
        <v>388.30721786668977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56.747051009315328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1.6234432616641495E-2</v>
      </c>
      <c r="BS61" s="24">
        <f t="shared" si="9"/>
        <v>56.76328544193197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439.06700232017681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187.13674266165236</v>
      </c>
      <c r="AO62" s="62">
        <f t="shared" si="36"/>
        <v>439.28159165815276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195.80903373714432</v>
      </c>
      <c r="BJ62" s="62">
        <f t="shared" si="38"/>
        <v>388.30721786668977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55.634275951306094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1.1479477391943268E-2</v>
      </c>
      <c r="BS62" s="24">
        <f t="shared" si="9"/>
        <v>55.645755428698038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439.06700232017681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187.13674266165236</v>
      </c>
      <c r="AO63" s="62">
        <f t="shared" si="36"/>
        <v>439.28159165815276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195.80903373714432</v>
      </c>
      <c r="BJ63" s="62">
        <f t="shared" si="38"/>
        <v>388.30721786668977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54.543321733458654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8.1172163083207474E-3</v>
      </c>
      <c r="BS63" s="24">
        <f t="shared" si="9"/>
        <v>54.551438949766975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439.06700232017681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187.13674266165236</v>
      </c>
      <c r="AO64" s="62">
        <f t="shared" si="36"/>
        <v>439.28159165815276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195.80903373714432</v>
      </c>
      <c r="BJ64" s="62">
        <f t="shared" si="38"/>
        <v>388.30721786668977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53.47376046240683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5.7397386959716339E-3</v>
      </c>
      <c r="BS64" s="24">
        <f t="shared" si="9"/>
        <v>53.479500201102802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439.06700232017681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187.13674266165236</v>
      </c>
      <c r="AO65" s="62">
        <f t="shared" si="36"/>
        <v>439.28159165815276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195.80903373714432</v>
      </c>
      <c r="BJ65" s="62">
        <f t="shared" si="38"/>
        <v>388.30721786668977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52.425172635512375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4.0586081541603737E-3</v>
      </c>
      <c r="BS65" s="24">
        <f t="shared" si="9"/>
        <v>52.429231243666536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439.06700232017681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187.13674266165236</v>
      </c>
      <c r="AO66" s="62">
        <f t="shared" si="36"/>
        <v>439.28159165815276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195.80903373714432</v>
      </c>
      <c r="BJ66" s="62">
        <f t="shared" si="38"/>
        <v>388.30721786668977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51.397146976327896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2.869869347985817E-3</v>
      </c>
      <c r="BS66" s="24">
        <f t="shared" si="9"/>
        <v>51.400016845675879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439.06700232017681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187.13674266165236</v>
      </c>
      <c r="AO67" s="62">
        <f t="shared" si="36"/>
        <v>439.28159165815276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195.80903373714432</v>
      </c>
      <c r="BJ67" s="62">
        <f t="shared" si="38"/>
        <v>388.30721786668977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50.389280273286289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2.0293040770801869E-3</v>
      </c>
      <c r="BS67" s="24">
        <f t="shared" si="9"/>
        <v>50.391309577363366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439.06700232017681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187.13674266165236</v>
      </c>
      <c r="AO68" s="62">
        <f t="shared" si="36"/>
        <v>439.28159165815276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195.80903373714432</v>
      </c>
      <c r="BJ68" s="62">
        <f t="shared" si="38"/>
        <v>388.30721786668977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49.40117722155334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1.4349346739929085E-3</v>
      </c>
      <c r="BS68" s="24">
        <f t="shared" ref="BS68:BS131" si="63">SUM(BP68:BR68)</f>
        <v>49.402612156227335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439.06700232017681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187.13674266165236</v>
      </c>
      <c r="AO69" s="62">
        <f t="shared" ref="AO69:AO132" si="90">$AO$3</f>
        <v>439.28159165815276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195.80903373714432</v>
      </c>
      <c r="BJ69" s="62">
        <f t="shared" ref="BJ69:BJ132" si="92">$BJ$3</f>
        <v>388.30721786668977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48.432450267981523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1.0146520385400934E-3</v>
      </c>
      <c r="BS69" s="24">
        <f t="shared" si="63"/>
        <v>48.433464920020064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439.06700232017681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187.13674266165236</v>
      </c>
      <c r="AO70" s="62">
        <f t="shared" si="90"/>
        <v>439.28159165815276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195.80903373714432</v>
      </c>
      <c r="BJ70" s="62">
        <f t="shared" si="92"/>
        <v>388.30721786668977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47.482719459104146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7.1746733699645424E-4</v>
      </c>
      <c r="BS70" s="24">
        <f t="shared" si="63"/>
        <v>47.483436926441144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439.06700232017681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187.13674266165236</v>
      </c>
      <c r="AO71" s="62">
        <f t="shared" si="90"/>
        <v>439.28159165815276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195.80903373714432</v>
      </c>
      <c r="BJ71" s="62">
        <f t="shared" si="92"/>
        <v>388.30721786668977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46.551612292110264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5.0732601927004671E-4</v>
      </c>
      <c r="BS71" s="24">
        <f t="shared" si="63"/>
        <v>46.552119618129531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439.06700232017681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187.13674266165236</v>
      </c>
      <c r="AO72" s="62">
        <f t="shared" si="90"/>
        <v>439.28159165815276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195.80903373714432</v>
      </c>
      <c r="BJ72" s="62">
        <f t="shared" si="92"/>
        <v>388.30721786668977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45.638763568741837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3.5873366849822712E-4</v>
      </c>
      <c r="BS72" s="24">
        <f t="shared" si="63"/>
        <v>45.639122302410335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439.06700232017681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187.13674266165236</v>
      </c>
      <c r="AO73" s="62">
        <f t="shared" si="90"/>
        <v>439.28159165815276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195.80903373714432</v>
      </c>
      <c r="BJ73" s="62">
        <f t="shared" si="92"/>
        <v>388.30721786668977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44.743815252055924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2.5366300963502336E-4</v>
      </c>
      <c r="BS73" s="24">
        <f t="shared" si="63"/>
        <v>44.744068915065561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439.06700232017681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187.13674266165236</v>
      </c>
      <c r="AO74" s="62">
        <f t="shared" si="90"/>
        <v>439.28159165815276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195.80903373714432</v>
      </c>
      <c r="BJ74" s="62">
        <f t="shared" si="92"/>
        <v>388.30721786668977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43.866416325995644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1.7936683424911356E-4</v>
      </c>
      <c r="BS74" s="24">
        <f t="shared" si="63"/>
        <v>43.86659569282989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439.06700232017681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187.13674266165236</v>
      </c>
      <c r="AO75" s="62">
        <f t="shared" si="90"/>
        <v>439.28159165815276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195.80903373714432</v>
      </c>
      <c r="BJ75" s="62">
        <f t="shared" si="92"/>
        <v>388.30721786668977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43.006222657714908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1.2683150481751168E-4</v>
      </c>
      <c r="BS75" s="24">
        <f t="shared" si="63"/>
        <v>43.006349489219723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439.06700232017681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187.13674266165236</v>
      </c>
      <c r="AO76" s="62">
        <f t="shared" si="90"/>
        <v>439.28159165815276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195.80903373714432</v>
      </c>
      <c r="BJ76" s="62">
        <f t="shared" si="92"/>
        <v>388.30721786668977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42.162896862602821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8.968341712455678E-5</v>
      </c>
      <c r="BS76" s="24">
        <f t="shared" si="63"/>
        <v>42.162986546019944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439.06700232017681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187.13674266165236</v>
      </c>
      <c r="AO77" s="62">
        <f t="shared" si="90"/>
        <v>439.28159165815276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195.80903373714432</v>
      </c>
      <c r="BJ77" s="62">
        <f t="shared" si="92"/>
        <v>388.30721786668977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41.33610817195494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6.3415752408755839E-5</v>
      </c>
      <c r="BS77" s="24">
        <f t="shared" si="63"/>
        <v>41.336171587707348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439.06700232017681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187.13674266165236</v>
      </c>
      <c r="AO78" s="62">
        <f t="shared" si="90"/>
        <v>439.28159165815276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195.80903373714432</v>
      </c>
      <c r="BJ78" s="62">
        <f t="shared" si="92"/>
        <v>388.30721786668977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40.525532303239359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4.484170856227839E-5</v>
      </c>
      <c r="BS78" s="24">
        <f t="shared" si="63"/>
        <v>40.525577144947924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439.06700232017681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187.13674266165236</v>
      </c>
      <c r="AO79" s="62">
        <f t="shared" si="90"/>
        <v>439.28159165815276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195.80903373714432</v>
      </c>
      <c r="BJ79" s="62">
        <f t="shared" si="92"/>
        <v>388.30721786668977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39.73085133290683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3.170787620437792E-5</v>
      </c>
      <c r="BS79" s="24">
        <f t="shared" si="63"/>
        <v>39.730883040783034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439.06700232017681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187.13674266165236</v>
      </c>
      <c r="AO80" s="62">
        <f t="shared" si="90"/>
        <v>439.28159165815276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195.80903373714432</v>
      </c>
      <c r="BJ80" s="62">
        <f t="shared" si="92"/>
        <v>388.30721786668977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38.951753571694987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2.2420854281139195E-5</v>
      </c>
      <c r="BS80" s="24">
        <f t="shared" si="63"/>
        <v>38.951775992549265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439.06700232017681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187.13674266165236</v>
      </c>
      <c r="AO81" s="62">
        <f t="shared" si="90"/>
        <v>439.28159165815276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195.80903373714432</v>
      </c>
      <c r="BJ81" s="62">
        <f t="shared" si="92"/>
        <v>388.30721786668977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38.187933442377798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1.585393810218896E-5</v>
      </c>
      <c r="BS81" s="24">
        <f t="shared" si="63"/>
        <v>38.1879492963159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439.06700232017681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187.13674266165236</v>
      </c>
      <c r="AO82" s="62">
        <f t="shared" si="90"/>
        <v>439.28159165815276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195.80903373714432</v>
      </c>
      <c r="BJ82" s="62">
        <f t="shared" si="92"/>
        <v>388.30721786668977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37.43909135991224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1.1210427140569598E-5</v>
      </c>
      <c r="BS82" s="24">
        <f t="shared" si="63"/>
        <v>37.439102570339379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439.06700232017681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187.13674266165236</v>
      </c>
      <c r="AO83" s="62">
        <f t="shared" si="90"/>
        <v>439.28159165815276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195.80903373714432</v>
      </c>
      <c r="BJ83" s="62">
        <f t="shared" si="92"/>
        <v>388.30721786668977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36.70493361393526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7.9269690510944799E-6</v>
      </c>
      <c r="BS83" s="24">
        <f t="shared" si="63"/>
        <v>36.704941540904315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439.06700232017681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187.13674266165236</v>
      </c>
      <c r="AO84" s="62">
        <f t="shared" si="90"/>
        <v>439.28159165815276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195.80903373714432</v>
      </c>
      <c r="BJ84" s="62">
        <f t="shared" si="92"/>
        <v>388.30721786668977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35.985172253564883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5.6052135702847988E-6</v>
      </c>
      <c r="BS84" s="24">
        <f t="shared" si="63"/>
        <v>35.985177858778457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439.06700232017681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187.13674266165236</v>
      </c>
      <c r="AO85" s="62">
        <f t="shared" si="90"/>
        <v>439.28159165815276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195.80903373714432</v>
      </c>
      <c r="BJ85" s="62">
        <f t="shared" si="92"/>
        <v>388.30721786668977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35.279524974460287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3.96348452554724E-6</v>
      </c>
      <c r="BS85" s="24">
        <f t="shared" si="63"/>
        <v>35.279528937944811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439.06700232017681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187.13674266165236</v>
      </c>
      <c r="AO86" s="62">
        <f t="shared" si="90"/>
        <v>439.28159165815276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195.80903373714432</v>
      </c>
      <c r="BJ86" s="62">
        <f t="shared" si="92"/>
        <v>388.30721786668977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34.587715008096588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2.8026067851423994E-6</v>
      </c>
      <c r="BS86" s="24">
        <f t="shared" si="63"/>
        <v>34.587717810703374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439.06700232017681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187.13674266165236</v>
      </c>
      <c r="AO87" s="62">
        <f t="shared" si="90"/>
        <v>439.28159165815276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195.80903373714432</v>
      </c>
      <c r="BJ87" s="62">
        <f t="shared" si="92"/>
        <v>388.30721786668977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33.909471013210869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1.98174226277362E-6</v>
      </c>
      <c r="BS87" s="24">
        <f t="shared" si="63"/>
        <v>33.909472994953134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439.06700232017681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187.13674266165236</v>
      </c>
      <c r="AO88" s="62">
        <f t="shared" si="90"/>
        <v>439.28159165815276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195.80903373714432</v>
      </c>
      <c r="BJ88" s="62">
        <f t="shared" si="92"/>
        <v>388.30721786668977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33.244526969376871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1.4013033925711997E-6</v>
      </c>
      <c r="BS88" s="24">
        <f t="shared" si="63"/>
        <v>33.244528370680264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439.06700232017681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187.13674266165236</v>
      </c>
      <c r="AO89" s="62">
        <f t="shared" si="90"/>
        <v>439.28159165815276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195.80903373714432</v>
      </c>
      <c r="BJ89" s="62">
        <f t="shared" si="92"/>
        <v>388.30721786668977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32.592622072666636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9.9087113138680999E-7</v>
      </c>
      <c r="BS89" s="24">
        <f t="shared" si="63"/>
        <v>32.592623063537765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439.06700232017681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187.13674266165236</v>
      </c>
      <c r="AO90" s="62">
        <f t="shared" si="90"/>
        <v>439.28159165815276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195.80903373714432</v>
      </c>
      <c r="BJ90" s="62">
        <f t="shared" si="92"/>
        <v>388.30721786668977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31.953500633358168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7.0065169628559984E-7</v>
      </c>
      <c r="BS90" s="24">
        <f t="shared" si="63"/>
        <v>31.953501334009864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439.06700232017681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187.13674266165236</v>
      </c>
      <c r="AO91" s="62">
        <f t="shared" si="90"/>
        <v>439.28159165815276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195.80903373714432</v>
      </c>
      <c r="BJ91" s="62">
        <f t="shared" si="92"/>
        <v>388.30721786668977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31.326911975648951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4.9543556569340499E-7</v>
      </c>
      <c r="BS91" s="24">
        <f t="shared" si="63"/>
        <v>31.326912471084515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439.06700232017681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187.13674266165236</v>
      </c>
      <c r="AO92" s="62">
        <f t="shared" si="90"/>
        <v>439.28159165815276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195.80903373714432</v>
      </c>
      <c r="BJ92" s="62">
        <f t="shared" si="92"/>
        <v>388.30721786668977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30.712610339336067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3.5032584814279992E-7</v>
      </c>
      <c r="BS92" s="24">
        <f t="shared" si="63"/>
        <v>30.712610689661915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439.06700232017681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187.13674266165236</v>
      </c>
      <c r="AO93" s="62">
        <f t="shared" si="90"/>
        <v>439.28159165815276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195.80903373714432</v>
      </c>
      <c r="BJ93" s="62">
        <f t="shared" si="92"/>
        <v>388.30721786668977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30.110354783424278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2.477177828467025E-7</v>
      </c>
      <c r="BS93" s="24">
        <f t="shared" si="63"/>
        <v>30.11035503114206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439.06700232017681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187.13674266165236</v>
      </c>
      <c r="AO94" s="62">
        <f t="shared" si="90"/>
        <v>439.28159165815276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195.80903373714432</v>
      </c>
      <c r="BJ94" s="62">
        <f t="shared" si="92"/>
        <v>388.30721786668977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29.519909091624303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1.7516292407139996E-7</v>
      </c>
      <c r="BS94" s="24">
        <f t="shared" si="63"/>
        <v>29.519909266787227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439.06700232017681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187.13674266165236</v>
      </c>
      <c r="AO95" s="62">
        <f t="shared" si="90"/>
        <v>439.28159165815276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195.80903373714432</v>
      </c>
      <c r="BJ95" s="62">
        <f t="shared" si="92"/>
        <v>388.30721786668977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28.941041679704213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1.2385889142335125E-7</v>
      </c>
      <c r="BS95" s="24">
        <f t="shared" si="63"/>
        <v>28.941041803563106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439.06700232017681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187.13674266165236</v>
      </c>
      <c r="AO96" s="62">
        <f t="shared" si="90"/>
        <v>439.28159165815276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195.80903373714432</v>
      </c>
      <c r="BJ96" s="62">
        <f t="shared" si="92"/>
        <v>388.30721786668977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28.373525504657618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8.7581462035699981E-8</v>
      </c>
      <c r="BS96" s="24">
        <f t="shared" si="63"/>
        <v>28.37352559223908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439.06700232017681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187.13674266165236</v>
      </c>
      <c r="AO97" s="62">
        <f t="shared" si="90"/>
        <v>439.28159165815276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195.80903373714432</v>
      </c>
      <c r="BJ97" s="62">
        <f t="shared" si="92"/>
        <v>388.30721786668977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27.817137975653001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6.1929445711675624E-8</v>
      </c>
      <c r="BS97" s="24">
        <f t="shared" si="63"/>
        <v>27.817138037582446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439.06700232017681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187.13674266165236</v>
      </c>
      <c r="AO98" s="62">
        <f t="shared" si="90"/>
        <v>439.28159165815276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195.80903373714432</v>
      </c>
      <c r="BJ98" s="62">
        <f t="shared" si="92"/>
        <v>388.30721786668977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27.271660866729281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4.379073101784999E-8</v>
      </c>
      <c r="BS98" s="24">
        <f t="shared" si="63"/>
        <v>27.271660910520012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439.06700232017681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187.13674266165236</v>
      </c>
      <c r="AO99" s="62">
        <f t="shared" si="90"/>
        <v>439.28159165815276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195.80903373714432</v>
      </c>
      <c r="BJ99" s="62">
        <f t="shared" si="92"/>
        <v>388.30721786668977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26.736880231203372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3.0964722855837812E-8</v>
      </c>
      <c r="BS99" s="24">
        <f t="shared" si="63"/>
        <v>26.736880262168096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439.06700232017681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187.13674266165236</v>
      </c>
      <c r="AO100" s="62">
        <f t="shared" si="90"/>
        <v>439.28159165815276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195.80903373714432</v>
      </c>
      <c r="BJ100" s="62">
        <f t="shared" si="92"/>
        <v>388.30721786668977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26.212586317756145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2.1895365508924995E-8</v>
      </c>
      <c r="BS100" s="24">
        <f t="shared" si="63"/>
        <v>26.212586339651509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439.06700232017681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187.13674266165236</v>
      </c>
      <c r="AO101" s="62">
        <f t="shared" si="90"/>
        <v>439.28159165815276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195.80903373714432</v>
      </c>
      <c r="BJ101" s="62">
        <f t="shared" si="92"/>
        <v>388.30721786668977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25.698573488163905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1.5482361427918906E-8</v>
      </c>
      <c r="BS101" s="24">
        <f t="shared" si="63"/>
        <v>25.698573503646266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439.06700232017681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187.13674266165236</v>
      </c>
      <c r="AO102" s="62">
        <f t="shared" si="90"/>
        <v>439.28159165815276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195.80903373714432</v>
      </c>
      <c r="BJ102" s="62">
        <f t="shared" si="92"/>
        <v>388.30721786668977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25.194640136643102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1.0947682754462498E-8</v>
      </c>
      <c r="BS102" s="24">
        <f t="shared" si="63"/>
        <v>25.194640147590786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439.06700232017681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187.13674266165236</v>
      </c>
      <c r="AO103" s="62">
        <f t="shared" si="90"/>
        <v>439.28159165815276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195.80903373714432</v>
      </c>
      <c r="BJ103" s="62">
        <f t="shared" si="92"/>
        <v>388.30721786668977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24.700588610776627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7.741180713959453E-9</v>
      </c>
      <c r="BS103" s="24">
        <f t="shared" si="63"/>
        <v>24.700588618517809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439.06700232017681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187.13674266165236</v>
      </c>
      <c r="AO104" s="62">
        <f t="shared" si="90"/>
        <v>439.28159165815276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195.80903373714432</v>
      </c>
      <c r="BJ104" s="62">
        <f t="shared" si="92"/>
        <v>388.30721786668977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24.216225133990719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5.4738413772312488E-9</v>
      </c>
      <c r="BS104" s="24">
        <f t="shared" si="63"/>
        <v>24.216225139464559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439.06700232017681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187.13674266165236</v>
      </c>
      <c r="AO105" s="62">
        <f t="shared" si="90"/>
        <v>439.28159165815276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195.80903373714432</v>
      </c>
      <c r="BJ105" s="62">
        <f t="shared" si="92"/>
        <v>388.30721786668977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23.741359729552034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3.8705903569797265E-9</v>
      </c>
      <c r="BS105" s="24">
        <f t="shared" si="63"/>
        <v>23.741359733422623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439.06700232017681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187.13674266165236</v>
      </c>
      <c r="AO106" s="62">
        <f t="shared" si="90"/>
        <v>439.28159165815276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195.80903373714432</v>
      </c>
      <c r="BJ106" s="62">
        <f t="shared" si="92"/>
        <v>388.30721786668977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23.275806146055093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2.7369206886156244E-9</v>
      </c>
      <c r="BS106" s="24">
        <f t="shared" si="63"/>
        <v>23.275806148792014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439.06700232017681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187.13674266165236</v>
      </c>
      <c r="AO107" s="62">
        <f t="shared" si="90"/>
        <v>439.28159165815276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195.80903373714432</v>
      </c>
      <c r="BJ107" s="62">
        <f t="shared" si="92"/>
        <v>388.30721786668977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22.819381784370879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1.9352951784898633E-9</v>
      </c>
      <c r="BS107" s="24">
        <f t="shared" si="63"/>
        <v>22.819381786306174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439.06700232017681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187.13674266165236</v>
      </c>
      <c r="AO108" s="62">
        <f t="shared" si="90"/>
        <v>439.28159165815276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195.80903373714432</v>
      </c>
      <c r="BJ108" s="62">
        <f t="shared" si="92"/>
        <v>388.30721786668977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22.371907626027923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1.3684603443078122E-9</v>
      </c>
      <c r="BS108" s="24">
        <f t="shared" si="63"/>
        <v>22.371907627396382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439.06700232017681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187.13674266165236</v>
      </c>
      <c r="AO109" s="62">
        <f t="shared" si="90"/>
        <v>439.28159165815276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195.80903373714432</v>
      </c>
      <c r="BJ109" s="62">
        <f t="shared" si="92"/>
        <v>388.30721786668977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21.933208162997783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9.6764758924493163E-10</v>
      </c>
      <c r="BS109" s="24">
        <f t="shared" si="63"/>
        <v>21.933208163965432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439.06700232017681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187.13674266165236</v>
      </c>
      <c r="AO110" s="62">
        <f t="shared" si="90"/>
        <v>439.28159165815276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195.80903373714432</v>
      </c>
      <c r="BJ110" s="62">
        <f t="shared" si="92"/>
        <v>388.30721786668977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21.503111328857415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6.842301721539061E-10</v>
      </c>
      <c r="BS110" s="24">
        <f t="shared" si="63"/>
        <v>21.503111329541646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439.06700232017681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187.13674266165236</v>
      </c>
      <c r="AO111" s="62">
        <f t="shared" si="90"/>
        <v>439.28159165815276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195.80903373714432</v>
      </c>
      <c r="BJ111" s="62">
        <f t="shared" si="92"/>
        <v>388.30721786668977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21.081448431301371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4.8382379462246581E-10</v>
      </c>
      <c r="BS111" s="24">
        <f t="shared" si="63"/>
        <v>21.081448431785194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439.06700232017681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187.13674266165236</v>
      </c>
      <c r="AO112" s="62">
        <f t="shared" si="90"/>
        <v>439.28159165815276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195.80903373714432</v>
      </c>
      <c r="BJ112" s="62">
        <f t="shared" si="92"/>
        <v>388.30721786668977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20.668054085977431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3.4211508607695305E-10</v>
      </c>
      <c r="BS112" s="24">
        <f t="shared" si="63"/>
        <v>20.668054086319547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439.06700232017681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187.13674266165236</v>
      </c>
      <c r="AO113" s="62">
        <f t="shared" si="90"/>
        <v>439.28159165815276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195.80903373714432</v>
      </c>
      <c r="BJ113" s="62">
        <f t="shared" si="92"/>
        <v>388.30721786668977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20.26276615161964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2.4191189731123291E-10</v>
      </c>
      <c r="BS113" s="24">
        <f t="shared" si="63"/>
        <v>20.262766151861552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439.06700232017681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187.13674266165236</v>
      </c>
      <c r="AO114" s="62">
        <f t="shared" si="90"/>
        <v>439.28159165815276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195.80903373714432</v>
      </c>
      <c r="BJ114" s="62">
        <f t="shared" si="92"/>
        <v>388.30721786668977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19.865425666453376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1.7105754303847652E-10</v>
      </c>
      <c r="BS114" s="24">
        <f t="shared" si="63"/>
        <v>19.865425666624432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439.06700232017681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187.13674266165236</v>
      </c>
      <c r="AO115" s="62">
        <f t="shared" si="90"/>
        <v>439.28159165815276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195.80903373714432</v>
      </c>
      <c r="BJ115" s="62">
        <f t="shared" si="92"/>
        <v>388.30721786668977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19.475876785847454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1.2095594865561645E-10</v>
      </c>
      <c r="BS115" s="24">
        <f t="shared" si="63"/>
        <v>19.47587678596841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439.06700232017681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187.13674266165236</v>
      </c>
      <c r="AO116" s="62">
        <f t="shared" si="90"/>
        <v>439.28159165815276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195.80903373714432</v>
      </c>
      <c r="BJ116" s="62">
        <f t="shared" si="92"/>
        <v>388.30721786668977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19.09396672118886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8.5528771519238262E-11</v>
      </c>
      <c r="BS116" s="24">
        <f t="shared" si="63"/>
        <v>19.093966721274388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439.06700232017681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187.13674266165236</v>
      </c>
      <c r="AO117" s="62">
        <f t="shared" si="90"/>
        <v>439.28159165815276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195.80903373714432</v>
      </c>
      <c r="BJ117" s="62">
        <f t="shared" si="92"/>
        <v>388.30721786668977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18.719545679956081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6.0477974327808227E-11</v>
      </c>
      <c r="BS117" s="24">
        <f t="shared" si="63"/>
        <v>18.719545680016559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439.06700232017681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187.13674266165236</v>
      </c>
      <c r="AO118" s="62">
        <f t="shared" si="90"/>
        <v>439.28159165815276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195.80903373714432</v>
      </c>
      <c r="BJ118" s="62">
        <f t="shared" si="92"/>
        <v>388.30721786668977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18.352466806967595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4.2764385759619131E-11</v>
      </c>
      <c r="BS118" s="24">
        <f t="shared" si="63"/>
        <v>18.352466807010359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439.06700232017681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187.13674266165236</v>
      </c>
      <c r="AO119" s="62">
        <f t="shared" si="90"/>
        <v>439.28159165815276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195.80903373714432</v>
      </c>
      <c r="BJ119" s="62">
        <f t="shared" si="92"/>
        <v>388.30721786668977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17.992586126782406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3.0238987163904113E-11</v>
      </c>
      <c r="BS119" s="24">
        <f t="shared" si="63"/>
        <v>17.992586126812647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439.06700232017681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187.13674266165236</v>
      </c>
      <c r="AO120" s="62">
        <f t="shared" si="90"/>
        <v>439.28159165815276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195.80903373714432</v>
      </c>
      <c r="BJ120" s="62">
        <f t="shared" si="92"/>
        <v>388.30721786668977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17.639762487230108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2.1382192879809566E-11</v>
      </c>
      <c r="BS120" s="24">
        <f t="shared" si="63"/>
        <v>17.639762487251492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439.06700232017681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187.13674266165236</v>
      </c>
      <c r="AO121" s="62">
        <f t="shared" si="90"/>
        <v>439.28159165815276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195.80903373714432</v>
      </c>
      <c r="BJ121" s="62">
        <f t="shared" si="92"/>
        <v>388.30721786668977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17.293857504048262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1.5119493581952057E-11</v>
      </c>
      <c r="BS121" s="24">
        <f t="shared" si="63"/>
        <v>17.293857504063382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439.06700232017681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187.13674266165236</v>
      </c>
      <c r="AO122" s="62">
        <f t="shared" si="90"/>
        <v>439.28159165815276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195.80903373714432</v>
      </c>
      <c r="BJ122" s="62">
        <f t="shared" si="92"/>
        <v>388.30721786668977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16.954735506605402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1.0691096439904783E-11</v>
      </c>
      <c r="BS122" s="24">
        <f t="shared" si="63"/>
        <v>16.954735506616093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439.06700232017681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187.13674266165236</v>
      </c>
      <c r="AO123" s="62">
        <f t="shared" si="90"/>
        <v>439.28159165815276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195.80903373714432</v>
      </c>
      <c r="BJ123" s="62">
        <f t="shared" si="92"/>
        <v>388.30721786668977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16.622263484688403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7.5597467909760283E-12</v>
      </c>
      <c r="BS123" s="24">
        <f t="shared" si="63"/>
        <v>16.622263484695964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439.06700232017681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187.13674266165236</v>
      </c>
      <c r="AO124" s="62">
        <f t="shared" si="90"/>
        <v>439.28159165815276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195.80903373714432</v>
      </c>
      <c r="BJ124" s="62">
        <f t="shared" si="92"/>
        <v>388.30721786668977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16.296311036333289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5.3455482199523914E-12</v>
      </c>
      <c r="BS124" s="24">
        <f t="shared" si="63"/>
        <v>16.296311036338636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439.06700232017681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187.13674266165236</v>
      </c>
      <c r="AO125" s="62">
        <f t="shared" si="90"/>
        <v>439.28159165815276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195.80903373714432</v>
      </c>
      <c r="BJ125" s="62">
        <f t="shared" si="92"/>
        <v>388.30721786668977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15.976750316679055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3.7798733954880142E-12</v>
      </c>
      <c r="BS125" s="24">
        <f t="shared" si="63"/>
        <v>15.976750316682836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439.06700232017681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187.13674266165236</v>
      </c>
      <c r="AO126" s="62">
        <f t="shared" si="90"/>
        <v>439.28159165815276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195.80903373714432</v>
      </c>
      <c r="BJ126" s="62">
        <f t="shared" si="92"/>
        <v>388.30721786668977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15.663455987824447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2.6727741099761957E-12</v>
      </c>
      <c r="BS126" s="24">
        <f t="shared" si="63"/>
        <v>15.66345598782712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439.06700232017681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187.13674266165236</v>
      </c>
      <c r="AO127" s="62">
        <f t="shared" si="90"/>
        <v>439.28159165815276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195.80903373714432</v>
      </c>
      <c r="BJ127" s="62">
        <f t="shared" si="92"/>
        <v>388.30721786668977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15.356305169668007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1.8899366977440071E-12</v>
      </c>
      <c r="BS127" s="24">
        <f t="shared" si="63"/>
        <v>15.356305169669897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439.06700232017681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187.13674266165236</v>
      </c>
      <c r="AO128" s="62">
        <f t="shared" si="90"/>
        <v>439.28159165815276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195.80903373714432</v>
      </c>
      <c r="BJ128" s="62">
        <f t="shared" si="92"/>
        <v>388.30721786668977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15.055177391712114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1.3363870549880978E-12</v>
      </c>
      <c r="BS128" s="24">
        <f t="shared" si="63"/>
        <v>15.05517739171345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439.06700232017681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187.13674266165236</v>
      </c>
      <c r="AO129" s="62">
        <f t="shared" si="90"/>
        <v>439.28159165815276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195.80903373714432</v>
      </c>
      <c r="BJ129" s="62">
        <f t="shared" si="92"/>
        <v>388.30721786668977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14.759954545812127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9.4496834887200354E-13</v>
      </c>
      <c r="BS129" s="24">
        <f t="shared" si="63"/>
        <v>14.759954545813072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439.06700232017681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187.13674266165236</v>
      </c>
      <c r="AO130" s="62">
        <f t="shared" si="90"/>
        <v>439.28159165815276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195.80903373714432</v>
      </c>
      <c r="BJ130" s="62">
        <f t="shared" si="92"/>
        <v>388.30721786668977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14.470520839852083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6.6819352749404892E-13</v>
      </c>
      <c r="BS130" s="24">
        <f t="shared" si="63"/>
        <v>14.470520839852751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439.06700232017681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187.13674266165236</v>
      </c>
      <c r="AO131" s="62">
        <f t="shared" si="90"/>
        <v>439.28159165815276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195.80903373714432</v>
      </c>
      <c r="BJ131" s="62">
        <f t="shared" si="92"/>
        <v>388.30721786668977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14.186762752328788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4.7248417443600177E-13</v>
      </c>
      <c r="BS131" s="24">
        <f t="shared" si="63"/>
        <v>14.18676275232926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439.06700232017681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187.13674266165236</v>
      </c>
      <c r="AO132" s="62">
        <f t="shared" si="90"/>
        <v>439.28159165815276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195.80903373714432</v>
      </c>
      <c r="BJ132" s="62">
        <f t="shared" si="92"/>
        <v>388.30721786668977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13.908568987826479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3.3409676374702446E-13</v>
      </c>
      <c r="BS132" s="24">
        <f t="shared" ref="BS132:BS153" si="117">SUM(BP132:BR132)</f>
        <v>13.908568987826813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439.06700232017681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187.13674266165236</v>
      </c>
      <c r="AO133" s="62">
        <f t="shared" ref="AO133:AO196" si="144">$AO$3</f>
        <v>439.28159165815276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195.80903373714432</v>
      </c>
      <c r="BJ133" s="62">
        <f t="shared" ref="BJ133:BJ196" si="146">$BJ$3</f>
        <v>388.30721786668977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13.635830433364619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2.3624208721800089E-13</v>
      </c>
      <c r="BS133" s="24">
        <f t="shared" si="117"/>
        <v>13.635830433364855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439.06700232017681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187.13674266165236</v>
      </c>
      <c r="AO134" s="62">
        <f t="shared" si="144"/>
        <v>439.28159165815276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195.80903373714432</v>
      </c>
      <c r="BJ134" s="62">
        <f t="shared" si="146"/>
        <v>388.30721786668977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13.368440115601665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1.6704838187351223E-13</v>
      </c>
      <c r="BS134" s="24">
        <f t="shared" si="117"/>
        <v>13.368440115601832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439.06700232017681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187.13674266165236</v>
      </c>
      <c r="AO135" s="62">
        <f t="shared" si="144"/>
        <v>439.28159165815276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195.80903373714432</v>
      </c>
      <c r="BJ135" s="62">
        <f t="shared" si="146"/>
        <v>388.30721786668977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13.106293158878051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1.1812104360900044E-13</v>
      </c>
      <c r="BS135" s="24">
        <f t="shared" si="117"/>
        <v>13.106293158878168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439.06700232017681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187.13674266165236</v>
      </c>
      <c r="AO136" s="62">
        <f t="shared" si="144"/>
        <v>439.28159165815276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195.80903373714432</v>
      </c>
      <c r="BJ136" s="62">
        <f t="shared" si="146"/>
        <v>388.30721786668977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12.849286744081933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8.3524190936756116E-14</v>
      </c>
      <c r="BS136" s="24">
        <f t="shared" si="117"/>
        <v>12.849286744082017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439.06700232017681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187.13674266165236</v>
      </c>
      <c r="AO137" s="62">
        <f t="shared" si="144"/>
        <v>439.28159165815276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195.80903373714432</v>
      </c>
      <c r="BJ137" s="62">
        <f t="shared" si="146"/>
        <v>388.30721786668977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12.597320068321531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5.9060521804500221E-14</v>
      </c>
      <c r="BS137" s="24">
        <f t="shared" si="117"/>
        <v>12.59732006832159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439.06700232017681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187.13674266165236</v>
      </c>
      <c r="AO138" s="62">
        <f t="shared" si="144"/>
        <v>439.28159165815276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195.80903373714432</v>
      </c>
      <c r="BJ138" s="62">
        <f t="shared" si="146"/>
        <v>388.30721786668977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12.350294305388294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4.1762095468378058E-14</v>
      </c>
      <c r="BS138" s="24">
        <f t="shared" si="117"/>
        <v>12.350294305388337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439.06700232017681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187.13674266165236</v>
      </c>
      <c r="AO139" s="62">
        <f t="shared" si="144"/>
        <v>439.28159165815276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195.80903373714432</v>
      </c>
      <c r="BJ139" s="62">
        <f t="shared" si="146"/>
        <v>388.30721786668977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12.10811256699534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2.9530260902250111E-14</v>
      </c>
      <c r="BS139" s="24">
        <f t="shared" si="117"/>
        <v>12.10811256699537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439.06700232017681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187.13674266165236</v>
      </c>
      <c r="AO140" s="62">
        <f t="shared" si="144"/>
        <v>439.28159165815276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195.80903373714432</v>
      </c>
      <c r="BJ140" s="62">
        <f t="shared" si="146"/>
        <v>388.30721786668977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11.870679864775997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2.0881047734189029E-14</v>
      </c>
      <c r="BS140" s="24">
        <f t="shared" si="117"/>
        <v>11.870679864776019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439.06700232017681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187.13674266165236</v>
      </c>
      <c r="AO141" s="62">
        <f t="shared" si="144"/>
        <v>439.28159165815276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195.80903373714432</v>
      </c>
      <c r="BJ141" s="62">
        <f t="shared" si="146"/>
        <v>388.30721786668977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11.637903073027527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1.4765130451125055E-14</v>
      </c>
      <c r="BS141" s="24">
        <f t="shared" si="117"/>
        <v>11.637903073027541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439.06700232017681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187.13674266165236</v>
      </c>
      <c r="AO142" s="62">
        <f t="shared" si="144"/>
        <v>439.28159165815276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195.80903373714432</v>
      </c>
      <c r="BJ142" s="62">
        <f t="shared" si="146"/>
        <v>388.30721786668977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11.40969089218542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1.0440523867094514E-14</v>
      </c>
      <c r="BS142" s="24">
        <f t="shared" si="117"/>
        <v>11.409690892185431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439.06700232017681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187.13674266165236</v>
      </c>
      <c r="AO143" s="62">
        <f t="shared" si="144"/>
        <v>439.28159165815276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195.80903373714432</v>
      </c>
      <c r="BJ143" s="62">
        <f t="shared" si="146"/>
        <v>388.30721786668977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11.185953813013942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7.3825652255625277E-15</v>
      </c>
      <c r="BS143" s="24">
        <f t="shared" si="117"/>
        <v>11.185953813013949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439.06700232017681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187.13674266165236</v>
      </c>
      <c r="AO144" s="62">
        <f t="shared" si="144"/>
        <v>439.28159165815276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195.80903373714432</v>
      </c>
      <c r="BJ144" s="62">
        <f t="shared" si="146"/>
        <v>388.30721786668977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10.966604081498874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5.2202619335472572E-15</v>
      </c>
      <c r="BS144" s="24">
        <f t="shared" si="117"/>
        <v>10.966604081498879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439.06700232017681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187.13674266165236</v>
      </c>
      <c r="AO145" s="62">
        <f t="shared" si="144"/>
        <v>439.28159165815276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195.80903373714432</v>
      </c>
      <c r="BJ145" s="62">
        <f t="shared" si="146"/>
        <v>388.30721786668977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10.75155566442869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3.6912826127812638E-15</v>
      </c>
      <c r="BS145" s="24">
        <f t="shared" si="117"/>
        <v>10.751555664428693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439.06700232017681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187.13674266165236</v>
      </c>
      <c r="AO146" s="62">
        <f t="shared" si="144"/>
        <v>439.28159165815276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195.80903373714432</v>
      </c>
      <c r="BJ146" s="62">
        <f t="shared" si="146"/>
        <v>388.30721786668977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10.54072421565067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2.6101309667736286E-15</v>
      </c>
      <c r="BS146" s="24">
        <f t="shared" si="117"/>
        <v>10.540724215650672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439.06700232017681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187.13674266165236</v>
      </c>
      <c r="AO147" s="62">
        <f t="shared" si="144"/>
        <v>439.28159165815276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195.80903373714432</v>
      </c>
      <c r="BJ147" s="62">
        <f t="shared" si="146"/>
        <v>388.30721786668977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10.3340270429887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1.8456413063906319E-15</v>
      </c>
      <c r="BS147" s="24">
        <f t="shared" si="117"/>
        <v>10.334027042988701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439.06700232017681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187.13674266165236</v>
      </c>
      <c r="AO148" s="62">
        <f t="shared" si="144"/>
        <v>439.28159165815276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195.80903373714432</v>
      </c>
      <c r="BJ148" s="62">
        <f t="shared" si="146"/>
        <v>388.30721786668977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10.131383075809804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1.3050654833868143E-15</v>
      </c>
      <c r="BS148" s="24">
        <f t="shared" si="117"/>
        <v>10.131383075809806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439.06700232017681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187.13674266165236</v>
      </c>
      <c r="AO149" s="62">
        <f t="shared" si="144"/>
        <v>439.28159165815276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195.80903373714432</v>
      </c>
      <c r="BJ149" s="62">
        <f t="shared" si="146"/>
        <v>388.30721786668977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9.9327128332266721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9.2282065319531596E-16</v>
      </c>
      <c r="BS149" s="24">
        <f t="shared" si="117"/>
        <v>9.9327128332266739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439.06700232017681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187.13674266165236</v>
      </c>
      <c r="AO150" s="62">
        <f t="shared" si="144"/>
        <v>439.28159165815276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195.80903373714432</v>
      </c>
      <c r="BJ150" s="62">
        <f t="shared" si="146"/>
        <v>388.30721786668977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9.7379383929237129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6.5253274169340715E-16</v>
      </c>
      <c r="BS150" s="24">
        <f t="shared" si="117"/>
        <v>9.7379383929237129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439.06700232017681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187.13674266165236</v>
      </c>
      <c r="AO151" s="62">
        <f t="shared" si="144"/>
        <v>439.28159165815276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195.80903373714432</v>
      </c>
      <c r="BJ151" s="62">
        <f t="shared" si="146"/>
        <v>388.30721786668977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9.5469833605944157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4.6141032659765798E-16</v>
      </c>
      <c r="BS151" s="24">
        <f t="shared" si="117"/>
        <v>9.5469833605944157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439.06700232017681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187.13674266165236</v>
      </c>
      <c r="AO152" s="62">
        <f t="shared" si="144"/>
        <v>439.28159165815276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195.80903373714432</v>
      </c>
      <c r="BJ152" s="62">
        <f t="shared" si="146"/>
        <v>388.30721786668977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9.359772839978028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3.2626637084670358E-16</v>
      </c>
      <c r="BS152" s="24">
        <f t="shared" si="117"/>
        <v>9.359772839978028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439.06700232017681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187.13674266165236</v>
      </c>
      <c r="AO153" s="62">
        <f t="shared" si="144"/>
        <v>439.28159165815276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195.80903373714432</v>
      </c>
      <c r="BJ153" s="62">
        <f t="shared" si="146"/>
        <v>388.30721786668977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9.1762334034837849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2.3070516329882899E-16</v>
      </c>
      <c r="BS153" s="24">
        <f t="shared" si="117"/>
        <v>9.1762334034837849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439.06700232017681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187.13674266165236</v>
      </c>
      <c r="AO154" s="62">
        <f t="shared" si="144"/>
        <v>439.28159165815276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195.80903373714432</v>
      </c>
      <c r="BJ154" s="62">
        <f t="shared" si="146"/>
        <v>388.30721786668977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8.9962930633911906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1.6313318542335179E-16</v>
      </c>
      <c r="BS154" s="24">
        <f t="shared" ref="BS154:BS203" si="169">SUM(BP154:BR154)</f>
        <v>8.9962930633911906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439.06700232017681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187.13674266165236</v>
      </c>
      <c r="AO155" s="62">
        <f t="shared" si="144"/>
        <v>439.28159165815276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195.80903373714432</v>
      </c>
      <c r="BJ155" s="62">
        <f t="shared" si="146"/>
        <v>388.30721786668977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8.8198812436150416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1.153525816494145E-16</v>
      </c>
      <c r="BS155" s="24">
        <f t="shared" si="169"/>
        <v>8.8198812436150416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439.06700232017681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187.13674266165236</v>
      </c>
      <c r="AO156" s="62">
        <f t="shared" si="144"/>
        <v>439.28159165815276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195.80903373714432</v>
      </c>
      <c r="BJ156" s="62">
        <f t="shared" si="146"/>
        <v>388.30721786668977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8.6469287520241185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8.1566592711675894E-17</v>
      </c>
      <c r="BS156" s="24">
        <f t="shared" si="169"/>
        <v>8.6469287520241185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439.06700232017681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187.13674266165236</v>
      </c>
      <c r="AO157" s="62">
        <f t="shared" si="144"/>
        <v>439.28159165815276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195.80903373714432</v>
      </c>
      <c r="BJ157" s="62">
        <f t="shared" si="146"/>
        <v>388.30721786668977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8.4773677533026888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5.7676290824707248E-17</v>
      </c>
      <c r="BS157" s="24">
        <f t="shared" si="169"/>
        <v>8.4773677533026888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439.06700232017681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187.13674266165236</v>
      </c>
      <c r="AO158" s="62">
        <f t="shared" si="144"/>
        <v>439.28159165815276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195.80903373714432</v>
      </c>
      <c r="BJ158" s="62">
        <f t="shared" si="146"/>
        <v>388.30721786668977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8.3111317423441893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4.0783296355837947E-17</v>
      </c>
      <c r="BS158" s="24">
        <f t="shared" si="169"/>
        <v>8.3111317423441893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439.06700232017681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187.13674266165236</v>
      </c>
      <c r="AO159" s="62">
        <f t="shared" si="144"/>
        <v>439.28159165815276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195.80903373714432</v>
      </c>
      <c r="BJ159" s="62">
        <f t="shared" si="146"/>
        <v>388.30721786668977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8.1481555181666323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2.8838145412353624E-17</v>
      </c>
      <c r="BS159" s="24">
        <f t="shared" si="169"/>
        <v>8.1481555181666323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439.06700232017681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187.13674266165236</v>
      </c>
      <c r="AO160" s="62">
        <f t="shared" si="144"/>
        <v>439.28159165815276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195.80903373714432</v>
      </c>
      <c r="BJ160" s="62">
        <f t="shared" si="146"/>
        <v>388.30721786668977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7.9883751583395153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2.0391648177918974E-17</v>
      </c>
      <c r="BS160" s="24">
        <f t="shared" si="169"/>
        <v>7.9883751583395153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439.06700232017681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187.13674266165236</v>
      </c>
      <c r="AO161" s="62">
        <f t="shared" si="144"/>
        <v>439.28159165815276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195.80903373714432</v>
      </c>
      <c r="BJ161" s="62">
        <f t="shared" si="146"/>
        <v>388.30721786668977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7.831727993912212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1.4419072706176812E-17</v>
      </c>
      <c r="BS161" s="24">
        <f t="shared" si="169"/>
        <v>7.831727993912212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439.06700232017681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187.13674266165236</v>
      </c>
      <c r="AO162" s="62">
        <f t="shared" si="144"/>
        <v>439.28159165815276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195.80903373714432</v>
      </c>
      <c r="BJ162" s="62">
        <f t="shared" si="146"/>
        <v>388.30721786668977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7.6781525848339918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1.0195824088959487E-17</v>
      </c>
      <c r="BS162" s="24">
        <f t="shared" si="169"/>
        <v>7.6781525848339918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439.06700232017681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187.13674266165236</v>
      </c>
      <c r="AO163" s="62">
        <f t="shared" si="144"/>
        <v>439.28159165815276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195.80903373714432</v>
      </c>
      <c r="BJ163" s="62">
        <f t="shared" si="146"/>
        <v>388.30721786668977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7.5275886958560454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7.2095363530884059E-18</v>
      </c>
      <c r="BS163" s="24">
        <f t="shared" si="169"/>
        <v>7.5275886958560454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439.06700232017681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187.13674266165236</v>
      </c>
      <c r="AO164" s="62">
        <f t="shared" si="144"/>
        <v>439.28159165815276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195.80903373714432</v>
      </c>
      <c r="BJ164" s="62">
        <f t="shared" si="146"/>
        <v>388.30721786668977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7.3799772729060518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5.0979120444797434E-18</v>
      </c>
      <c r="BS164" s="24">
        <f t="shared" si="169"/>
        <v>7.3799772729060518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439.06700232017681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187.13674266165236</v>
      </c>
      <c r="AO165" s="62">
        <f t="shared" si="144"/>
        <v>439.28159165815276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195.80903373714432</v>
      </c>
      <c r="BJ165" s="62">
        <f t="shared" si="146"/>
        <v>388.30721786668977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7.2352604199260302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3.604768176544203E-18</v>
      </c>
      <c r="BS165" s="24">
        <f t="shared" si="169"/>
        <v>7.2352604199260302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439.06700232017681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187.13674266165236</v>
      </c>
      <c r="AO166" s="62">
        <f t="shared" si="144"/>
        <v>439.28159165815276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195.80903373714432</v>
      </c>
      <c r="BJ166" s="62">
        <f t="shared" si="146"/>
        <v>388.30721786668977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7.0933813761643822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2.5489560222398717E-18</v>
      </c>
      <c r="BS166" s="24">
        <f t="shared" si="169"/>
        <v>7.0933813761643822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439.06700232017681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187.13674266165236</v>
      </c>
      <c r="AO167" s="62">
        <f t="shared" si="144"/>
        <v>439.28159165815276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195.80903373714432</v>
      </c>
      <c r="BJ167" s="62">
        <f t="shared" si="146"/>
        <v>388.30721786668977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6.954284493913228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1.8023840882721015E-18</v>
      </c>
      <c r="BS167" s="24">
        <f t="shared" si="169"/>
        <v>6.954284493913228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439.06700232017681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187.13674266165236</v>
      </c>
      <c r="AO168" s="62">
        <f t="shared" si="144"/>
        <v>439.28159165815276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195.80903373714432</v>
      </c>
      <c r="BJ168" s="62">
        <f t="shared" si="146"/>
        <v>388.30721786668977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6.8179152166822981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1.2744780111199358E-18</v>
      </c>
      <c r="BS168" s="24">
        <f t="shared" si="169"/>
        <v>6.8179152166822981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439.06700232017681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187.13674266165236</v>
      </c>
      <c r="AO169" s="62">
        <f t="shared" si="144"/>
        <v>439.28159165815276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195.80903373714432</v>
      </c>
      <c r="BJ169" s="62">
        <f t="shared" si="146"/>
        <v>388.30721786668977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6.6842200578008208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9.0119204413605074E-19</v>
      </c>
      <c r="BS169" s="24">
        <f t="shared" si="169"/>
        <v>6.6842200578008208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439.06700232017681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187.13674266165236</v>
      </c>
      <c r="AO170" s="62">
        <f t="shared" si="144"/>
        <v>439.28159165815276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195.80903373714432</v>
      </c>
      <c r="BJ170" s="62">
        <f t="shared" si="146"/>
        <v>388.30721786668977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6.5531465794390149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6.3723900555996792E-19</v>
      </c>
      <c r="BS170" s="24">
        <f t="shared" si="169"/>
        <v>6.5531465794390149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439.06700232017681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187.13674266165236</v>
      </c>
      <c r="AO171" s="62">
        <f t="shared" si="144"/>
        <v>439.28159165815276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195.80903373714432</v>
      </c>
      <c r="BJ171" s="62">
        <f t="shared" si="146"/>
        <v>388.30721786668977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6.4246433720409559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4.5059602206802537E-19</v>
      </c>
      <c r="BS171" s="24">
        <f t="shared" si="169"/>
        <v>6.4246433720409559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439.06700232017681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187.13674266165236</v>
      </c>
      <c r="AO172" s="62">
        <f t="shared" si="144"/>
        <v>439.28159165815276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195.80903373714432</v>
      </c>
      <c r="BJ172" s="62">
        <f t="shared" si="146"/>
        <v>388.30721786668977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6.2986600341607559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3.1861950277998396E-19</v>
      </c>
      <c r="BS172" s="24">
        <f t="shared" si="169"/>
        <v>6.2986600341607559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439.06700232017681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187.13674266165236</v>
      </c>
      <c r="AO173" s="62">
        <f t="shared" si="144"/>
        <v>439.28159165815276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195.80903373714432</v>
      </c>
      <c r="BJ173" s="62">
        <f t="shared" si="146"/>
        <v>388.30721786668977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6.1751471526941382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2.2529801103401269E-19</v>
      </c>
      <c r="BS173" s="24">
        <f t="shared" si="169"/>
        <v>6.1751471526941382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439.06700232017681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187.13674266165236</v>
      </c>
      <c r="AO174" s="62">
        <f t="shared" si="144"/>
        <v>439.28159165815276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195.80903373714432</v>
      </c>
      <c r="BJ174" s="62">
        <f t="shared" si="146"/>
        <v>388.30721786668977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6.054056283497661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1.5930975138999198E-19</v>
      </c>
      <c r="BS174" s="24">
        <f t="shared" si="169"/>
        <v>6.054056283497661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439.06700232017681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187.13674266165236</v>
      </c>
      <c r="AO175" s="62">
        <f t="shared" si="144"/>
        <v>439.28159165815276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195.80903373714432</v>
      </c>
      <c r="BJ175" s="62">
        <f t="shared" si="146"/>
        <v>388.30721786668977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5.9353399323879898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1.1264900551700634E-19</v>
      </c>
      <c r="BS175" s="24">
        <f t="shared" si="169"/>
        <v>5.9353399323879898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439.06700232017681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187.13674266165236</v>
      </c>
      <c r="AO176" s="62">
        <f t="shared" si="144"/>
        <v>439.28159165815276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195.80903373714432</v>
      </c>
      <c r="BJ176" s="62">
        <f t="shared" si="146"/>
        <v>388.30721786668977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5.8189515365137554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7.965487569499599E-20</v>
      </c>
      <c r="BS176" s="24">
        <f t="shared" si="169"/>
        <v>5.8189515365137554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439.06700232017681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187.13674266165236</v>
      </c>
      <c r="AO177" s="62">
        <f t="shared" si="144"/>
        <v>439.28159165815276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195.80903373714432</v>
      </c>
      <c r="BJ177" s="62">
        <f t="shared" si="146"/>
        <v>388.30721786668977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5.7048454460927029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5.6324502758503171E-20</v>
      </c>
      <c r="BS177" s="24">
        <f t="shared" si="169"/>
        <v>5.7048454460927029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439.06700232017681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187.13674266165236</v>
      </c>
      <c r="AO178" s="62">
        <f t="shared" si="144"/>
        <v>439.28159165815276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195.80903373714432</v>
      </c>
      <c r="BJ178" s="62">
        <f t="shared" si="146"/>
        <v>388.30721786668977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5.5929769065069639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3.9827437847497995E-20</v>
      </c>
      <c r="BS178" s="24">
        <f t="shared" si="169"/>
        <v>5.5929769065069639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439.06700232017681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187.13674266165236</v>
      </c>
      <c r="AO179" s="62">
        <f t="shared" si="144"/>
        <v>439.28159165815276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195.80903373714432</v>
      </c>
      <c r="BJ179" s="62">
        <f t="shared" si="146"/>
        <v>388.30721786668977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5.4833020407494297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2.8162251379251586E-20</v>
      </c>
      <c r="BS179" s="24">
        <f t="shared" si="169"/>
        <v>5.4833020407494297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439.06700232017681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187.13674266165236</v>
      </c>
      <c r="AO180" s="62">
        <f t="shared" si="144"/>
        <v>439.28159165815276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195.80903373714432</v>
      </c>
      <c r="BJ180" s="62">
        <f t="shared" si="146"/>
        <v>388.30721786668977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5.3757778322143377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1.9913718923748998E-20</v>
      </c>
      <c r="BS180" s="24">
        <f t="shared" si="169"/>
        <v>5.3757778322143377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439.06700232017681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187.13674266165236</v>
      </c>
      <c r="AO181" s="62">
        <f t="shared" si="144"/>
        <v>439.28159165815276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195.80903373714432</v>
      </c>
      <c r="BJ181" s="62">
        <f t="shared" si="146"/>
        <v>388.30721786668977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5.2703621078253278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1.4081125689625793E-20</v>
      </c>
      <c r="BS181" s="24">
        <f t="shared" si="169"/>
        <v>5.2703621078253278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439.06700232017681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187.13674266165236</v>
      </c>
      <c r="AO182" s="62">
        <f t="shared" si="144"/>
        <v>439.28159165815276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195.80903373714432</v>
      </c>
      <c r="BJ182" s="62">
        <f t="shared" si="146"/>
        <v>388.30721786668977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5.1670135214943436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9.9568594618744988E-21</v>
      </c>
      <c r="BS182" s="24">
        <f t="shared" si="169"/>
        <v>5.1670135214943436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439.06700232017681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187.13674266165236</v>
      </c>
      <c r="AO183" s="62">
        <f t="shared" si="144"/>
        <v>439.28159165815276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195.80903373714432</v>
      </c>
      <c r="BJ183" s="62">
        <f t="shared" si="146"/>
        <v>388.30721786668977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5.0656915379048959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7.0405628448128964E-21</v>
      </c>
      <c r="BS183" s="24">
        <f t="shared" si="169"/>
        <v>5.0656915379048959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439.06700232017681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187.13674266165236</v>
      </c>
      <c r="AO184" s="62">
        <f t="shared" si="144"/>
        <v>439.28159165815276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195.80903373714432</v>
      </c>
      <c r="BJ184" s="62">
        <f t="shared" si="146"/>
        <v>388.30721786668977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4.9663564166133298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4.9784297309372494E-21</v>
      </c>
      <c r="BS184" s="24">
        <f t="shared" si="169"/>
        <v>4.9663564166133298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439.06700232017681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187.13674266165236</v>
      </c>
      <c r="AO185" s="62">
        <f t="shared" si="144"/>
        <v>439.28159165815276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195.80903373714432</v>
      </c>
      <c r="BJ185" s="62">
        <f t="shared" si="146"/>
        <v>388.30721786668977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4.8689691964618502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3.5202814224064482E-21</v>
      </c>
      <c r="BS185" s="24">
        <f t="shared" si="169"/>
        <v>4.8689691964618502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439.06700232017681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187.13674266165236</v>
      </c>
      <c r="AO186" s="62">
        <f t="shared" si="144"/>
        <v>439.28159165815276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195.80903373714432</v>
      </c>
      <c r="BJ186" s="62">
        <f t="shared" si="146"/>
        <v>388.30721786668977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4.7734916802972016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2.4892148654686247E-21</v>
      </c>
      <c r="BS186" s="24">
        <f t="shared" si="169"/>
        <v>4.7734916802972016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439.06700232017681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187.13674266165236</v>
      </c>
      <c r="AO187" s="62">
        <f t="shared" si="144"/>
        <v>439.28159165815276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195.80903373714432</v>
      </c>
      <c r="BJ187" s="62">
        <f t="shared" si="146"/>
        <v>388.30721786668977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4.6798864199890078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1.7601407112032241E-21</v>
      </c>
      <c r="BS187" s="24">
        <f t="shared" si="169"/>
        <v>4.6798864199890078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439.06700232017681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187.13674266165236</v>
      </c>
      <c r="AO188" s="62">
        <f t="shared" si="144"/>
        <v>439.28159165815276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195.80903373714432</v>
      </c>
      <c r="BJ188" s="62">
        <f t="shared" si="146"/>
        <v>388.30721786668977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4.5881167017418862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1.2446074327343123E-21</v>
      </c>
      <c r="BS188" s="24">
        <f t="shared" si="169"/>
        <v>4.5881167017418862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439.06700232017681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187.13674266165236</v>
      </c>
      <c r="AO189" s="62">
        <f t="shared" si="144"/>
        <v>439.28159165815276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195.80903373714432</v>
      </c>
      <c r="BJ189" s="62">
        <f t="shared" si="146"/>
        <v>388.30721786668977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4.4981465316955891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8.8007035560161205E-22</v>
      </c>
      <c r="BS189" s="24">
        <f t="shared" si="169"/>
        <v>4.4981465316955891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439.06700232017681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187.13674266165236</v>
      </c>
      <c r="AO190" s="62">
        <f t="shared" si="144"/>
        <v>439.28159165815276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195.80903373714432</v>
      </c>
      <c r="BJ190" s="62">
        <f t="shared" si="146"/>
        <v>388.30721786668977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4.4099406218075154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6.2230371636715617E-22</v>
      </c>
      <c r="BS190" s="24">
        <f t="shared" si="169"/>
        <v>4.4099406218075154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439.06700232017681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187.13674266165236</v>
      </c>
      <c r="AO191" s="62">
        <f t="shared" si="144"/>
        <v>439.28159165815276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195.80903373714432</v>
      </c>
      <c r="BJ191" s="62">
        <f t="shared" si="146"/>
        <v>388.30721786668977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4.3234643760120539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4.4003517780080603E-22</v>
      </c>
      <c r="BS191" s="24">
        <f t="shared" si="169"/>
        <v>4.3234643760120539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439.06700232017681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187.13674266165236</v>
      </c>
      <c r="AO192" s="62">
        <f t="shared" si="144"/>
        <v>439.28159165815276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195.80903373714432</v>
      </c>
      <c r="BJ192" s="62">
        <f t="shared" si="146"/>
        <v>388.30721786668977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4.2386838766513399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3.1115185818357809E-22</v>
      </c>
      <c r="BS192" s="24">
        <f t="shared" si="169"/>
        <v>4.2386838766513399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439.06700232017681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187.13674266165236</v>
      </c>
      <c r="AO193" s="62">
        <f t="shared" si="144"/>
        <v>439.28159165815276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195.80903373714432</v>
      </c>
      <c r="BJ193" s="62">
        <f t="shared" si="146"/>
        <v>388.30721786668977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4.1555658711720902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2.2001758890040301E-22</v>
      </c>
      <c r="BS193" s="24">
        <f t="shared" si="169"/>
        <v>4.1555658711720902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439.06700232017681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187.13674266165236</v>
      </c>
      <c r="AO194" s="62">
        <f t="shared" si="144"/>
        <v>439.28159165815276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195.80903373714432</v>
      </c>
      <c r="BJ194" s="62">
        <f t="shared" si="146"/>
        <v>388.30721786668977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4.0740777590833117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1.5557592909178904E-22</v>
      </c>
      <c r="BS194" s="24">
        <f t="shared" si="169"/>
        <v>4.0740777590833117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439.06700232017681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187.13674266165236</v>
      </c>
      <c r="AO195" s="62">
        <f t="shared" si="144"/>
        <v>439.28159165815276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195.80903373714432</v>
      </c>
      <c r="BJ195" s="62">
        <f t="shared" si="146"/>
        <v>388.30721786668977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3.9941875791697532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1.1000879445020151E-22</v>
      </c>
      <c r="BS195" s="24">
        <f t="shared" si="169"/>
        <v>3.9941875791697532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439.06700232017681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187.13674266165236</v>
      </c>
      <c r="AO196" s="62">
        <f t="shared" si="144"/>
        <v>439.28159165815276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195.80903373714432</v>
      </c>
      <c r="BJ196" s="62">
        <f t="shared" si="146"/>
        <v>388.30721786668977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3.9158639969561015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7.7787964545894522E-23</v>
      </c>
      <c r="BS196" s="24">
        <f t="shared" si="169"/>
        <v>3.9158639969561015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439.06700232017681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187.13674266165236</v>
      </c>
      <c r="AO197" s="62">
        <f t="shared" ref="AO197:AO203" si="205">$AO$3</f>
        <v>439.28159165815276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195.80903373714432</v>
      </c>
      <c r="BJ197" s="62">
        <f t="shared" ref="BJ197:BJ203" si="206">$BJ$3</f>
        <v>388.30721786668977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3.8390762924169914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5.5004397225100753E-23</v>
      </c>
      <c r="BS197" s="24">
        <f t="shared" si="169"/>
        <v>3.8390762924169914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439.06700232017681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187.13674266165236</v>
      </c>
      <c r="AO198" s="62">
        <f t="shared" si="205"/>
        <v>439.28159165815276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195.80903373714432</v>
      </c>
      <c r="BJ198" s="62">
        <f t="shared" si="206"/>
        <v>388.30721786668977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3.7637943479280183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3.8893982272947261E-23</v>
      </c>
      <c r="BS198" s="24">
        <f t="shared" si="169"/>
        <v>3.7637943479280183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439.06700232017681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187.13674266165236</v>
      </c>
      <c r="AO199" s="62">
        <f t="shared" si="205"/>
        <v>439.28159165815276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195.80903373714432</v>
      </c>
      <c r="BJ199" s="62">
        <f t="shared" si="206"/>
        <v>388.30721786668977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3.6899886364530219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2.7502198612550377E-23</v>
      </c>
      <c r="BS199" s="24">
        <f t="shared" si="169"/>
        <v>3.6899886364530219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439.06700232017681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187.13674266165236</v>
      </c>
      <c r="AO200" s="62">
        <f t="shared" si="205"/>
        <v>439.28159165815276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195.80903373714432</v>
      </c>
      <c r="BJ200" s="62">
        <f t="shared" si="206"/>
        <v>388.30721786668977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3.6176302099630111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1.944699113647363E-23</v>
      </c>
      <c r="BS200" s="24">
        <f t="shared" si="169"/>
        <v>3.6176302099630111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439.06700232017681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187.13674266165236</v>
      </c>
      <c r="AO201" s="62">
        <f t="shared" si="205"/>
        <v>439.28159165815276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195.80903373714432</v>
      </c>
      <c r="BJ201" s="62">
        <f t="shared" si="206"/>
        <v>388.30721786668977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3.5466906880821871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1.3751099306275188E-23</v>
      </c>
      <c r="BS201" s="24">
        <f t="shared" si="169"/>
        <v>3.5466906880821871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439.06700232017681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187.13674266165236</v>
      </c>
      <c r="AO202" s="62">
        <f t="shared" si="205"/>
        <v>439.28159165815276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195.80903373714432</v>
      </c>
      <c r="BJ202" s="62">
        <f t="shared" si="206"/>
        <v>388.30721786668977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3.47714224695661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9.7234955682368152E-24</v>
      </c>
      <c r="BS202" s="24">
        <f t="shared" si="169"/>
        <v>3.47714224695661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439.06700232017681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187.13674266165236</v>
      </c>
      <c r="AO203" s="62">
        <f t="shared" si="205"/>
        <v>439.28159165815276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195.80903373714432</v>
      </c>
      <c r="BJ203" s="62">
        <f t="shared" si="206"/>
        <v>388.30721786668977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3.408957608341145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6.8755496531375942E-24</v>
      </c>
      <c r="BS203" s="24">
        <f t="shared" si="169"/>
        <v>3.408957608341145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>
        <f>EXP(LN('Données projet'!B88)/'Données projet'!A88)</f>
        <v>1.4261938757879591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D19" sqref="D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1.57</v>
      </c>
      <c r="C6" s="156">
        <f ca="1">IF(OR('Données projet'!B9="",'Données projet'!C9="",'Données projet'!C9=0%),0,Calculateur!S3)</f>
        <v>439.06700232017681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436.80133733768889</v>
      </c>
      <c r="G6" s="156">
        <f ca="1">F6*(100%-'Données projet'!$C$24)*(100%-'Données projet'!$C$25)*(100%-'Données projet'!$C$26)*(100%-'Données projet'!$C$27)</f>
        <v>393.12120360392004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24.335000000000001</v>
      </c>
      <c r="K6" s="160">
        <f>J6*(100%-'Données projet'!$C$24)*(100%-'Données projet'!$C$25)*(100%-'Données projet'!$C$26)*(100%-'Données projet'!$C$27)</f>
        <v>21.901500000000002</v>
      </c>
      <c r="L6" s="161">
        <f ca="1">G6+I6+K6</f>
        <v>415.02270360392004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3.8</v>
      </c>
      <c r="C7" s="156">
        <f ca="1">IF(OR('Données projet'!B10="",'Données projet'!C10="",'Données projet'!C10=0%),0,Calculateur!AN3)</f>
        <v>187.13674266165236</v>
      </c>
      <c r="D7" s="156">
        <f>IF(OR('Données projet'!B10="",'Données projet'!C10="",'Données projet'!C10=0%),0,Calculateur!AO3)</f>
        <v>439.28159165815276</v>
      </c>
      <c r="E7" s="156">
        <f t="shared" ref="E7:E15" ca="1" si="0">MIN(C7,D7)</f>
        <v>187.13674266165236</v>
      </c>
      <c r="F7" s="156">
        <f t="shared" ref="F7:F15" ca="1" si="1">E7*B7</f>
        <v>711.11962211427897</v>
      </c>
      <c r="G7" s="156">
        <f ca="1">F7*(100%-'Données projet'!$C$24)*(100%-'Données projet'!$C$25)*(100%-'Données projet'!$C$26)*(100%-'Données projet'!$C$27)</f>
        <v>640.00765990285106</v>
      </c>
      <c r="H7" s="164">
        <f>IF(OR('Données projet'!B10="",'Données projet'!C10="",'Données projet'!C10=0%),0,AVERAGE(Calculateur!$AX$3:$AX$33)*B7)</f>
        <v>57.125696243895312</v>
      </c>
      <c r="I7" s="158">
        <f>H7*(100%-'Données projet'!$C$24)*(100%-'Données projet'!$C$25)*(100%-'Données projet'!$C$26)*(100%-'Données projet'!$C$27)</f>
        <v>51.413126619505782</v>
      </c>
      <c r="J7" s="159">
        <f>IF(OR('Données projet'!B10="",'Données projet'!C10="",'Données projet'!C10=0%),0,SUM(Calculateur!$AQ$3:$AQ$33)*VLOOKUP('Données projet'!$B$10,Paramètres!$A$1:$I$89,9,0)*B7)</f>
        <v>990.96399999999983</v>
      </c>
      <c r="K7" s="160">
        <f>J7*(100%-'Données projet'!$C$24)*(100%-'Données projet'!$C$25)*(100%-'Données projet'!$C$26)*(100%-'Données projet'!$C$27)</f>
        <v>891.86759999999981</v>
      </c>
      <c r="L7" s="161">
        <f t="shared" ref="L7:L15" ca="1" si="2">G7+I7+K7</f>
        <v>1583.2883865223566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taeda</v>
      </c>
      <c r="B8" s="163">
        <f>'Données projet'!D11</f>
        <v>4.63</v>
      </c>
      <c r="C8" s="156">
        <f ca="1">IF(OR('Données projet'!B11="",'Données projet'!C11="",'Données projet'!C11=0%),0,Calculateur!BI3)</f>
        <v>195.80903373714432</v>
      </c>
      <c r="D8" s="156">
        <f>IF(OR('Données projet'!B11="",'Données projet'!C11="",'Données projet'!C11=0%),0,Calculateur!BJ3)</f>
        <v>388.30721786668977</v>
      </c>
      <c r="E8" s="156">
        <f t="shared" ca="1" si="0"/>
        <v>195.80903373714432</v>
      </c>
      <c r="F8" s="156">
        <f t="shared" ca="1" si="1"/>
        <v>906.59582620297817</v>
      </c>
      <c r="G8" s="156">
        <f ca="1">F8*(100%-'Données projet'!$C$24)*(100%-'Données projet'!$C$25)*(100%-'Données projet'!$C$26)*(100%-'Données projet'!$C$27)</f>
        <v>815.93624358268039</v>
      </c>
      <c r="H8" s="164">
        <f>IF(OR('Données projet'!B11="",'Données projet'!C11="",'Données projet'!C11=0%),0,AVERAGE(Calculateur!$BS$3:$BS$33)*B8)</f>
        <v>44.836836589457519</v>
      </c>
      <c r="I8" s="158">
        <f>H8*(100%-'Données projet'!$C$24)*(100%-'Données projet'!$C$25)*(100%-'Données projet'!$C$26)*(100%-'Données projet'!$C$27)</f>
        <v>40.353152930511769</v>
      </c>
      <c r="J8" s="159">
        <f>IF(OR('Données projet'!B11="",'Données projet'!C11="",'Données projet'!C11=0%),0,SUM(Calculateur!$BL$3:$BL$33)*VLOOKUP('Données projet'!$B$11,Paramètres!$A$1:$I$89,9,0)*B8)</f>
        <v>238.90799999999999</v>
      </c>
      <c r="K8" s="160">
        <f>J8*(100%-'Données projet'!$C$24)*(100%-'Données projet'!$C$25)*(100%-'Données projet'!$C$26)*(100%-'Données projet'!$C$27)</f>
        <v>215.0172</v>
      </c>
      <c r="L8" s="161">
        <f t="shared" ca="1" si="2"/>
        <v>1071.3065965131923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2054.516785654946</v>
      </c>
      <c r="G16" s="175">
        <f t="shared" ca="1" si="3"/>
        <v>1849.0651070894514</v>
      </c>
      <c r="H16" s="176">
        <f t="shared" si="3"/>
        <v>101.96253283335284</v>
      </c>
      <c r="I16" s="176">
        <f t="shared" si="3"/>
        <v>91.766279550017543</v>
      </c>
      <c r="J16" s="177">
        <f t="shared" si="3"/>
        <v>1254.2069999999999</v>
      </c>
      <c r="K16" s="177">
        <f t="shared" si="3"/>
        <v>1128.7862999999998</v>
      </c>
      <c r="L16" s="178">
        <f t="shared" ca="1" si="3"/>
        <v>3069.617686639469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taeda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T31" sqref="T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910.11277300185668</v>
      </c>
      <c r="U10" s="190">
        <f>'Données projet'!D9</f>
        <v>1.57</v>
      </c>
      <c r="V10" s="189">
        <f>U10*T10</f>
        <v>1428.877053612915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4344.4593126039072</v>
      </c>
      <c r="U11" s="190">
        <f>'Données projet'!D10</f>
        <v>3.8</v>
      </c>
      <c r="V11" s="189">
        <f t="shared" ref="V11" si="0">U11*T11</f>
        <v>16508.945387894848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taeda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3651.0896025222446</v>
      </c>
      <c r="U12" s="190">
        <f>'Données projet'!D11</f>
        <v>4.63</v>
      </c>
      <c r="V12" s="189">
        <f t="shared" ref="V12:V19" si="1">U12*T12</f>
        <v>16904.544859677993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3077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801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801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4</v>
      </c>
      <c r="D23" s="194">
        <f>B23*C23</f>
        <v>24</v>
      </c>
      <c r="E23" s="206"/>
      <c r="F23" s="261"/>
      <c r="H23" s="203">
        <v>3</v>
      </c>
      <c r="I23" s="204">
        <v>130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-13157.016710503143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8</v>
      </c>
      <c r="D24" s="194">
        <f t="shared" ref="D24:D42" si="2">B24*C24</f>
        <v>224</v>
      </c>
      <c r="E24" s="206"/>
      <c r="F24" s="264"/>
      <c r="H24" s="203">
        <v>4</v>
      </c>
      <c r="I24" s="204">
        <v>130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-13157.016710503143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20</v>
      </c>
      <c r="D32" s="194">
        <f t="shared" si="2"/>
        <v>560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06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>
        <v>5</v>
      </c>
      <c r="D54" s="191">
        <f>B54*C54</f>
        <v>170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>
        <v>10</v>
      </c>
      <c r="D55" s="191">
        <f t="shared" ref="D55:D73" si="4">B55*C55</f>
        <v>430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>
        <v>25</v>
      </c>
      <c r="D56" s="191">
        <f t="shared" si="4"/>
        <v>1400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>
        <v>45</v>
      </c>
      <c r="D57" s="191">
        <f t="shared" si="4"/>
        <v>13905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taeda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13</v>
      </c>
      <c r="B85" s="193">
        <f>'Données projet'!D88</f>
        <v>28</v>
      </c>
      <c r="C85" s="204">
        <v>5</v>
      </c>
      <c r="D85" s="191">
        <f>B85*C85</f>
        <v>140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18</v>
      </c>
      <c r="B86" s="193">
        <f>'Données projet'!D89</f>
        <v>40</v>
      </c>
      <c r="C86" s="204">
        <v>6</v>
      </c>
      <c r="D86" s="191">
        <f t="shared" ref="D86:D104" si="6">B86*C86</f>
        <v>240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23</v>
      </c>
      <c r="B87" s="193">
        <f>'Données projet'!D90</f>
        <v>52</v>
      </c>
      <c r="C87" s="204">
        <v>10</v>
      </c>
      <c r="D87" s="191">
        <f t="shared" si="6"/>
        <v>520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>
        <v>25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34</v>
      </c>
      <c r="B89" s="193">
        <f>'Données projet'!D92</f>
        <v>325</v>
      </c>
      <c r="C89" s="204">
        <v>45</v>
      </c>
      <c r="D89" s="191">
        <f t="shared" si="6"/>
        <v>14625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2024-02-20T10:05:20Z</dcterms:modified>
</cp:coreProperties>
</file>