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Nextcloud\Documents partagés C+FOR\0.VF Dossier LBC\CNPF - C+for n° 156 Barran (Pierre Fabre n° 4)\"/>
    </mc:Choice>
  </mc:AlternateContent>
  <bookViews>
    <workbookView xWindow="0" yWindow="0" windowWidth="11748" windowHeight="5316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3" i="1" l="1"/>
  <c r="D97" i="1"/>
  <c r="D46" i="1"/>
  <c r="D7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HH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HH33" i="2"/>
  <c r="EW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FS38" i="2"/>
  <c r="HI38" i="2"/>
  <c r="EX38" i="2"/>
  <c r="HG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HI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EX113" i="2"/>
  <c r="EB113" i="2"/>
  <c r="HG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EX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W155" i="2" l="1"/>
  <c r="EX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HH157" i="2"/>
  <c r="EC157" i="2"/>
  <c r="EB157" i="2"/>
  <c r="HG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V158" i="2"/>
  <c r="HH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EC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HH164" i="2"/>
  <c r="EA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I167" i="2"/>
  <c r="FR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V168" i="2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FS175" i="2" l="1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FS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B192" i="2"/>
  <c r="EV192" i="2"/>
  <c r="HH192" i="2"/>
  <c r="HG192" i="2"/>
  <c r="EW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CN193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HH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G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FR202" i="2"/>
  <c r="EW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62" i="2" a="1"/>
  <c r="FY62" i="2" s="1"/>
  <c r="FY172" i="2" a="1"/>
  <c r="FY172" i="2" s="1"/>
  <c r="BC68" i="2" a="1"/>
  <c r="BC68" i="2" s="1"/>
  <c r="BC82" i="2" a="1"/>
  <c r="BC82" i="2" s="1"/>
  <c r="BC126" i="2" a="1"/>
  <c r="BC126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53" i="2" a="1"/>
  <c r="EI153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65" i="2" a="1"/>
  <c r="EI165" i="2" s="1"/>
  <c r="EI20" i="2" a="1"/>
  <c r="EI20" i="2" s="1"/>
  <c r="EI128" i="2" a="1"/>
  <c r="EI128" i="2" s="1"/>
  <c r="EI139" i="2" a="1"/>
  <c r="EI139" i="2" s="1"/>
  <c r="EI37" i="2" a="1"/>
  <c r="EI37" i="2" s="1"/>
  <c r="DN168" i="2" a="1"/>
  <c r="DN168" i="2" s="1"/>
  <c r="CS185" i="2" a="1"/>
  <c r="CS185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EI35" i="2" l="1" a="1"/>
  <c r="EI35" i="2" s="1"/>
  <c r="EI34" i="2" a="1"/>
  <c r="EI34" i="2" s="1"/>
  <c r="EI106" i="2" a="1"/>
  <c r="EI106" i="2" s="1"/>
  <c r="BC47" i="2" a="1"/>
  <c r="BC47" i="2" s="1"/>
  <c r="EI67" i="2" a="1"/>
  <c r="EI67" i="2" s="1"/>
  <c r="EI71" i="2" a="1"/>
  <c r="EI71" i="2" s="1"/>
  <c r="EI142" i="2" a="1"/>
  <c r="EI142" i="2" s="1"/>
  <c r="EI166" i="2" a="1"/>
  <c r="EI166" i="2" s="1"/>
  <c r="BC117" i="2" a="1"/>
  <c r="BC117" i="2" s="1"/>
  <c r="BC58" i="2" a="1"/>
  <c r="BC58" i="2" s="1"/>
  <c r="EI170" i="2" a="1"/>
  <c r="EI170" i="2" s="1"/>
  <c r="EI57" i="2" a="1"/>
  <c r="EI57" i="2" s="1"/>
  <c r="EI195" i="2" a="1"/>
  <c r="EI195" i="2" s="1"/>
  <c r="EI178" i="2" a="1"/>
  <c r="EI178" i="2" s="1"/>
  <c r="EI198" i="2" a="1"/>
  <c r="EI198" i="2" s="1"/>
  <c r="BC181" i="2" a="1"/>
  <c r="BC181" i="2" s="1"/>
  <c r="BC34" i="2" a="1"/>
  <c r="BC34" i="2" s="1"/>
  <c r="EI16" i="2" a="1"/>
  <c r="EI16" i="2" s="1"/>
  <c r="EI36" i="2" a="1"/>
  <c r="EI36" i="2" s="1"/>
  <c r="EI145" i="2" a="1"/>
  <c r="EI145" i="2" s="1"/>
  <c r="BC65" i="2" a="1"/>
  <c r="BC65" i="2" s="1"/>
  <c r="EI113" i="2" a="1"/>
  <c r="EI113" i="2" s="1"/>
  <c r="EI87" i="2" a="1"/>
  <c r="EI87" i="2" s="1"/>
  <c r="EI162" i="2" a="1"/>
  <c r="EI162" i="2" s="1"/>
  <c r="BC114" i="2" a="1"/>
  <c r="BC114" i="2" s="1"/>
  <c r="EI109" i="2" a="1"/>
  <c r="EI109" i="2" s="1"/>
  <c r="EI150" i="2" a="1"/>
  <c r="EI150" i="2" s="1"/>
  <c r="EI29" i="2" a="1"/>
  <c r="EI29" i="2" s="1"/>
  <c r="CS52" i="2" a="1"/>
  <c r="CS52" i="2" s="1"/>
  <c r="CS38" i="2" a="1"/>
  <c r="CS38" i="2" s="1"/>
  <c r="BX107" i="2" a="1"/>
  <c r="BX107" i="2" s="1"/>
  <c r="CS114" i="2" a="1"/>
  <c r="CS114" i="2" s="1"/>
  <c r="CS105" i="2" a="1"/>
  <c r="CS105" i="2" s="1"/>
  <c r="CS116" i="2" a="1"/>
  <c r="CS116" i="2" s="1"/>
  <c r="CS66" i="2" a="1"/>
  <c r="CS66" i="2" s="1"/>
  <c r="HG203" i="2"/>
  <c r="CS56" i="2" a="1"/>
  <c r="CS56" i="2" s="1"/>
  <c r="CS161" i="2" a="1"/>
  <c r="CS161" i="2" s="1"/>
  <c r="CS77" i="2" a="1"/>
  <c r="CS77" i="2" s="1"/>
  <c r="CS24" i="2" a="1"/>
  <c r="CS24" i="2" s="1"/>
  <c r="CS120" i="2" a="1"/>
  <c r="CS120" i="2" s="1"/>
  <c r="CS137" i="2" a="1"/>
  <c r="CS137" i="2" s="1"/>
  <c r="CS129" i="2" a="1"/>
  <c r="CS129" i="2" s="1"/>
  <c r="FD137" i="2" a="1"/>
  <c r="FD137" i="2" s="1"/>
  <c r="FD14" i="2" a="1"/>
  <c r="FD14" i="2" s="1"/>
  <c r="FY80" i="2" a="1"/>
  <c r="FY80" i="2" s="1"/>
  <c r="FY58" i="2" a="1"/>
  <c r="FY58" i="2" s="1"/>
  <c r="FD21" i="2" a="1"/>
  <c r="FD21" i="2" s="1"/>
  <c r="FY169" i="2" a="1"/>
  <c r="FY169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FD107" i="2" a="1"/>
  <c r="FD107" i="2" s="1"/>
  <c r="FD44" i="2" a="1"/>
  <c r="FD44" i="2" s="1"/>
  <c r="FY42" i="2" a="1"/>
  <c r="FY42" i="2" s="1"/>
  <c r="FY104" i="2" a="1"/>
  <c r="FY104" i="2" s="1"/>
  <c r="FY190" i="2" a="1"/>
  <c r="FY190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D167" i="2" a="1"/>
  <c r="FD167" i="2" s="1"/>
  <c r="FD188" i="2" a="1"/>
  <c r="FD188" i="2" s="1"/>
  <c r="FY196" i="2" a="1"/>
  <c r="FY196" i="2" s="1"/>
  <c r="FY34" i="2" a="1"/>
  <c r="FY34" i="2" s="1"/>
  <c r="FY72" i="2" a="1"/>
  <c r="FY72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64" i="2" a="1"/>
  <c r="FY164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Y149" i="2" a="1"/>
  <c r="FY149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59" i="2" a="1"/>
  <c r="FD59" i="2" s="1"/>
  <c r="FY24" i="2" a="1"/>
  <c r="FY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0" i="2" a="1"/>
  <c r="FD160" i="2" s="1"/>
  <c r="FD189" i="2" a="1"/>
  <c r="FD189" i="2" s="1"/>
  <c r="FY142" i="2" a="1"/>
  <c r="FY142" i="2" s="1"/>
  <c r="FY86" i="2" a="1"/>
  <c r="FY86" i="2" s="1"/>
  <c r="FD144" i="2" a="1"/>
  <c r="FD144" i="2" s="1"/>
  <c r="FY124" i="2" a="1"/>
  <c r="FY124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AH151" i="2" a="1"/>
  <c r="AH151" i="2" s="1"/>
  <c r="AH62" i="2" a="1"/>
  <c r="AH62" i="2" s="1"/>
  <c r="AH19" i="2" a="1"/>
  <c r="AH19" i="2" s="1"/>
  <c r="AH90" i="2" a="1"/>
  <c r="AH90" i="2" s="1"/>
  <c r="AH166" i="2" a="1"/>
  <c r="AH166" i="2" s="1"/>
  <c r="AH92" i="2" a="1"/>
  <c r="AH92" i="2" s="1"/>
  <c r="AH199" i="2" a="1"/>
  <c r="AH199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<sst xmlns="http://schemas.openxmlformats.org/spreadsheetml/2006/main" count="1181" uniqueCount="329">
  <si>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</si>
  <si>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</si>
  <si>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</si>
  <si>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</si>
  <si>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</si>
  <si>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</si>
  <si>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</si>
  <si>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</si>
  <si>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</si>
  <si>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</si>
  <si>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</si>
  <si>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</si>
  <si>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</si>
  <si>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</si>
  <si>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</si>
  <si>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</si>
  <si>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</si>
  <si>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</si>
  <si>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</si>
  <si>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</si>
  <si>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</si>
  <si>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</si>
  <si>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</si>
  <si>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</si>
  <si>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</si>
  <si>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</si>
  <si>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</si>
  <si>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</si>
  <si>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</si>
  <si>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</si>
  <si>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</si>
  <si>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</si>
  <si>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</si>
  <si>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</si>
  <si>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</si>
  <si>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</si>
  <si>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</si>
  <si>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</si>
  <si>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</si>
  <si>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</si>
  <si>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</si>
  <si>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</si>
  <si>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</si>
  <si>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</si>
  <si>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</si>
  <si>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</si>
  <si>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</si>
  <si>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</si>
  <si>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</si>
  <si>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</si>
  <si>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</si>
  <si>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</si>
  <si>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</si>
  <si>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</si>
  <si>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</si>
  <si>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</si>
  <si>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</si>
  <si>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</si>
  <si>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</si>
  <si>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</si>
  <si>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</si>
  <si>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</si>
  <si>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</si>
  <si>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</si>
  <si>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</si>
  <si>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</si>
  <si>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</si>
  <si>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</si>
  <si>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</si>
  <si>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</si>
  <si>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</si>
  <si>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</si>
  <si>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</si>
  <si>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</si>
  <si>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</si>
  <si>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</si>
  <si>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</si>
  <si>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</si>
  <si>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</si>
  <si>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</si>
  <si>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</si>
  <si>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</si>
  <si>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</si>
  <si>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</si>
  <si>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</si>
  <si>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</si>
  <si>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</si>
  <si>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</si>
  <si>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</si>
  <si>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</si>
  <si>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</si>
  <si>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</si>
  <si>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</si>
  <si>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</si>
  <si>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</si>
  <si>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</si>
  <si>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</si>
  <si>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</si>
  <si>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</si>
  <si>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</si>
  <si>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</si>
  <si>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</si>
  <si>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</si>
  <si>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</si>
  <si>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</si>
  <si>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</si>
  <si>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</si>
  <si>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</si>
  <si>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</si>
  <si>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</si>
  <si>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</si>
  <si>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</si>
  <si>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</si>
  <si>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</si>
  <si>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</si>
  <si>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</si>
  <si>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</si>
  <si>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</si>
  <si>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</si>
  <si>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</si>
  <si>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</si>
  <si>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</si>
  <si>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</si>
  <si>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</si>
  <si>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</si>
  <si>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</si>
  <si>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</si>
  <si>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</si>
  <si>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</si>
  <si>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</si>
  <si>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</si>
  <si>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</si>
  <si>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</si>
  <si>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</si>
  <si>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</si>
  <si>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</si>
  <si>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</si>
  <si>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</si>
  <si>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</si>
  <si>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</si>
  <si>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</si>
  <si>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</si>
  <si>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</si>
  <si>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</si>
  <si>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</si>
  <si>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</si>
  <si>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</si>
  <si>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</si>
  <si>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</si>
  <si>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</si>
  <si>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</si>
  <si>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</si>
  <si>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</si>
  <si>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</si>
  <si>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</si>
  <si>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</si>
  <si>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</si>
  <si>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</si>
  <si>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</si>
  <si>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</si>
  <si>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</si>
  <si>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</si>
  <si>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</si>
  <si>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</si>
  <si>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</si>
  <si>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</si>
  <si>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</si>
  <si>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</si>
  <si>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</si>
  <si>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</si>
  <si>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</si>
  <si>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</si>
  <si>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</si>
  <si>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</si>
  <si>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</si>
  <si>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</si>
  <si>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</si>
  <si>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</si>
  <si>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</si>
  <si>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</si>
  <si>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</si>
  <si>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</si>
  <si>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</si>
  <si>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</si>
  <si>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</si>
  <si>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</si>
  <si>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</si>
  <si>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</si>
  <si>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</si>
  <si>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</si>
  <si>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</si>
  <si>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</si>
  <si>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</si>
  <si>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</si>
  <si>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</si>
  <si>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</si>
  <si>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</si>
  <si>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</si>
  <si>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</si>
  <si>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</si>
  <si>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</si>
  <si>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</si>
  <si>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</si>
  <si>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</si>
  <si>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</si>
  <si>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</si>
  <si>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</si>
  <si>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</si>
  <si>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</si>
  <si>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</si>
  <si>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</si>
  <si>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</si>
  <si>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</si>
  <si>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</si>
  <si>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</si>
  <si>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</si>
  <si>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</si>
  <si>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</si>
  <si>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</si>
  <si>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</si>
  <si>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</si>
  <si>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</si>
  <si>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</si>
  <si>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</si>
  <si>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</si>
  <si>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</si>
  <si>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</si>
  <si>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</si>
  <si>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</si>
  <si>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</si>
  <si>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</si>
  <si>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</si>
  <si>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</si>
  <si>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</si>
  <si>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</si>
  <si>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</si>
  <si>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</si>
  <si>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</si>
  <si>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</si>
  <si>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</si>
  <si>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</si>
  <si>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</si>
  <si>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</si>
  <si>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</si>
  <si>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</si>
  <si>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</si>
  <si>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</si>
  <si>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</si>
  <si>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</si>
  <si>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</si>
  <si>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</si>
  <si>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</si>
  <si>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</si>
  <si>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</si>
  <si>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</si>
  <si>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</si>
  <si>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</si>
  <si>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</si>
  <si>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</si>
  <si>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</si>
  <si>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</si>
  <si>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</si>
  <si>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</si>
  <si>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</si>
  <si>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</si>
  <si>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</si>
  <si>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</si>
  <si>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</si>
  <si>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</si>
  <si>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</si>
  <si>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</si>
  <si>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</si>
  <si>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</si>
  <si>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</si>
  <si>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</si>
  <si>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</si>
  <si>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</si>
  <si>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</si>
  <si>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</si>
  <si>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</si>
  <si>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</si>
  <si>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</si>
  <si>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</si>
  <si>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</si>
  <si>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</si>
  <si>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</si>
  <si>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</si>
  <si>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</si>
  <si>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</si>
  <si>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</si>
  <si>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</si>
  <si>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</si>
  <si>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</si>
  <si>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</si>
  <si>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</si>
  <si>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</si>
  <si>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</si>
  <si>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</si>
  <si>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</si>
  <si>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</si>
  <si>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</si>
  <si>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</si>
  <si>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</si>
  <si>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</si>
  <si>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</si>
  <si>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</si>
  <si>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</si>
  <si>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</si>
  <si>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</si>
  <si>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</si>
  <si>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</si>
  <si>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</si>
  <si>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</si>
  <si>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</si>
  <si>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</si>
  <si>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</si>
  <si>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</si>
  <si>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</si>
  <si>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</si>
  <si>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</si>
  <si>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</si>
  <si>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</si>
  <si>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</si>
  <si>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</si>
  <si>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Vesten</t>
  </si>
  <si>
    <t>Argileux</t>
  </si>
  <si>
    <t>Limoneux profond</t>
  </si>
  <si>
    <t>Tucano</t>
  </si>
  <si>
    <t>Moncalvo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</si>
</sst>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1.4460953372936292</c:v>
                </c:pt>
                <c:pt idx="2">
                  <c:v>1.575496198042263</c:v>
                </c:pt>
                <c:pt idx="3">
                  <c:v>1.7165169477590816</c:v>
                </c:pt>
                <c:pt idx="4">
                  <c:v>1.8702044998643528</c:v>
                </c:pt>
                <c:pt idx="5">
                  <c:v>2.0377003867312364</c:v>
                </c:pt>
                <c:pt idx="6">
                  <c:v>2.2202493362980733</c:v>
                </c:pt>
                <c:pt idx="7">
                  <c:v>2.4192086282131129</c:v>
                </c:pt>
                <c:pt idx="8">
                  <c:v>2.6360583005420719</c:v>
                </c:pt>
                <c:pt idx="9">
                  <c:v>22.040508255320361</c:v>
                </c:pt>
                <c:pt idx="10">
                  <c:v>45.51381002832138</c:v>
                </c:pt>
                <c:pt idx="11">
                  <c:v>73.248776130363069</c:v>
                </c:pt>
                <c:pt idx="12">
                  <c:v>107.54350930306174</c:v>
                </c:pt>
                <c:pt idx="13">
                  <c:v>143.82575339713659</c:v>
                </c:pt>
                <c:pt idx="14">
                  <c:v>186.62871184754752</c:v>
                </c:pt>
                <c:pt idx="15">
                  <c:v>235.9056784180419</c:v>
                </c:pt>
                <c:pt idx="16">
                  <c:v>287.17122442362881</c:v>
                </c:pt>
                <c:pt idx="17">
                  <c:v>340.4474482801748</c:v>
                </c:pt>
                <c:pt idx="18">
                  <c:v>400.16513435291102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54950656"/>
        <c:axId val="-1354950112"/>
      </c:scatterChart>
      <c:valAx>
        <c:axId val="-1354950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4950112"/>
        <c:crosses val="autoZero"/>
        <c:crossBetween val="midCat"/>
      </c:valAx>
      <c:valAx>
        <c:axId val="-135495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4950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87273264"/>
        <c:axId val="-1087282512"/>
      </c:scatterChart>
      <c:valAx>
        <c:axId val="-10872732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87282512"/>
        <c:crosses val="autoZero"/>
        <c:crossBetween val="midCat"/>
      </c:valAx>
      <c:valAx>
        <c:axId val="-108728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87273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1.4879988310550185</c:v>
                </c:pt>
                <c:pt idx="2">
                  <c:v>1.6681561766024078</c:v>
                </c:pt>
                <c:pt idx="3">
                  <c:v>1.870204499864353</c:v>
                </c:pt>
                <c:pt idx="4">
                  <c:v>2.0968128580136303</c:v>
                </c:pt>
                <c:pt idx="5">
                  <c:v>2.3509767764378764</c:v>
                </c:pt>
                <c:pt idx="6">
                  <c:v>2.6360583005420719</c:v>
                </c:pt>
                <c:pt idx="7">
                  <c:v>24.411195938103038</c:v>
                </c:pt>
                <c:pt idx="8">
                  <c:v>45.51381002832138</c:v>
                </c:pt>
                <c:pt idx="9">
                  <c:v>66.345707112566487</c:v>
                </c:pt>
                <c:pt idx="10">
                  <c:v>87.006654330800174</c:v>
                </c:pt>
                <c:pt idx="11">
                  <c:v>105.2668155361357</c:v>
                </c:pt>
                <c:pt idx="12">
                  <c:v>121.17968190072868</c:v>
                </c:pt>
                <c:pt idx="13">
                  <c:v>134.77848314529123</c:v>
                </c:pt>
                <c:pt idx="14">
                  <c:v>148.34421936892755</c:v>
                </c:pt>
                <c:pt idx="15">
                  <c:v>157.37140665991683</c:v>
                </c:pt>
                <c:pt idx="16">
                  <c:v>166.38630705355848</c:v>
                </c:pt>
                <c:pt idx="17">
                  <c:v>173.13987981714698</c:v>
                </c:pt>
                <c:pt idx="18">
                  <c:v>177.63880427486311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54949568"/>
        <c:axId val="-1354949024"/>
      </c:scatterChart>
      <c:valAx>
        <c:axId val="-1354949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4949024"/>
        <c:crosses val="autoZero"/>
        <c:crossBetween val="midCat"/>
      </c:valAx>
      <c:valAx>
        <c:axId val="-135494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4949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1.620315975001585</c:v>
                </c:pt>
                <c:pt idx="2">
                  <c:v>1.9665803247511995</c:v>
                </c:pt>
                <c:pt idx="3">
                  <c:v>2.387128134480669</c:v>
                </c:pt>
                <c:pt idx="4">
                  <c:v>2.8979534186434801</c:v>
                </c:pt>
                <c:pt idx="5">
                  <c:v>3.5185056304845723</c:v>
                </c:pt>
                <c:pt idx="6">
                  <c:v>4.2724385651340571</c:v>
                </c:pt>
                <c:pt idx="7">
                  <c:v>5.1885220499009277</c:v>
                </c:pt>
                <c:pt idx="8">
                  <c:v>6.3017519017707277</c:v>
                </c:pt>
                <c:pt idx="9">
                  <c:v>7.6547013841342642</c:v>
                </c:pt>
                <c:pt idx="10">
                  <c:v>24.556416698386442</c:v>
                </c:pt>
                <c:pt idx="11">
                  <c:v>43.442534980625062</c:v>
                </c:pt>
                <c:pt idx="12">
                  <c:v>64.4226191255526</c:v>
                </c:pt>
                <c:pt idx="13">
                  <c:v>87.526008641227278</c:v>
                </c:pt>
                <c:pt idx="14">
                  <c:v>110.47492682785354</c:v>
                </c:pt>
                <c:pt idx="15">
                  <c:v>133.30625077455014</c:v>
                </c:pt>
                <c:pt idx="16">
                  <c:v>156.04304108944828</c:v>
                </c:pt>
                <c:pt idx="17">
                  <c:v>180.96297403427459</c:v>
                </c:pt>
                <c:pt idx="18">
                  <c:v>203.54736221672138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54947392"/>
        <c:axId val="-1354946848"/>
      </c:scatterChart>
      <c:valAx>
        <c:axId val="-1354947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4946848"/>
        <c:crosses val="autoZero"/>
        <c:crossBetween val="midCat"/>
      </c:valAx>
      <c:valAx>
        <c:axId val="-135494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4947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1.7346872525200203</c:v>
                </c:pt>
                <c:pt idx="2">
                  <c:v>2.267543389470438</c:v>
                </c:pt>
                <c:pt idx="3">
                  <c:v>2.9647558935302634</c:v>
                </c:pt>
                <c:pt idx="4">
                  <c:v>3.8772161543065233</c:v>
                </c:pt>
                <c:pt idx="5">
                  <c:v>5.0716306237756301</c:v>
                </c:pt>
                <c:pt idx="6">
                  <c:v>6.6354519970057062</c:v>
                </c:pt>
                <c:pt idx="7">
                  <c:v>8.6833526913827033</c:v>
                </c:pt>
                <c:pt idx="8">
                  <c:v>11.365724361268356</c:v>
                </c:pt>
                <c:pt idx="9">
                  <c:v>14.879839296703301</c:v>
                </c:pt>
                <c:pt idx="10">
                  <c:v>38.517683326676789</c:v>
                </c:pt>
                <c:pt idx="11">
                  <c:v>66.345707112566487</c:v>
                </c:pt>
                <c:pt idx="12">
                  <c:v>96.147555089664891</c:v>
                </c:pt>
                <c:pt idx="13">
                  <c:v>130.2494156589344</c:v>
                </c:pt>
                <c:pt idx="14">
                  <c:v>164.13369070811589</c:v>
                </c:pt>
                <c:pt idx="15">
                  <c:v>197.85194945205726</c:v>
                </c:pt>
                <c:pt idx="16">
                  <c:v>231.43655625263122</c:v>
                </c:pt>
                <c:pt idx="17">
                  <c:v>264.90965735996997</c:v>
                </c:pt>
                <c:pt idx="18">
                  <c:v>296.06485629960235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54945216"/>
        <c:axId val="-1354958816"/>
      </c:scatterChart>
      <c:valAx>
        <c:axId val="-1354945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4958816"/>
        <c:crosses val="autoZero"/>
        <c:crossBetween val="midCat"/>
      </c:valAx>
      <c:valAx>
        <c:axId val="-135495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4945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54944672"/>
        <c:axId val="-1354959904"/>
      </c:scatterChart>
      <c:valAx>
        <c:axId val="-1354944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4959904"/>
        <c:crosses val="autoZero"/>
        <c:crossBetween val="midCat"/>
      </c:valAx>
      <c:valAx>
        <c:axId val="-135495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4944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54959360"/>
        <c:axId val="-1354957728"/>
      </c:scatterChart>
      <c:valAx>
        <c:axId val="-1354959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4957728"/>
        <c:crosses val="autoZero"/>
        <c:crossBetween val="midCat"/>
      </c:valAx>
      <c:valAx>
        <c:axId val="-135495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4959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54957184"/>
        <c:axId val="-1087272720"/>
      </c:scatterChart>
      <c:valAx>
        <c:axId val="-1354957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87272720"/>
        <c:crosses val="autoZero"/>
        <c:crossBetween val="midCat"/>
      </c:valAx>
      <c:valAx>
        <c:axId val="-108727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54957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87279792"/>
        <c:axId val="-1087271632"/>
      </c:scatterChart>
      <c:valAx>
        <c:axId val="-1087279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87271632"/>
        <c:crosses val="autoZero"/>
        <c:crossBetween val="midCat"/>
      </c:valAx>
      <c:valAx>
        <c:axId val="-108727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87279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87279248"/>
        <c:axId val="-1087275984"/>
      </c:scatterChart>
      <c:valAx>
        <c:axId val="-1087279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87275984"/>
        <c:crosses val="autoZero"/>
        <c:crossBetween val="midCat"/>
      </c:valAx>
      <c:valAx>
        <c:axId val="-108727598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87279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B1" zoomScale="70" zoomScaleNormal="70" workbookViewId="0">
      <selection activeCell="C26" sqref="C2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7.44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112</v>
      </c>
      <c r="C9" s="35">
        <v>0.28000000000000003</v>
      </c>
      <c r="D9" s="36">
        <f t="shared" ref="D9:D18" si="0">C9*$C$5</f>
        <v>2.0832000000000002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112</v>
      </c>
      <c r="C10" s="35">
        <v>0.32</v>
      </c>
      <c r="D10" s="36">
        <f t="shared" si="0"/>
        <v>2.3808000000000002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127</v>
      </c>
      <c r="C11" s="35">
        <v>0.19</v>
      </c>
      <c r="D11" s="36">
        <f t="shared" si="0"/>
        <v>1.4136000000000002</v>
      </c>
      <c r="E11" s="37">
        <v>18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112</v>
      </c>
      <c r="C12" s="35">
        <v>0.19</v>
      </c>
      <c r="D12" s="36">
        <f t="shared" si="0"/>
        <v>1.4136000000000002</v>
      </c>
      <c r="E12" s="37">
        <v>18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0.98</v>
      </c>
      <c r="D19" s="41">
        <f>SUM(D9:D18)</f>
        <v>7.2912000000000017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C31" s="25" t="s">
        <v>324</v>
      </c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Koster</v>
      </c>
      <c r="C32" s="25" t="s">
        <v>325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283">
        <v>8</v>
      </c>
      <c r="B36" s="292">
        <v>2.04</v>
      </c>
      <c r="C36" s="63"/>
      <c r="D36" s="63"/>
      <c r="E36" s="54"/>
      <c r="F36" s="54"/>
      <c r="G36" s="54"/>
      <c r="H36" s="54"/>
      <c r="I36" s="52">
        <f>IFERROR(B36/A36,"")</f>
        <v>0.255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283">
        <v>9</v>
      </c>
      <c r="B37" s="292">
        <v>18.36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16.32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283">
        <v>10</v>
      </c>
      <c r="B38" s="292">
        <v>38.76</v>
      </c>
      <c r="C38" s="63"/>
      <c r="D38" s="63"/>
      <c r="E38" s="54"/>
      <c r="F38" s="54"/>
      <c r="G38" s="54"/>
      <c r="H38" s="54"/>
      <c r="I38" s="56">
        <f t="shared" si="1"/>
        <v>20.399999999999999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283">
        <v>11</v>
      </c>
      <c r="B39" s="292">
        <v>63.24</v>
      </c>
      <c r="C39" s="63"/>
      <c r="D39" s="63"/>
      <c r="E39" s="54"/>
      <c r="F39" s="54"/>
      <c r="G39" s="54"/>
      <c r="H39" s="54"/>
      <c r="I39" s="52">
        <f t="shared" si="1"/>
        <v>24.480000000000004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283">
        <v>12</v>
      </c>
      <c r="B40" s="292">
        <v>93.84</v>
      </c>
      <c r="C40" s="63"/>
      <c r="D40" s="63"/>
      <c r="E40" s="54"/>
      <c r="F40" s="54"/>
      <c r="G40" s="54"/>
      <c r="H40" s="54"/>
      <c r="I40" s="52">
        <f t="shared" si="1"/>
        <v>30.6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283">
        <v>13</v>
      </c>
      <c r="B41" s="292">
        <v>126.48</v>
      </c>
      <c r="C41" s="63"/>
      <c r="D41" s="63"/>
      <c r="E41" s="54"/>
      <c r="F41" s="54"/>
      <c r="G41" s="54"/>
      <c r="H41" s="54"/>
      <c r="I41" s="56">
        <f t="shared" si="1"/>
        <v>32.64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283">
        <v>14</v>
      </c>
      <c r="B42" s="292">
        <v>165.24</v>
      </c>
      <c r="C42" s="63"/>
      <c r="D42" s="63"/>
      <c r="E42" s="54"/>
      <c r="F42" s="54"/>
      <c r="G42" s="54"/>
      <c r="H42" s="54"/>
      <c r="I42" s="56">
        <f t="shared" si="1"/>
        <v>38.760000000000005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15</v>
      </c>
      <c r="B43" s="61">
        <v>210.12</v>
      </c>
      <c r="C43" s="53"/>
      <c r="D43" s="53"/>
      <c r="E43" s="54"/>
      <c r="F43" s="54"/>
      <c r="G43" s="54"/>
      <c r="H43" s="54"/>
      <c r="I43" s="52">
        <f t="shared" si="1"/>
        <v>44.879999999999995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16</v>
      </c>
      <c r="B44" s="61">
        <v>257.04000000000002</v>
      </c>
      <c r="C44" s="53"/>
      <c r="D44" s="53"/>
      <c r="E44" s="54"/>
      <c r="F44" s="54"/>
      <c r="G44" s="54"/>
      <c r="H44" s="54"/>
      <c r="I44" s="52">
        <f t="shared" si="1"/>
        <v>46.920000000000016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17</v>
      </c>
      <c r="B45" s="61">
        <v>306</v>
      </c>
      <c r="C45" s="53"/>
      <c r="D45" s="53"/>
      <c r="E45" s="54"/>
      <c r="F45" s="54"/>
      <c r="G45" s="54"/>
      <c r="H45" s="54"/>
      <c r="I45" s="52">
        <f t="shared" si="1"/>
        <v>48.95999999999998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18</v>
      </c>
      <c r="B46" s="61">
        <v>361.08</v>
      </c>
      <c r="C46" s="53">
        <v>1</v>
      </c>
      <c r="D46" s="61">
        <f>B46</f>
        <v>361.08</v>
      </c>
      <c r="E46" s="54">
        <v>0.78</v>
      </c>
      <c r="F46" s="54"/>
      <c r="G46" s="54"/>
      <c r="H46" s="54">
        <v>0.22</v>
      </c>
      <c r="I46" s="52">
        <f>IF(A46&lt;&gt;0,(B46-(B45-D45))/(A46-A45),"")</f>
        <v>55.079999999999984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1"/>
      <c r="C47" s="53"/>
      <c r="D47" s="53"/>
      <c r="E47" s="54"/>
      <c r="F47" s="54"/>
      <c r="G47" s="54"/>
      <c r="H47" s="54"/>
      <c r="I47" s="52" t="str">
        <f>IF(A47&lt;&gt;0,(B47-(B46-D46))/(A47-A46),"")</f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C57" s="25" t="s">
        <v>324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Koster</v>
      </c>
      <c r="C58" s="25" t="s">
        <v>326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6</v>
      </c>
      <c r="B62" s="61">
        <v>2.04</v>
      </c>
      <c r="C62" s="53"/>
      <c r="D62" s="53"/>
      <c r="E62" s="54"/>
      <c r="F62" s="54"/>
      <c r="G62" s="54"/>
      <c r="H62" s="54"/>
      <c r="I62" s="56">
        <f>IFERROR(B62/A62,"")</f>
        <v>0.34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7</v>
      </c>
      <c r="B63" s="61">
        <v>20.399999999999999</v>
      </c>
      <c r="C63" s="53"/>
      <c r="D63" s="53"/>
      <c r="E63" s="54"/>
      <c r="F63" s="54"/>
      <c r="G63" s="54"/>
      <c r="H63" s="54"/>
      <c r="I63" s="52">
        <f>IF(A63&lt;&gt;0,(B63-(B62-D62))/(A63-A62),"")</f>
        <v>18.36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8</v>
      </c>
      <c r="B64" s="61">
        <v>38.76</v>
      </c>
      <c r="C64" s="53"/>
      <c r="D64" s="53"/>
      <c r="E64" s="54"/>
      <c r="F64" s="54"/>
      <c r="G64" s="54"/>
      <c r="H64" s="54"/>
      <c r="I64" s="52">
        <f>IF(A64&lt;&gt;0,(B64-(B63-D63))/(A64-A63),"")</f>
        <v>18.36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9</v>
      </c>
      <c r="B65" s="61">
        <v>57.12</v>
      </c>
      <c r="C65" s="53"/>
      <c r="D65" s="53"/>
      <c r="E65" s="54"/>
      <c r="F65" s="54"/>
      <c r="G65" s="54"/>
      <c r="H65" s="54"/>
      <c r="I65" s="52">
        <f>IF(A65&lt;&gt;0,(B65-(B64-D64))/(A65-A64),"")</f>
        <v>18.36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10</v>
      </c>
      <c r="B66" s="61">
        <v>75.48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18.360000000000007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11</v>
      </c>
      <c r="B67" s="61">
        <v>91.8</v>
      </c>
      <c r="C67" s="53"/>
      <c r="D67" s="53"/>
      <c r="E67" s="54"/>
      <c r="F67" s="54"/>
      <c r="G67" s="54"/>
      <c r="H67" s="54"/>
      <c r="I67" s="52">
        <f t="shared" si="2"/>
        <v>16.319999999999993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12</v>
      </c>
      <c r="B68" s="61">
        <v>106.08</v>
      </c>
      <c r="C68" s="53"/>
      <c r="D68" s="53"/>
      <c r="E68" s="54"/>
      <c r="F68" s="54"/>
      <c r="G68" s="54"/>
      <c r="H68" s="54"/>
      <c r="I68" s="52">
        <f t="shared" si="2"/>
        <v>14.280000000000001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13</v>
      </c>
      <c r="B69" s="61">
        <v>118.32</v>
      </c>
      <c r="C69" s="53"/>
      <c r="D69" s="53"/>
      <c r="E69" s="54"/>
      <c r="F69" s="54"/>
      <c r="G69" s="54"/>
      <c r="H69" s="54"/>
      <c r="I69" s="52">
        <f t="shared" si="2"/>
        <v>12.239999999999995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14</v>
      </c>
      <c r="B70" s="61">
        <v>130.56</v>
      </c>
      <c r="C70" s="53"/>
      <c r="D70" s="53"/>
      <c r="E70" s="54"/>
      <c r="F70" s="54"/>
      <c r="G70" s="54"/>
      <c r="H70" s="54"/>
      <c r="I70" s="52">
        <f t="shared" si="2"/>
        <v>12.240000000000009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15</v>
      </c>
      <c r="B71" s="61">
        <v>138.72</v>
      </c>
      <c r="C71" s="53"/>
      <c r="D71" s="53"/>
      <c r="E71" s="54"/>
      <c r="F71" s="54"/>
      <c r="G71" s="54"/>
      <c r="H71" s="54"/>
      <c r="I71" s="52">
        <f t="shared" si="2"/>
        <v>8.1599999999999966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16</v>
      </c>
      <c r="B72" s="61">
        <v>146.88</v>
      </c>
      <c r="C72" s="53"/>
      <c r="D72" s="53"/>
      <c r="E72" s="54"/>
      <c r="F72" s="54"/>
      <c r="G72" s="54"/>
      <c r="H72" s="54"/>
      <c r="I72" s="52">
        <f t="shared" si="2"/>
        <v>8.1599999999999966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283">
        <v>17</v>
      </c>
      <c r="B73" s="61">
        <v>153</v>
      </c>
      <c r="C73" s="53"/>
      <c r="D73" s="53"/>
      <c r="E73" s="54"/>
      <c r="F73" s="54"/>
      <c r="G73" s="54"/>
      <c r="H73" s="54">
        <v>0.22</v>
      </c>
      <c r="I73" s="52">
        <f t="shared" si="2"/>
        <v>6.1200000000000045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18</v>
      </c>
      <c r="B74" s="53">
        <v>157.08000000000001</v>
      </c>
      <c r="C74" s="53">
        <v>1</v>
      </c>
      <c r="D74" s="53">
        <f>B74</f>
        <v>157.08000000000001</v>
      </c>
      <c r="E74" s="54">
        <v>0.78</v>
      </c>
      <c r="F74" s="54"/>
      <c r="G74" s="54"/>
      <c r="H74" s="54">
        <v>0.22</v>
      </c>
      <c r="I74" s="52">
        <f t="shared" si="2"/>
        <v>4.0800000000000125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C83" s="25" t="s">
        <v>328</v>
      </c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Peuplier I-45/51</v>
      </c>
      <c r="C84" s="25" t="s">
        <v>325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9</v>
      </c>
      <c r="B88" s="63">
        <v>6.12</v>
      </c>
      <c r="C88" s="53"/>
      <c r="D88" s="63"/>
      <c r="E88" s="54"/>
      <c r="F88" s="54"/>
      <c r="G88" s="54"/>
      <c r="H88" s="54"/>
      <c r="I88" s="56">
        <f>IFERROR(B88/A88,"")</f>
        <v>0.68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10</v>
      </c>
      <c r="B89" s="63">
        <v>20.399999999999999</v>
      </c>
      <c r="C89" s="53"/>
      <c r="D89" s="63"/>
      <c r="E89" s="54"/>
      <c r="F89" s="54"/>
      <c r="G89" s="54"/>
      <c r="H89" s="54"/>
      <c r="I89" s="56">
        <f t="shared" ref="I89:I107" si="3">IF(A89&lt;&gt;0,(B89-(B88-D88))/(A89-A88),"")</f>
        <v>14.279999999999998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11</v>
      </c>
      <c r="B90" s="63">
        <v>36.72</v>
      </c>
      <c r="C90" s="53"/>
      <c r="D90" s="63"/>
      <c r="E90" s="54"/>
      <c r="F90" s="54"/>
      <c r="G90" s="54"/>
      <c r="H90" s="54"/>
      <c r="I90" s="56">
        <f t="shared" si="3"/>
        <v>16.32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12</v>
      </c>
      <c r="B91" s="63">
        <v>55.08</v>
      </c>
      <c r="C91" s="53"/>
      <c r="D91" s="63"/>
      <c r="E91" s="54"/>
      <c r="F91" s="54"/>
      <c r="G91" s="54"/>
      <c r="H91" s="54"/>
      <c r="I91" s="56">
        <f t="shared" si="3"/>
        <v>18.36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13</v>
      </c>
      <c r="B92" s="63">
        <v>75.48</v>
      </c>
      <c r="C92" s="53"/>
      <c r="D92" s="63"/>
      <c r="E92" s="54"/>
      <c r="F92" s="54"/>
      <c r="G92" s="54"/>
      <c r="H92" s="54"/>
      <c r="I92" s="56">
        <f t="shared" si="3"/>
        <v>20.400000000000006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14</v>
      </c>
      <c r="B93" s="63">
        <v>95.88</v>
      </c>
      <c r="C93" s="53"/>
      <c r="D93" s="63"/>
      <c r="E93" s="54"/>
      <c r="F93" s="54"/>
      <c r="G93" s="54"/>
      <c r="H93" s="54"/>
      <c r="I93" s="56">
        <f t="shared" si="3"/>
        <v>20.399999999999991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>
        <v>15</v>
      </c>
      <c r="B94" s="63">
        <v>116.28</v>
      </c>
      <c r="C94" s="63"/>
      <c r="D94" s="63"/>
      <c r="E94" s="93"/>
      <c r="F94" s="93"/>
      <c r="G94" s="93"/>
      <c r="H94" s="93"/>
      <c r="I94" s="56">
        <f t="shared" si="3"/>
        <v>20.400000000000006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16</v>
      </c>
      <c r="B95" s="63">
        <v>136.68</v>
      </c>
      <c r="C95" s="63"/>
      <c r="D95" s="63"/>
      <c r="E95" s="93"/>
      <c r="F95" s="93"/>
      <c r="G95" s="93"/>
      <c r="H95" s="93"/>
      <c r="I95" s="56">
        <f t="shared" si="3"/>
        <v>20.400000000000006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17</v>
      </c>
      <c r="B96" s="63">
        <v>159.12</v>
      </c>
      <c r="C96" s="63"/>
      <c r="D96" s="63"/>
      <c r="E96" s="93"/>
      <c r="F96" s="93"/>
      <c r="G96" s="93"/>
      <c r="H96" s="93"/>
      <c r="I96" s="56">
        <f t="shared" si="3"/>
        <v>22.439999999999998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18</v>
      </c>
      <c r="B97" s="63">
        <v>179.52</v>
      </c>
      <c r="C97" s="63">
        <v>1</v>
      </c>
      <c r="D97" s="63">
        <f>B97</f>
        <v>179.52</v>
      </c>
      <c r="E97" s="54">
        <v>0.78</v>
      </c>
      <c r="F97" s="93"/>
      <c r="G97" s="93"/>
      <c r="H97" s="93">
        <v>0.22</v>
      </c>
      <c r="I97" s="56">
        <f t="shared" si="3"/>
        <v>20.400000000000006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54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C109" s="25" t="s">
        <v>327</v>
      </c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Peuplier Koster</v>
      </c>
      <c r="C110" s="25" t="s">
        <v>325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9</v>
      </c>
      <c r="B114" s="63">
        <v>12.24</v>
      </c>
      <c r="C114" s="53"/>
      <c r="D114" s="63"/>
      <c r="E114" s="54"/>
      <c r="F114" s="54"/>
      <c r="G114" s="54"/>
      <c r="H114" s="54"/>
      <c r="I114" s="56">
        <f>IFERROR(B114/A114,"")</f>
        <v>1.36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10</v>
      </c>
      <c r="B115" s="63">
        <v>32.64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20.399999999999999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11</v>
      </c>
      <c r="B116" s="63">
        <v>57.12</v>
      </c>
      <c r="C116" s="53"/>
      <c r="D116" s="63"/>
      <c r="E116" s="54"/>
      <c r="F116" s="54"/>
      <c r="G116" s="54"/>
      <c r="H116" s="54"/>
      <c r="I116" s="56">
        <f t="shared" si="4"/>
        <v>24.479999999999997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12</v>
      </c>
      <c r="B117" s="63">
        <v>83.64</v>
      </c>
      <c r="C117" s="53"/>
      <c r="D117" s="63"/>
      <c r="E117" s="54"/>
      <c r="F117" s="54"/>
      <c r="G117" s="54"/>
      <c r="H117" s="54"/>
      <c r="I117" s="56">
        <f t="shared" si="4"/>
        <v>26.520000000000003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13</v>
      </c>
      <c r="B118" s="63">
        <v>114.24</v>
      </c>
      <c r="C118" s="53"/>
      <c r="D118" s="63"/>
      <c r="E118" s="54"/>
      <c r="F118" s="54"/>
      <c r="G118" s="54"/>
      <c r="H118" s="54"/>
      <c r="I118" s="56">
        <f t="shared" si="4"/>
        <v>30.599999999999994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14</v>
      </c>
      <c r="B119" s="63">
        <v>144.84</v>
      </c>
      <c r="C119" s="53"/>
      <c r="D119" s="63"/>
      <c r="E119" s="54"/>
      <c r="F119" s="54"/>
      <c r="G119" s="54"/>
      <c r="H119" s="54"/>
      <c r="I119" s="56">
        <f t="shared" si="4"/>
        <v>30.600000000000009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15</v>
      </c>
      <c r="B120" s="63">
        <v>175.44</v>
      </c>
      <c r="C120" s="63"/>
      <c r="D120" s="63"/>
      <c r="E120" s="93"/>
      <c r="F120" s="93"/>
      <c r="G120" s="93"/>
      <c r="H120" s="93"/>
      <c r="I120" s="56">
        <f t="shared" si="4"/>
        <v>30.599999999999994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16</v>
      </c>
      <c r="B121" s="63">
        <v>206.04</v>
      </c>
      <c r="C121" s="63"/>
      <c r="D121" s="63"/>
      <c r="E121" s="93"/>
      <c r="F121" s="93"/>
      <c r="G121" s="93"/>
      <c r="H121" s="93"/>
      <c r="I121" s="56">
        <f t="shared" si="4"/>
        <v>30.599999999999994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17</v>
      </c>
      <c r="B122" s="63">
        <v>236.64</v>
      </c>
      <c r="C122" s="63"/>
      <c r="D122" s="63"/>
      <c r="E122" s="93"/>
      <c r="F122" s="93"/>
      <c r="G122" s="93"/>
      <c r="H122" s="93"/>
      <c r="I122" s="56">
        <f t="shared" si="4"/>
        <v>30.599999999999994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18</v>
      </c>
      <c r="B123" s="63">
        <v>265.2</v>
      </c>
      <c r="C123" s="63">
        <v>1</v>
      </c>
      <c r="D123" s="63">
        <f>B123</f>
        <v>265.2</v>
      </c>
      <c r="E123" s="54">
        <v>0.78</v>
      </c>
      <c r="F123" s="93"/>
      <c r="G123" s="93"/>
      <c r="H123" s="93">
        <v>0.22</v>
      </c>
      <c r="I123" s="56">
        <f t="shared" si="4"/>
        <v>28.560000000000002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4" zoomScale="85" zoomScaleNormal="85" workbookViewId="0">
      <selection activeCell="E10" sqref="E1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Koster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Koster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Peuplier I-45/51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Peuplier Koster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103.47556287227775</v>
      </c>
      <c r="T3" s="62">
        <f>IF('Données projet'!E9&gt;30,$R$33-$H$33,LOOKUP('Données projet'!$E$9,$A$3:$A$203,R3:R203)-LOOKUP('Données projet'!$E$9,$A$3:$A$203,$H$3:$H$203))</f>
        <v>428.60115421158082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80.374567532152696</v>
      </c>
      <c r="AO3" s="62">
        <f>IF('Données projet'!E10&gt;30,$AM$33-$H$33,LOOKUP('Données projet'!$E$10,$A$3:$A$203,AM3:AM203)-LOOKUP('Données projet'!$E$10,$A$3:$A$203,$H$3:$H$203))</f>
        <v>206.07482413353287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60.405981172366637</v>
      </c>
      <c r="BJ3" s="62">
        <f>IF('Données projet'!E11&gt;30,$BH$33-$H$33,LOOKUP('Données projet'!$E$11,$A$3:$A$203,BH3:BH203)-LOOKUP('Données projet'!$E$11,$A$3:$A$203,$H$3:$H$203))</f>
        <v>231.98338207539112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86.882151759063618</v>
      </c>
      <c r="CE3" s="62">
        <f>IF('Données projet'!E12&gt;30,$CC$33-$H$33,LOOKUP('Données projet'!$E$12,$A$3:$A$203,CC3:CC203)-LOOKUP('Données projet'!$E$12,$A$3:$A$203,$H$3:$H$203))</f>
        <v>324.50087615827215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0.255</v>
      </c>
      <c r="N4" s="14">
        <f>IF('Données projet'!$A$36&gt;35,N3+M4-V3,IF(A4&lt;'Données projet'!$A$36,$K$205^A4,IF(A4='Données projet'!$A$36,'Données projet'!$B$36,N3+M4-V3)))</f>
        <v>1.093210441104935</v>
      </c>
      <c r="O4" s="14">
        <f>N4*VLOOKUP('Données projet'!$B$9,Paramètres!$A$1:$I$89,3,0)*VLOOKUP('Données projet'!$B$9,Paramètres!$A$1:$I$89,5,0)</f>
        <v>0.55596310192832576</v>
      </c>
      <c r="P4" s="14">
        <f>EXP(-1.0587+0.8836*LN(O4)+0.284)</f>
        <v>0.27433087163739439</v>
      </c>
      <c r="Q4" s="22">
        <f t="shared" ref="Q4:Q34" si="2">(O4+P4)*0.475*44/12</f>
        <v>1.4460953372936292</v>
      </c>
      <c r="R4" s="62">
        <f t="shared" si="0"/>
        <v>169.25852929021747</v>
      </c>
      <c r="S4" s="62">
        <f ca="1">AVERAGE(OFFSET($R$3,0,0,'Données projet'!$E$9+1,1))-AVERAGE(OFFSET($H$3,0,0,'Données projet'!$E$9+1,1))</f>
        <v>103.47556287227775</v>
      </c>
      <c r="T4" s="62">
        <f>$T$3</f>
        <v>428.60115421158082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0.34</v>
      </c>
      <c r="AI4" s="14">
        <f>IF('Données projet'!$A$62&gt;35,AI3+AH4-AQ3,IF(A4&lt;'Données projet'!$A$62,$AF$205^A4,IF(A4='Données projet'!$A$62,'Données projet'!$B$62,AI3+AH4-AQ3)))</f>
        <v>1.1261727847346514</v>
      </c>
      <c r="AJ4" s="14">
        <f>AI4*VLOOKUP('Données projet'!$B$10,Paramètres!$A$1:$I$89,3,0)*VLOOKUP('Données projet'!$B$10,Paramètres!$A$1:$I$89,5,0)</f>
        <v>0.57272643140465429</v>
      </c>
      <c r="AK4" s="14">
        <f>EXP(-1.0587+0.8836*LN(AJ4)+0.284)</f>
        <v>0.28162696441640889</v>
      </c>
      <c r="AL4" s="22">
        <f t="shared" ref="AL4:AL67" si="4">(AJ4+AK4)*0.475*44/12</f>
        <v>1.4879988310550185</v>
      </c>
      <c r="AM4" s="62">
        <f t="shared" ref="AM4:AM67" si="5">AL4+(AD4+AE4)*44/12</f>
        <v>169.30043278397886</v>
      </c>
      <c r="AN4" s="62">
        <f ca="1">AVERAGE(OFFSET($AM$3,0,0,'Données projet'!$E$10+1,1))-AVERAGE(OFFSET($H$3,0,0,'Données projet'!$E$10+1,1))</f>
        <v>80.374567532152696</v>
      </c>
      <c r="AO4" s="62">
        <f>$AO$3</f>
        <v>206.07482413353287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0.68</v>
      </c>
      <c r="BD4" s="13">
        <f>IF('Données projet'!$A$88&gt;35,BD3+BC4-BL3,IF(A4&lt;'Données projet'!$A$88,$BA$205^A4,IF(A4='Données projet'!$A$88,'Données projet'!$B$88,BD3+BC4-BL3)))</f>
        <v>1.2229728750004543</v>
      </c>
      <c r="BE4" s="14">
        <f>BD4*VLOOKUP('Données projet'!$B$11,Paramètres!$A$1:$I$89,3,0)*VLOOKUP('Données projet'!$B$11,Paramètres!$A$1:$I$89,5,0)</f>
        <v>0.62577076068023252</v>
      </c>
      <c r="BF4" s="14">
        <f>EXP(-1.0587+0.8836*LN(BE4)+0.284)</f>
        <v>0.30455420104316561</v>
      </c>
      <c r="BG4" s="22">
        <f t="shared" ref="BG4:BG67" si="7">(BE4+BF4)*0.475*44/12</f>
        <v>1.620315975001585</v>
      </c>
      <c r="BH4" s="62">
        <f t="shared" ref="BH4:BH67" si="8">BG4+(AY4+AZ4)*44/12</f>
        <v>169.43274992792541</v>
      </c>
      <c r="BI4" s="62">
        <f ca="1">AVERAGE(OFFSET($BH$3,0,0,'Données projet'!$E$11+1,1))-AVERAGE(OFFSET($H$3,0,0,'Données projet'!$E$11+1,1))</f>
        <v>60.405981172366637</v>
      </c>
      <c r="BJ4" s="62">
        <f>$BJ$3</f>
        <v>231.98338207539112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1.36</v>
      </c>
      <c r="BY4" s="13">
        <f>IF('Données projet'!$A$114&gt;35,BY3+BX4-CG3,IF(A4&lt;'Données projet'!$A$114,$BV$205^A4,IF(A4='Données projet'!$A$114,'Données projet'!$B$114,BY3+BX4-CG3)))</f>
        <v>1.3208837640453637</v>
      </c>
      <c r="BZ4" s="14">
        <f>BY4*VLOOKUP('Données projet'!$B$12,Paramètres!$A$1:$I$89,3,0)*VLOOKUP('Données projet'!$B$12,Paramètres!$A$1:$I$89,5,0)</f>
        <v>0.67174864704291015</v>
      </c>
      <c r="CA4" s="14">
        <f>EXP(-1.0587+0.8836*LN(BZ4)+0.284)</f>
        <v>0.3242440338298288</v>
      </c>
      <c r="CB4" s="22">
        <f t="shared" ref="CB4:CB67" si="10">(BZ4+CA4)*0.475*44/12</f>
        <v>1.7346872525200203</v>
      </c>
      <c r="CC4" s="62">
        <f t="shared" ref="CC4:CC67" si="11">CB4+(BT4+BU4)*44/12</f>
        <v>169.54712120544386</v>
      </c>
      <c r="CD4" s="62">
        <f ca="1">AVERAGE(OFFSET($CC$3,0,0,'Données projet'!$E$12+1,1))-AVERAGE(OFFSET($H$3,0,0,'Données projet'!$E$12+1,1))</f>
        <v>86.882151759063618</v>
      </c>
      <c r="CE4" s="62">
        <f>$CE$3</f>
        <v>324.50087615827215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0.255</v>
      </c>
      <c r="N5" s="14">
        <f>IF('Données projet'!$A$36&gt;35,N4+M5-V4,IF(A5&lt;'Données projet'!$A$36,$K$205^A5,IF(A5='Données projet'!$A$36,'Données projet'!$B$36,N4+M5-V4)))</f>
        <v>1.1951090685408465</v>
      </c>
      <c r="O5" s="14">
        <f>N5*VLOOKUP('Données projet'!$B$9,Paramètres!$A$1:$I$89,3,0)*VLOOKUP('Données projet'!$B$9,Paramètres!$A$1:$I$89,5,0)</f>
        <v>0.60778466789713292</v>
      </c>
      <c r="P5" s="14">
        <f t="shared" ref="P5:P68" si="33">EXP(-1.0587+0.8836*LN(O5)+0.284)</f>
        <v>0.29680645059603245</v>
      </c>
      <c r="Q5" s="22">
        <f t="shared" si="2"/>
        <v>1.575496198042263</v>
      </c>
      <c r="R5" s="62">
        <f t="shared" si="0"/>
        <v>172.17277748554309</v>
      </c>
      <c r="S5" s="62">
        <f ca="1">AVERAGE(OFFSET($R$3,0,0,'Données projet'!$E$9+1,1))-AVERAGE(OFFSET($H$3,0,0,'Données projet'!$E$9+1,1))</f>
        <v>103.47556287227775</v>
      </c>
      <c r="T5" s="62">
        <f t="shared" ref="T5:T68" si="34">$T$3</f>
        <v>428.60115421158082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0.34</v>
      </c>
      <c r="AI5" s="14">
        <f>IF('Données projet'!$A$62&gt;35,AI4+AH5-AQ4,IF(A5&lt;'Données projet'!$A$62,$AF$205^A5,IF(A5='Données projet'!$A$62,'Données projet'!$B$62,AI4+AH5-AQ4)))</f>
        <v>1.2682651410769996</v>
      </c>
      <c r="AJ5" s="14">
        <f>AI5*VLOOKUP('Données projet'!$B$10,Paramètres!$A$1:$I$89,3,0)*VLOOKUP('Données projet'!$B$10,Paramètres!$A$1:$I$89,5,0)</f>
        <v>0.64498892014611897</v>
      </c>
      <c r="AK5" s="14">
        <f t="shared" ref="AK5:AK68" si="35">EXP(-1.0587+0.8836*LN(AJ5)+0.284)</f>
        <v>0.31280409991267982</v>
      </c>
      <c r="AL5" s="22">
        <f t="shared" si="4"/>
        <v>1.6681561766024078</v>
      </c>
      <c r="AM5" s="62">
        <f t="shared" si="5"/>
        <v>172.26543746410323</v>
      </c>
      <c r="AN5" s="62">
        <f ca="1">AVERAGE(OFFSET($AM$3,0,0,'Données projet'!$E$10+1,1))-AVERAGE(OFFSET($H$3,0,0,'Données projet'!$E$10+1,1))</f>
        <v>80.374567532152696</v>
      </c>
      <c r="AO5" s="62">
        <f t="shared" ref="AO5:AO68" si="36">$AO$3</f>
        <v>206.07482413353287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0.68</v>
      </c>
      <c r="BD5" s="13">
        <f>IF('Données projet'!$A$88&gt;35,BD4+BC5-BL4,IF(A5&lt;'Données projet'!$A$88,$BA$205^A5,IF(A5='Données projet'!$A$88,'Données projet'!$B$88,BD4+BC5-BL4)))</f>
        <v>1.4956626529868766</v>
      </c>
      <c r="BE5" s="14">
        <f>BD5*VLOOKUP('Données projet'!$B$11,Paramètres!$A$1:$I$89,3,0)*VLOOKUP('Données projet'!$B$11,Paramètres!$A$1:$I$89,5,0)</f>
        <v>0.76530066628032511</v>
      </c>
      <c r="BF5" s="14">
        <f t="shared" ref="BF5:BF68" si="37">EXP(-1.0587+0.8836*LN(BE5)+0.284)</f>
        <v>0.36383636228495686</v>
      </c>
      <c r="BG5" s="22">
        <f t="shared" si="7"/>
        <v>1.9665803247511995</v>
      </c>
      <c r="BH5" s="62">
        <f t="shared" si="8"/>
        <v>172.56386161225203</v>
      </c>
      <c r="BI5" s="62">
        <f ca="1">AVERAGE(OFFSET($BH$3,0,0,'Données projet'!$E$11+1,1))-AVERAGE(OFFSET($H$3,0,0,'Données projet'!$E$11+1,1))</f>
        <v>60.405981172366637</v>
      </c>
      <c r="BJ5" s="62">
        <f t="shared" ref="BJ5:BJ68" si="38">$BJ$3</f>
        <v>231.98338207539112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1.36</v>
      </c>
      <c r="BY5" s="13">
        <f>IF('Données projet'!$A$114&gt;35,BY4+BX5-CG4,IF(A5&lt;'Données projet'!$A$114,$BV$205^A5,IF(A5='Données projet'!$A$114,'Données projet'!$B$114,BY4+BX5-CG4)))</f>
        <v>1.7447339181186479</v>
      </c>
      <c r="BZ5" s="14">
        <f>BY5*VLOOKUP('Données projet'!$B$12,Paramètres!$A$1:$I$89,3,0)*VLOOKUP('Données projet'!$B$12,Paramètres!$A$1:$I$89,5,0)</f>
        <v>0.88730188139841959</v>
      </c>
      <c r="CA5" s="14">
        <f t="shared" ref="CA5:CA68" si="39">EXP(-1.0587+0.8836*LN(BZ5)+0.284)</f>
        <v>0.41463690681427223</v>
      </c>
      <c r="CB5" s="22">
        <f t="shared" si="10"/>
        <v>2.267543389470438</v>
      </c>
      <c r="CC5" s="62">
        <f t="shared" si="11"/>
        <v>172.86482467697127</v>
      </c>
      <c r="CD5" s="62">
        <f ca="1">AVERAGE(OFFSET($CC$3,0,0,'Données projet'!$E$12+1,1))-AVERAGE(OFFSET($H$3,0,0,'Données projet'!$E$12+1,1))</f>
        <v>86.882151759063618</v>
      </c>
      <c r="CE5" s="62">
        <f t="shared" ref="CE5:CE68" si="40">$CE$3</f>
        <v>324.50087615827215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0.255</v>
      </c>
      <c r="N6" s="14">
        <f>IF('Données projet'!$A$36&gt;35,N5+M6-V5,IF(A6&lt;'Données projet'!$A$36,$K$205^A6,IF(A6='Données projet'!$A$36,'Données projet'!$B$36,N5+M6-V5)))</f>
        <v>1.3065057119880468</v>
      </c>
      <c r="O6" s="14">
        <f>N6*VLOOKUP('Données projet'!$B$9,Paramètres!$A$1:$I$89,3,0)*VLOOKUP('Données projet'!$B$9,Paramètres!$A$1:$I$89,5,0)</f>
        <v>0.66443654488864112</v>
      </c>
      <c r="P6" s="14">
        <f t="shared" si="33"/>
        <v>0.32112342511657321</v>
      </c>
      <c r="Q6" s="22">
        <f t="shared" si="2"/>
        <v>1.7165169477590816</v>
      </c>
      <c r="R6" s="62">
        <f t="shared" si="0"/>
        <v>175.07153751764397</v>
      </c>
      <c r="S6" s="62">
        <f ca="1">AVERAGE(OFFSET($R$3,0,0,'Données projet'!$E$9+1,1))-AVERAGE(OFFSET($H$3,0,0,'Données projet'!$E$9+1,1))</f>
        <v>103.47556287227775</v>
      </c>
      <c r="T6" s="62">
        <f t="shared" si="34"/>
        <v>428.60115421158082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0.34</v>
      </c>
      <c r="AI6" s="14">
        <f>IF('Données projet'!$A$62&gt;35,AI5+AH6-AQ5,IF(A6&lt;'Données projet'!$A$62,$AF$205^A6,IF(A6='Données projet'!$A$62,'Données projet'!$B$62,AI5+AH6-AQ5)))</f>
        <v>1.4282856857085702</v>
      </c>
      <c r="AJ6" s="14">
        <f>AI6*VLOOKUP('Données projet'!$B$10,Paramètres!$A$1:$I$89,3,0)*VLOOKUP('Données projet'!$B$10,Paramètres!$A$1:$I$89,5,0)</f>
        <v>0.72636896832395048</v>
      </c>
      <c r="AK6" s="14">
        <f t="shared" si="35"/>
        <v>0.34743265839242454</v>
      </c>
      <c r="AL6" s="22">
        <f t="shared" si="4"/>
        <v>1.870204499864353</v>
      </c>
      <c r="AM6" s="62">
        <f t="shared" si="5"/>
        <v>175.22522506974923</v>
      </c>
      <c r="AN6" s="62">
        <f ca="1">AVERAGE(OFFSET($AM$3,0,0,'Données projet'!$E$10+1,1))-AVERAGE(OFFSET($H$3,0,0,'Données projet'!$E$10+1,1))</f>
        <v>80.374567532152696</v>
      </c>
      <c r="AO6" s="62">
        <f t="shared" si="36"/>
        <v>206.07482413353287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0.68</v>
      </c>
      <c r="BD6" s="13">
        <f>IF('Données projet'!$A$88&gt;35,BD5+BC6-BL5,IF(A6&lt;'Données projet'!$A$88,$BA$205^A6,IF(A6='Données projet'!$A$88,'Données projet'!$B$88,BD5+BC6-BL5)))</f>
        <v>1.8291548547541672</v>
      </c>
      <c r="BE6" s="14">
        <f>BD6*VLOOKUP('Données projet'!$B$11,Paramètres!$A$1:$I$89,3,0)*VLOOKUP('Données projet'!$B$11,Paramètres!$A$1:$I$89,5,0)</f>
        <v>0.93594195608061237</v>
      </c>
      <c r="BF6" s="14">
        <f t="shared" si="37"/>
        <v>0.43465792974560896</v>
      </c>
      <c r="BG6" s="22">
        <f t="shared" si="7"/>
        <v>2.387128134480669</v>
      </c>
      <c r="BH6" s="62">
        <f t="shared" si="8"/>
        <v>175.74214870436555</v>
      </c>
      <c r="BI6" s="62">
        <f ca="1">AVERAGE(OFFSET($BH$3,0,0,'Données projet'!$E$11+1,1))-AVERAGE(OFFSET($H$3,0,0,'Données projet'!$E$11+1,1))</f>
        <v>60.405981172366637</v>
      </c>
      <c r="BJ6" s="62">
        <f t="shared" si="38"/>
        <v>231.98338207539112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1.36</v>
      </c>
      <c r="BY6" s="13">
        <f>IF('Données projet'!$A$114&gt;35,BY5+BX6-CG5,IF(A6&lt;'Données projet'!$A$114,$BV$205^A6,IF(A6='Données projet'!$A$114,'Données projet'!$B$114,BY5+BX6-CG5)))</f>
        <v>2.304590705022175</v>
      </c>
      <c r="BZ6" s="14">
        <f>BY6*VLOOKUP('Données projet'!$B$12,Paramètres!$A$1:$I$89,3,0)*VLOOKUP('Données projet'!$B$12,Paramètres!$A$1:$I$89,5,0)</f>
        <v>1.1720226489460774</v>
      </c>
      <c r="CA6" s="14">
        <f t="shared" si="39"/>
        <v>0.53022953872680112</v>
      </c>
      <c r="CB6" s="22">
        <f t="shared" si="10"/>
        <v>2.9647558935302634</v>
      </c>
      <c r="CC6" s="62">
        <f t="shared" si="11"/>
        <v>176.31977646341514</v>
      </c>
      <c r="CD6" s="62">
        <f ca="1">AVERAGE(OFFSET($CC$3,0,0,'Données projet'!$E$12+1,1))-AVERAGE(OFFSET($H$3,0,0,'Données projet'!$E$12+1,1))</f>
        <v>86.882151759063618</v>
      </c>
      <c r="CE6" s="62">
        <f t="shared" si="40"/>
        <v>324.50087615827215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0.255</v>
      </c>
      <c r="N7" s="14">
        <f>IF('Données projet'!$A$36&gt;35,N6+M7-V6,IF(A7&lt;'Données projet'!$A$36,$K$205^A7,IF(A7='Données projet'!$A$36,'Données projet'!$B$36,N6+M7-V6)))</f>
        <v>1.4282856857085697</v>
      </c>
      <c r="O7" s="14">
        <f>N7*VLOOKUP('Données projet'!$B$9,Paramètres!$A$1:$I$89,3,0)*VLOOKUP('Données projet'!$B$9,Paramètres!$A$1:$I$89,5,0)</f>
        <v>0.72636896832395026</v>
      </c>
      <c r="P7" s="14">
        <f t="shared" si="33"/>
        <v>0.34743265839242449</v>
      </c>
      <c r="Q7" s="22">
        <f t="shared" si="2"/>
        <v>1.8702044998643528</v>
      </c>
      <c r="R7" s="62">
        <f t="shared" si="0"/>
        <v>177.95632656404129</v>
      </c>
      <c r="S7" s="62">
        <f ca="1">AVERAGE(OFFSET($R$3,0,0,'Données projet'!$E$9+1,1))-AVERAGE(OFFSET($H$3,0,0,'Données projet'!$E$9+1,1))</f>
        <v>103.47556287227775</v>
      </c>
      <c r="T7" s="62">
        <f t="shared" si="34"/>
        <v>428.60115421158082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0.34</v>
      </c>
      <c r="AI7" s="14">
        <f>IF('Données projet'!$A$62&gt;35,AI6+AH7-AQ6,IF(A7&lt;'Données projet'!$A$62,$AF$205^A7,IF(A7='Données projet'!$A$62,'Données projet'!$B$62,AI6+AH7-AQ6)))</f>
        <v>1.6084964680710618</v>
      </c>
      <c r="AJ7" s="14">
        <f>AI7*VLOOKUP('Données projet'!$B$10,Paramètres!$A$1:$I$89,3,0)*VLOOKUP('Données projet'!$B$10,Paramètres!$A$1:$I$89,5,0)</f>
        <v>0.81801696380221933</v>
      </c>
      <c r="AK7" s="14">
        <f t="shared" si="35"/>
        <v>0.38589472500943456</v>
      </c>
      <c r="AL7" s="22">
        <f t="shared" si="4"/>
        <v>2.0968128580136303</v>
      </c>
      <c r="AM7" s="62">
        <f t="shared" si="5"/>
        <v>178.18293492219058</v>
      </c>
      <c r="AN7" s="62">
        <f ca="1">AVERAGE(OFFSET($AM$3,0,0,'Données projet'!$E$10+1,1))-AVERAGE(OFFSET($H$3,0,0,'Données projet'!$E$10+1,1))</f>
        <v>80.374567532152696</v>
      </c>
      <c r="AO7" s="62">
        <f t="shared" si="36"/>
        <v>206.07482413353287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0.68</v>
      </c>
      <c r="BD7" s="13">
        <f>IF('Données projet'!$A$88&gt;35,BD6+BC7-BL6,IF(A7&lt;'Données projet'!$A$88,$BA$205^A7,IF(A7='Données projet'!$A$88,'Données projet'!$B$88,BD6+BC7-BL6)))</f>
        <v>2.2370067715397419</v>
      </c>
      <c r="BE7" s="14">
        <f>BD7*VLOOKUP('Données projet'!$B$11,Paramètres!$A$1:$I$89,3,0)*VLOOKUP('Données projet'!$B$11,Paramètres!$A$1:$I$89,5,0)</f>
        <v>1.1446316248614552</v>
      </c>
      <c r="BF7" s="14">
        <f t="shared" si="37"/>
        <v>0.51926507483815099</v>
      </c>
      <c r="BG7" s="22">
        <f t="shared" si="7"/>
        <v>2.8979534186434801</v>
      </c>
      <c r="BH7" s="62">
        <f t="shared" si="8"/>
        <v>178.98407548282043</v>
      </c>
      <c r="BI7" s="62">
        <f ca="1">AVERAGE(OFFSET($BH$3,0,0,'Données projet'!$E$11+1,1))-AVERAGE(OFFSET($H$3,0,0,'Données projet'!$E$11+1,1))</f>
        <v>60.405981172366637</v>
      </c>
      <c r="BJ7" s="62">
        <f t="shared" si="38"/>
        <v>231.98338207539112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1.36</v>
      </c>
      <c r="BY7" s="13">
        <f>IF('Données projet'!$A$114&gt;35,BY6+BX7-CG6,IF(A7&lt;'Données projet'!$A$114,$BV$205^A7,IF(A7='Données projet'!$A$114,'Données projet'!$B$114,BY6+BX7-CG6)))</f>
        <v>3.0440964450336487</v>
      </c>
      <c r="BZ7" s="14">
        <f>BY7*VLOOKUP('Données projet'!$B$12,Paramètres!$A$1:$I$89,3,0)*VLOOKUP('Données projet'!$B$12,Paramètres!$A$1:$I$89,5,0)</f>
        <v>1.5481056880863124</v>
      </c>
      <c r="CA7" s="14">
        <f t="shared" si="39"/>
        <v>0.6780471277834621</v>
      </c>
      <c r="CB7" s="22">
        <f t="shared" si="10"/>
        <v>3.8772161543065233</v>
      </c>
      <c r="CC7" s="62">
        <f t="shared" si="11"/>
        <v>179.96333821848347</v>
      </c>
      <c r="CD7" s="62">
        <f ca="1">AVERAGE(OFFSET($CC$3,0,0,'Données projet'!$E$12+1,1))-AVERAGE(OFFSET($H$3,0,0,'Données projet'!$E$12+1,1))</f>
        <v>86.882151759063618</v>
      </c>
      <c r="CE7" s="62">
        <f t="shared" si="40"/>
        <v>324.50087615827215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0.255</v>
      </c>
      <c r="N8" s="14">
        <f>IF('Données projet'!$A$36&gt;35,N7+M8-V7,IF(A8&lt;'Données projet'!$A$36,$K$205^A8,IF(A8='Données projet'!$A$36,'Données projet'!$B$36,N7+M8-V7)))</f>
        <v>1.5614168244973301</v>
      </c>
      <c r="O8" s="14">
        <f>N8*VLOOKUP('Données projet'!$B$9,Paramètres!$A$1:$I$89,3,0)*VLOOKUP('Données projet'!$B$9,Paramètres!$A$1:$I$89,5,0)</f>
        <v>0.79407414026636225</v>
      </c>
      <c r="P8" s="14">
        <f t="shared" si="33"/>
        <v>0.37589737364630937</v>
      </c>
      <c r="Q8" s="22">
        <f t="shared" si="2"/>
        <v>2.0377003867312364</v>
      </c>
      <c r="R8" s="62">
        <f t="shared" si="0"/>
        <v>180.8287482631786</v>
      </c>
      <c r="S8" s="62">
        <f ca="1">AVERAGE(OFFSET($R$3,0,0,'Données projet'!$E$9+1,1))-AVERAGE(OFFSET($H$3,0,0,'Données projet'!$E$9+1,1))</f>
        <v>103.47556287227775</v>
      </c>
      <c r="T8" s="62">
        <f t="shared" si="34"/>
        <v>428.60115421158082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0.34</v>
      </c>
      <c r="AI8" s="14">
        <f>IF('Données projet'!$A$62&gt;35,AI7+AH8-AQ7,IF(A8&lt;'Données projet'!$A$62,$AF$205^A8,IF(A8='Données projet'!$A$62,'Données projet'!$B$62,AI7+AH8-AQ7)))</f>
        <v>1.811444946683439</v>
      </c>
      <c r="AJ8" s="14">
        <f>AI8*VLOOKUP('Données projet'!$B$10,Paramètres!$A$1:$I$89,3,0)*VLOOKUP('Données projet'!$B$10,Paramètres!$A$1:$I$89,5,0)</f>
        <v>0.92122844208532984</v>
      </c>
      <c r="AK8" s="14">
        <f t="shared" si="35"/>
        <v>0.42861468314215911</v>
      </c>
      <c r="AL8" s="22">
        <f t="shared" si="4"/>
        <v>2.3509767764378764</v>
      </c>
      <c r="AM8" s="62">
        <f t="shared" si="5"/>
        <v>181.14202465288523</v>
      </c>
      <c r="AN8" s="62">
        <f ca="1">AVERAGE(OFFSET($AM$3,0,0,'Données projet'!$E$10+1,1))-AVERAGE(OFFSET($H$3,0,0,'Données projet'!$E$10+1,1))</f>
        <v>80.374567532152696</v>
      </c>
      <c r="AO8" s="62">
        <f t="shared" si="36"/>
        <v>206.07482413353287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0.68</v>
      </c>
      <c r="BD8" s="13">
        <f>IF('Données projet'!$A$88&gt;35,BD7+BC8-BL7,IF(A8&lt;'Données projet'!$A$88,$BA$205^A8,IF(A8='Données projet'!$A$88,'Données projet'!$B$88,BD7+BC8-BL7)))</f>
        <v>2.7357986027854424</v>
      </c>
      <c r="BE8" s="14">
        <f>BD8*VLOOKUP('Données projet'!$B$11,Paramètres!$A$1:$I$89,3,0)*VLOOKUP('Données projet'!$B$11,Paramètres!$A$1:$I$89,5,0)</f>
        <v>1.3998534290732552</v>
      </c>
      <c r="BF8" s="14">
        <f t="shared" si="37"/>
        <v>0.62034119130066212</v>
      </c>
      <c r="BG8" s="22">
        <f t="shared" si="7"/>
        <v>3.5185056304845723</v>
      </c>
      <c r="BH8" s="62">
        <f t="shared" si="8"/>
        <v>182.30955350693193</v>
      </c>
      <c r="BI8" s="62">
        <f ca="1">AVERAGE(OFFSET($BH$3,0,0,'Données projet'!$E$11+1,1))-AVERAGE(OFFSET($H$3,0,0,'Données projet'!$E$11+1,1))</f>
        <v>60.405981172366637</v>
      </c>
      <c r="BJ8" s="62">
        <f t="shared" si="38"/>
        <v>231.98338207539112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1.36</v>
      </c>
      <c r="BY8" s="13">
        <f>IF('Données projet'!$A$114&gt;35,BY7+BX8-CG7,IF(A8&lt;'Données projet'!$A$114,$BV$205^A8,IF(A8='Données projet'!$A$114,'Données projet'!$B$114,BY7+BX8-CG7)))</f>
        <v>4.0208975704331564</v>
      </c>
      <c r="BZ8" s="14">
        <f>BY8*VLOOKUP('Données projet'!$B$12,Paramètres!$A$1:$I$89,3,0)*VLOOKUP('Données projet'!$B$12,Paramètres!$A$1:$I$89,5,0)</f>
        <v>2.044867668419486</v>
      </c>
      <c r="CA8" s="14">
        <f t="shared" si="39"/>
        <v>0.86707335958566056</v>
      </c>
      <c r="CB8" s="22">
        <f t="shared" si="10"/>
        <v>5.0716306237756301</v>
      </c>
      <c r="CC8" s="62">
        <f t="shared" si="11"/>
        <v>183.86267850022298</v>
      </c>
      <c r="CD8" s="62">
        <f ca="1">AVERAGE(OFFSET($CC$3,0,0,'Données projet'!$E$12+1,1))-AVERAGE(OFFSET($H$3,0,0,'Données projet'!$E$12+1,1))</f>
        <v>86.882151759063618</v>
      </c>
      <c r="CE8" s="62">
        <f t="shared" si="40"/>
        <v>324.50087615827215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0.255</v>
      </c>
      <c r="N9" s="14">
        <f>IF('Données projet'!$A$36&gt;35,N8+M9-V8,IF(A9&lt;'Données projet'!$A$36,$K$205^A9,IF(A9='Données projet'!$A$36,'Données projet'!$B$36,N8+M9-V8)))</f>
        <v>1.7069571754573931</v>
      </c>
      <c r="O9" s="14">
        <f>N9*VLOOKUP('Données projet'!$B$9,Paramètres!$A$1:$I$89,3,0)*VLOOKUP('Données projet'!$B$9,Paramètres!$A$1:$I$89,5,0)</f>
        <v>0.86809014115061189</v>
      </c>
      <c r="P9" s="14">
        <f t="shared" si="33"/>
        <v>0.40669416677172693</v>
      </c>
      <c r="Q9" s="22">
        <f t="shared" si="2"/>
        <v>2.2202493362980733</v>
      </c>
      <c r="R9" s="62">
        <f t="shared" si="0"/>
        <v>183.69050143255706</v>
      </c>
      <c r="S9" s="62">
        <f ca="1">AVERAGE(OFFSET($R$3,0,0,'Données projet'!$E$9+1,1))-AVERAGE(OFFSET($H$3,0,0,'Données projet'!$E$9+1,1))</f>
        <v>103.47556287227775</v>
      </c>
      <c r="T9" s="62">
        <f t="shared" si="34"/>
        <v>428.60115421158082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>
        <f>VLOOKUP(A9,'Données projet'!$A$61:$I$81,2,0)</f>
        <v>2.04</v>
      </c>
      <c r="AG9" s="13">
        <f>VLOOKUP(A9,'Données projet'!$A$61:$I$81,9,0)</f>
        <v>0.34</v>
      </c>
      <c r="AH9" s="13">
        <f t="array" ref="AH9">INDEX(AG:AG,MIN(IF(ISNUMBER(AG9:AG205),ROW(AG9:AG205),"")))</f>
        <v>0.34</v>
      </c>
      <c r="AI9" s="14">
        <f>IF('Données projet'!$A$62&gt;35,AI8+AH9-AQ8,IF(A9&lt;'Données projet'!$A$62,$AF$205^A9,IF(A9='Données projet'!$A$62,'Données projet'!$B$62,AI8+AH9-AQ8)))</f>
        <v>2.04</v>
      </c>
      <c r="AJ9" s="14">
        <f>AI9*VLOOKUP('Données projet'!$B$10,Paramètres!$A$1:$I$89,3,0)*VLOOKUP('Données projet'!$B$10,Paramètres!$A$1:$I$89,5,0)</f>
        <v>1.0374624000000001</v>
      </c>
      <c r="AK9" s="14">
        <f t="shared" si="35"/>
        <v>0.47606389696195495</v>
      </c>
      <c r="AL9" s="22">
        <f t="shared" si="4"/>
        <v>2.6360583005420719</v>
      </c>
      <c r="AM9" s="62">
        <f t="shared" si="5"/>
        <v>184.10631039680104</v>
      </c>
      <c r="AN9" s="62">
        <f ca="1">AVERAGE(OFFSET($AM$3,0,0,'Données projet'!$E$10+1,1))-AVERAGE(OFFSET($H$3,0,0,'Données projet'!$E$10+1,1))</f>
        <v>80.374567532152696</v>
      </c>
      <c r="AO9" s="62">
        <f t="shared" si="36"/>
        <v>206.07482413353287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0.68</v>
      </c>
      <c r="BD9" s="13">
        <f>IF('Données projet'!$A$88&gt;35,BD8+BC9-BL8,IF(A9&lt;'Données projet'!$A$88,$BA$205^A9,IF(A9='Données projet'!$A$88,'Données projet'!$B$88,BD8+BC9-BL8)))</f>
        <v>3.3458074826707382</v>
      </c>
      <c r="BE9" s="14">
        <f>BD9*VLOOKUP('Données projet'!$B$11,Paramètres!$A$1:$I$89,3,0)*VLOOKUP('Données projet'!$B$11,Paramètres!$A$1:$I$89,5,0)</f>
        <v>1.7119827727329633</v>
      </c>
      <c r="BF9" s="14">
        <f t="shared" si="37"/>
        <v>0.74109200150668642</v>
      </c>
      <c r="BG9" s="22">
        <f t="shared" si="7"/>
        <v>4.2724385651340571</v>
      </c>
      <c r="BH9" s="62">
        <f t="shared" si="8"/>
        <v>185.74269066139303</v>
      </c>
      <c r="BI9" s="62">
        <f ca="1">AVERAGE(OFFSET($BH$3,0,0,'Données projet'!$E$11+1,1))-AVERAGE(OFFSET($H$3,0,0,'Données projet'!$E$11+1,1))</f>
        <v>60.405981172366637</v>
      </c>
      <c r="BJ9" s="62">
        <f t="shared" si="38"/>
        <v>231.98338207539112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1.36</v>
      </c>
      <c r="BY9" s="13">
        <f>IF('Données projet'!$A$114&gt;35,BY8+BX9-CG8,IF(A9&lt;'Données projet'!$A$114,$BV$205^A9,IF(A9='Données projet'!$A$114,'Données projet'!$B$114,BY8+BX9-CG8)))</f>
        <v>5.3111383176746054</v>
      </c>
      <c r="BZ9" s="14">
        <f>BY9*VLOOKUP('Données projet'!$B$12,Paramètres!$A$1:$I$89,3,0)*VLOOKUP('Données projet'!$B$12,Paramètres!$A$1:$I$89,5,0)</f>
        <v>2.7010325028365978</v>
      </c>
      <c r="CA9" s="14">
        <f t="shared" si="39"/>
        <v>1.1087963949657211</v>
      </c>
      <c r="CB9" s="22">
        <f t="shared" si="10"/>
        <v>6.6354519970057062</v>
      </c>
      <c r="CC9" s="62">
        <f t="shared" si="11"/>
        <v>188.10570409326468</v>
      </c>
      <c r="CD9" s="62">
        <f ca="1">AVERAGE(OFFSET($CC$3,0,0,'Données projet'!$E$12+1,1))-AVERAGE(OFFSET($H$3,0,0,'Données projet'!$E$12+1,1))</f>
        <v>86.882151759063618</v>
      </c>
      <c r="CE9" s="62">
        <f t="shared" si="40"/>
        <v>324.50087615827215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0.255</v>
      </c>
      <c r="N10" s="14">
        <f>IF('Données projet'!$A$36&gt;35,N9+M10-V9,IF(A10&lt;'Données projet'!$A$36,$K$205^A10,IF(A10='Données projet'!$A$36,'Données projet'!$B$36,N9+M10-V9)))</f>
        <v>1.8660634067290105</v>
      </c>
      <c r="O10" s="14">
        <f>N10*VLOOKUP('Données projet'!$B$9,Paramètres!$A$1:$I$89,3,0)*VLOOKUP('Données projet'!$B$9,Paramètres!$A$1:$I$89,5,0)</f>
        <v>0.94900520612610573</v>
      </c>
      <c r="P10" s="14">
        <f t="shared" si="33"/>
        <v>0.44001410193883955</v>
      </c>
      <c r="Q10" s="22">
        <f t="shared" si="2"/>
        <v>2.4192086282131129</v>
      </c>
      <c r="R10" s="62">
        <f t="shared" si="0"/>
        <v>186.54338956394935</v>
      </c>
      <c r="S10" s="62">
        <f ca="1">AVERAGE(OFFSET($R$3,0,0,'Données projet'!$E$9+1,1))-AVERAGE(OFFSET($H$3,0,0,'Données projet'!$E$9+1,1))</f>
        <v>103.47556287227775</v>
      </c>
      <c r="T10" s="62">
        <f t="shared" si="34"/>
        <v>428.60115421158082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>
        <f>VLOOKUP(A10,'Données projet'!$A$61:$I$81,2,0)</f>
        <v>20.399999999999999</v>
      </c>
      <c r="AG10" s="13">
        <f>VLOOKUP(A10,'Données projet'!$A$61:$I$81,9,0)</f>
        <v>18.36</v>
      </c>
      <c r="AH10" s="13">
        <f t="array" ref="AH10">INDEX(AG:AG,MIN(IF(ISNUMBER(AG10:AG206),ROW(AG10:AG206),"")))</f>
        <v>18.36</v>
      </c>
      <c r="AI10" s="14">
        <f>IF('Données projet'!$A$62&gt;35,AI9+AH10-AQ9,IF(A10&lt;'Données projet'!$A$62,$AF$205^A10,IF(A10='Données projet'!$A$62,'Données projet'!$B$62,AI9+AH10-AQ9)))</f>
        <v>20.399999999999999</v>
      </c>
      <c r="AJ10" s="14">
        <f>AI10*VLOOKUP('Données projet'!$B$10,Paramètres!$A$1:$I$89,3,0)*VLOOKUP('Données projet'!$B$10,Paramètres!$A$1:$I$89,5,0)</f>
        <v>10.374623999999999</v>
      </c>
      <c r="AK10" s="14">
        <f t="shared" si="35"/>
        <v>3.6413736678103574</v>
      </c>
      <c r="AL10" s="22">
        <f t="shared" si="4"/>
        <v>24.411195938103038</v>
      </c>
      <c r="AM10" s="62">
        <f t="shared" si="5"/>
        <v>208.53537687383928</v>
      </c>
      <c r="AN10" s="62">
        <f ca="1">AVERAGE(OFFSET($AM$3,0,0,'Données projet'!$E$10+1,1))-AVERAGE(OFFSET($H$3,0,0,'Données projet'!$E$10+1,1))</f>
        <v>80.374567532152696</v>
      </c>
      <c r="AO10" s="62">
        <f t="shared" si="36"/>
        <v>206.07482413353287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0.68</v>
      </c>
      <c r="BD10" s="13">
        <f>IF('Données projet'!$A$88&gt;35,BD9+BC10-BL9,IF(A10&lt;'Données projet'!$A$88,$BA$205^A10,IF(A10='Données projet'!$A$88,'Données projet'!$B$88,BD9+BC10-BL9)))</f>
        <v>4.0918317962798652</v>
      </c>
      <c r="BE10" s="14">
        <f>BD10*VLOOKUP('Données projet'!$B$11,Paramètres!$A$1:$I$89,3,0)*VLOOKUP('Données projet'!$B$11,Paramètres!$A$1:$I$89,5,0)</f>
        <v>2.0937084935204817</v>
      </c>
      <c r="BF10" s="14">
        <f t="shared" si="37"/>
        <v>0.88534722891067275</v>
      </c>
      <c r="BG10" s="22">
        <f t="shared" si="7"/>
        <v>5.1885220499009277</v>
      </c>
      <c r="BH10" s="62">
        <f t="shared" si="8"/>
        <v>189.31270298563717</v>
      </c>
      <c r="BI10" s="62">
        <f ca="1">AVERAGE(OFFSET($BH$3,0,0,'Données projet'!$E$11+1,1))-AVERAGE(OFFSET($H$3,0,0,'Données projet'!$E$11+1,1))</f>
        <v>60.405981172366637</v>
      </c>
      <c r="BJ10" s="62">
        <f t="shared" si="38"/>
        <v>231.98338207539112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1.36</v>
      </c>
      <c r="BY10" s="13">
        <f>IF('Données projet'!$A$114&gt;35,BY9+BX10-CG9,IF(A10&lt;'Données projet'!$A$114,$BV$205^A10,IF(A10='Données projet'!$A$114,'Données projet'!$B$114,BY9+BX10-CG9)))</f>
        <v>7.0153963724155934</v>
      </c>
      <c r="BZ10" s="14">
        <f>BY10*VLOOKUP('Données projet'!$B$12,Paramètres!$A$1:$I$89,3,0)*VLOOKUP('Données projet'!$B$12,Paramètres!$A$1:$I$89,5,0)</f>
        <v>3.5677499791556744</v>
      </c>
      <c r="CA10" s="14">
        <f t="shared" si="39"/>
        <v>1.4179070685281741</v>
      </c>
      <c r="CB10" s="22">
        <f t="shared" si="10"/>
        <v>8.6833526913827033</v>
      </c>
      <c r="CC10" s="62">
        <f t="shared" si="11"/>
        <v>192.80753362711894</v>
      </c>
      <c r="CD10" s="62">
        <f ca="1">AVERAGE(OFFSET($CC$3,0,0,'Données projet'!$E$12+1,1))-AVERAGE(OFFSET($H$3,0,0,'Données projet'!$E$12+1,1))</f>
        <v>86.882151759063618</v>
      </c>
      <c r="CE10" s="62">
        <f t="shared" si="40"/>
        <v>324.50087615827215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2.04</v>
      </c>
      <c r="L11" s="13">
        <f>VLOOKUP(A11,'Données projet'!$A$35:$I$55,9,0)</f>
        <v>0.255</v>
      </c>
      <c r="M11" s="13">
        <f t="array" ref="M11">INDEX(L:L,MIN(IF(ISNUMBER(L11:L207),ROW(L11:L207),"")))</f>
        <v>0.255</v>
      </c>
      <c r="N11" s="14">
        <f>IF('Données projet'!$A$36&gt;35,N10+M11-V10,IF(A11&lt;'Données projet'!$A$36,$K$205^A11,IF(A11='Données projet'!$A$36,'Données projet'!$B$36,N10+M11-V10)))</f>
        <v>2.04</v>
      </c>
      <c r="O11" s="14">
        <f>N11*VLOOKUP('Données projet'!$B$9,Paramètres!$A$1:$I$89,3,0)*VLOOKUP('Données projet'!$B$9,Paramètres!$A$1:$I$89,5,0)</f>
        <v>1.0374624000000001</v>
      </c>
      <c r="P11" s="14">
        <f t="shared" si="33"/>
        <v>0.47606389696195495</v>
      </c>
      <c r="Q11" s="22">
        <f t="shared" si="2"/>
        <v>2.6360583005420719</v>
      </c>
      <c r="R11" s="62">
        <f t="shared" si="0"/>
        <v>189.38933116676262</v>
      </c>
      <c r="S11" s="62">
        <f ca="1">AVERAGE(OFFSET($R$3,0,0,'Données projet'!$E$9+1,1))-AVERAGE(OFFSET($H$3,0,0,'Données projet'!$E$9+1,1))</f>
        <v>103.47556287227775</v>
      </c>
      <c r="T11" s="62">
        <f t="shared" si="34"/>
        <v>428.60115421158082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>
        <f>VLOOKUP(A11,'Données projet'!$A$61:$I$81,2,0)</f>
        <v>38.76</v>
      </c>
      <c r="AG11" s="13">
        <f>VLOOKUP(A11,'Données projet'!$A$61:$I$81,9,0)</f>
        <v>18.36</v>
      </c>
      <c r="AH11" s="13">
        <f t="array" ref="AH11">INDEX(AG:AG,MIN(IF(ISNUMBER(AG11:AG207),ROW(AG11:AG207),"")))</f>
        <v>18.36</v>
      </c>
      <c r="AI11" s="14">
        <f>IF('Données projet'!$A$62&gt;35,AI10+AH11-AQ10,IF(A11&lt;'Données projet'!$A$62,$AF$205^A11,IF(A11='Données projet'!$A$62,'Données projet'!$B$62,AI10+AH11-AQ10)))</f>
        <v>38.76</v>
      </c>
      <c r="AJ11" s="14">
        <f>AI11*VLOOKUP('Données projet'!$B$10,Paramètres!$A$1:$I$89,3,0)*VLOOKUP('Données projet'!$B$10,Paramètres!$A$1:$I$89,5,0)</f>
        <v>19.711785599999999</v>
      </c>
      <c r="AK11" s="14">
        <f t="shared" si="35"/>
        <v>6.4205455167395504</v>
      </c>
      <c r="AL11" s="22">
        <f t="shared" si="4"/>
        <v>45.51381002832138</v>
      </c>
      <c r="AM11" s="62">
        <f t="shared" si="5"/>
        <v>232.26708289454194</v>
      </c>
      <c r="AN11" s="62">
        <f ca="1">AVERAGE(OFFSET($AM$3,0,0,'Données projet'!$E$10+1,1))-AVERAGE(OFFSET($H$3,0,0,'Données projet'!$E$10+1,1))</f>
        <v>80.374567532152696</v>
      </c>
      <c r="AO11" s="62">
        <f t="shared" si="36"/>
        <v>206.07482413353287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0.68</v>
      </c>
      <c r="BD11" s="13">
        <f>IF('Données projet'!$A$88&gt;35,BD10+BC11-BL10,IF(A11&lt;'Données projet'!$A$88,$BA$205^A11,IF(A11='Données projet'!$A$88,'Données projet'!$B$88,BD10+BC11-BL10)))</f>
        <v>5.0041992959146588</v>
      </c>
      <c r="BE11" s="14">
        <f>BD11*VLOOKUP('Données projet'!$B$11,Paramètres!$A$1:$I$89,3,0)*VLOOKUP('Données projet'!$B$11,Paramètres!$A$1:$I$89,5,0)</f>
        <v>2.5605486957336128</v>
      </c>
      <c r="BF11" s="14">
        <f t="shared" si="37"/>
        <v>1.0576820612639342</v>
      </c>
      <c r="BG11" s="22">
        <f t="shared" si="7"/>
        <v>6.3017519017707277</v>
      </c>
      <c r="BH11" s="62">
        <f t="shared" si="8"/>
        <v>193.05502476799128</v>
      </c>
      <c r="BI11" s="62">
        <f ca="1">AVERAGE(OFFSET($BH$3,0,0,'Données projet'!$E$11+1,1))-AVERAGE(OFFSET($H$3,0,0,'Données projet'!$E$11+1,1))</f>
        <v>60.405981172366637</v>
      </c>
      <c r="BJ11" s="62">
        <f t="shared" si="38"/>
        <v>231.98338207539112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1.36</v>
      </c>
      <c r="BY11" s="13">
        <f>IF('Données projet'!$A$114&gt;35,BY10+BX11-CG10,IF(A11&lt;'Données projet'!$A$114,$BV$205^A11,IF(A11='Données projet'!$A$114,'Données projet'!$B$114,BY10+BX11-CG10)))</f>
        <v>9.2665231666664987</v>
      </c>
      <c r="BZ11" s="14">
        <f>BY11*VLOOKUP('Données projet'!$B$12,Paramètres!$A$1:$I$89,3,0)*VLOOKUP('Données projet'!$B$12,Paramètres!$A$1:$I$89,5,0)</f>
        <v>4.7125830216399152</v>
      </c>
      <c r="CA11" s="14">
        <f t="shared" si="39"/>
        <v>1.813191731241437</v>
      </c>
      <c r="CB11" s="22">
        <f t="shared" si="10"/>
        <v>11.365724361268356</v>
      </c>
      <c r="CC11" s="62">
        <f t="shared" si="11"/>
        <v>198.1189972274889</v>
      </c>
      <c r="CD11" s="62">
        <f ca="1">AVERAGE(OFFSET($CC$3,0,0,'Données projet'!$E$12+1,1))-AVERAGE(OFFSET($H$3,0,0,'Données projet'!$E$12+1,1))</f>
        <v>86.882151759063618</v>
      </c>
      <c r="CE11" s="62">
        <f t="shared" si="40"/>
        <v>324.50087615827215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18.36</v>
      </c>
      <c r="L12" s="13">
        <f>VLOOKUP(A12,'Données projet'!$A$35:$I$55,9,0)</f>
        <v>16.32</v>
      </c>
      <c r="M12" s="13">
        <f t="array" ref="M12">INDEX(L:L,MIN(IF(ISNUMBER(L12:L208),ROW(L12:L208),"")))</f>
        <v>16.32</v>
      </c>
      <c r="N12" s="14">
        <f>IF('Données projet'!$A$36&gt;35,N11+M12-V11,IF(A12&lt;'Données projet'!$A$36,$K$205^A12,IF(A12='Données projet'!$A$36,'Données projet'!$B$36,N11+M12-V11)))</f>
        <v>18.36</v>
      </c>
      <c r="O12" s="14">
        <f>N12*VLOOKUP('Données projet'!$B$9,Paramètres!$A$1:$I$89,3,0)*VLOOKUP('Données projet'!$B$9,Paramètres!$A$1:$I$89,5,0)</f>
        <v>9.3371616</v>
      </c>
      <c r="P12" s="14">
        <f t="shared" si="33"/>
        <v>3.3176756757820258</v>
      </c>
      <c r="Q12" s="22">
        <f t="shared" si="2"/>
        <v>22.040508255320361</v>
      </c>
      <c r="R12" s="62">
        <f t="shared" si="0"/>
        <v>211.39846700787643</v>
      </c>
      <c r="S12" s="62">
        <f ca="1">AVERAGE(OFFSET($R$3,0,0,'Données projet'!$E$9+1,1))-AVERAGE(OFFSET($H$3,0,0,'Données projet'!$E$9+1,1))</f>
        <v>103.47556287227775</v>
      </c>
      <c r="T12" s="62">
        <f t="shared" si="34"/>
        <v>428.60115421158082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57.12</v>
      </c>
      <c r="AG12" s="13">
        <f>VLOOKUP(A12,'Données projet'!$A$61:$I$81,9,0)</f>
        <v>18.36</v>
      </c>
      <c r="AH12" s="13">
        <f t="array" ref="AH12">INDEX(AG:AG,MIN(IF(ISNUMBER(AG12:AG208),ROW(AG12:AG208),"")))</f>
        <v>18.36</v>
      </c>
      <c r="AI12" s="14">
        <f>IF('Données projet'!$A$62&gt;35,AI11+AH12-AQ11,IF(A12&lt;'Données projet'!$A$62,$AF$205^A12,IF(A12='Données projet'!$A$62,'Données projet'!$B$62,AI11+AH12-AQ11)))</f>
        <v>57.12</v>
      </c>
      <c r="AJ12" s="14">
        <f>AI12*VLOOKUP('Données projet'!$B$10,Paramètres!$A$1:$I$89,3,0)*VLOOKUP('Données projet'!$B$10,Paramètres!$A$1:$I$89,5,0)</f>
        <v>29.048947200000004</v>
      </c>
      <c r="AK12" s="14">
        <f t="shared" si="35"/>
        <v>9.0442817641530073</v>
      </c>
      <c r="AL12" s="22">
        <f t="shared" si="4"/>
        <v>66.345707112566487</v>
      </c>
      <c r="AM12" s="62">
        <f t="shared" si="5"/>
        <v>255.70366586512256</v>
      </c>
      <c r="AN12" s="62">
        <f ca="1">AVERAGE(OFFSET($AM$3,0,0,'Données projet'!$E$10+1,1))-AVERAGE(OFFSET($H$3,0,0,'Données projet'!$E$10+1,1))</f>
        <v>80.374567532152696</v>
      </c>
      <c r="AO12" s="62">
        <f t="shared" si="36"/>
        <v>206.07482413353287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>
        <f>VLOOKUP(A12,'Données projet'!$A$87:$I$107,2,0)</f>
        <v>6.12</v>
      </c>
      <c r="BB12" s="13">
        <f>VLOOKUP(A12,'Données projet'!$A$87:$I$107,9,0)</f>
        <v>0.68</v>
      </c>
      <c r="BC12" s="13">
        <f t="array" ref="BC12">INDEX(BB:BB,MIN(IF(ISNUMBER(BB12:BB208),ROW(BB12:BB208),"")))</f>
        <v>0.68</v>
      </c>
      <c r="BD12" s="13">
        <f>IF('Données projet'!$A$88&gt;35,BD11+BC12-BL11,IF(A12&lt;'Données projet'!$A$88,$BA$205^A12,IF(A12='Données projet'!$A$88,'Données projet'!$B$88,BD11+BC12-BL11)))</f>
        <v>6.12</v>
      </c>
      <c r="BE12" s="14">
        <f>BD12*VLOOKUP('Données projet'!$B$11,Paramètres!$A$1:$I$89,3,0)*VLOOKUP('Données projet'!$B$11,Paramètres!$A$1:$I$89,5,0)</f>
        <v>3.1314816000000003</v>
      </c>
      <c r="BF12" s="14">
        <f t="shared" si="37"/>
        <v>1.2635622569191953</v>
      </c>
      <c r="BG12" s="22">
        <f t="shared" si="7"/>
        <v>7.6547013841342642</v>
      </c>
      <c r="BH12" s="62">
        <f t="shared" si="8"/>
        <v>197.01266013669033</v>
      </c>
      <c r="BI12" s="62">
        <f ca="1">AVERAGE(OFFSET($BH$3,0,0,'Données projet'!$E$11+1,1))-AVERAGE(OFFSET($H$3,0,0,'Données projet'!$E$11+1,1))</f>
        <v>60.405981172366637</v>
      </c>
      <c r="BJ12" s="62">
        <f t="shared" si="38"/>
        <v>231.98338207539112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>
        <f>VLOOKUP(A12,'Données projet'!$A$113:$I$133,2,0)</f>
        <v>12.24</v>
      </c>
      <c r="BW12" s="13">
        <f>VLOOKUP(A12,'Données projet'!$A$113:$I$133,9,0)</f>
        <v>1.36</v>
      </c>
      <c r="BX12" s="13">
        <f t="array" ref="BX12">INDEX(BW:BW,MIN(IF(ISNUMBER(BW12:BW208),ROW(BW12:BW208),"")))</f>
        <v>1.36</v>
      </c>
      <c r="BY12" s="13">
        <f>IF('Données projet'!$A$114&gt;35,BY11+BX12-CG11,IF(A12&lt;'Données projet'!$A$114,$BV$205^A12,IF(A12='Données projet'!$A$114,'Données projet'!$B$114,BY11+BX12-CG11)))</f>
        <v>12.24</v>
      </c>
      <c r="BZ12" s="14">
        <f>BY12*VLOOKUP('Données projet'!$B$12,Paramètres!$A$1:$I$89,3,0)*VLOOKUP('Données projet'!$B$12,Paramètres!$A$1:$I$89,5,0)</f>
        <v>6.2247744000000003</v>
      </c>
      <c r="CA12" s="14">
        <f t="shared" si="39"/>
        <v>2.3186740000210322</v>
      </c>
      <c r="CB12" s="22">
        <f t="shared" si="10"/>
        <v>14.879839296703301</v>
      </c>
      <c r="CC12" s="62">
        <f t="shared" si="11"/>
        <v>204.23779804925937</v>
      </c>
      <c r="CD12" s="62">
        <f ca="1">AVERAGE(OFFSET($CC$3,0,0,'Données projet'!$E$12+1,1))-AVERAGE(OFFSET($H$3,0,0,'Données projet'!$E$12+1,1))</f>
        <v>86.882151759063618</v>
      </c>
      <c r="CE12" s="62">
        <f t="shared" si="40"/>
        <v>324.50087615827215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38.76</v>
      </c>
      <c r="L13" s="13">
        <f>VLOOKUP(A13,'Données projet'!$A$35:$I$55,9,0)</f>
        <v>20.399999999999999</v>
      </c>
      <c r="M13" s="13">
        <f t="array" ref="M13">INDEX(L:L,MIN(IF(ISNUMBER(L13:L209),ROW(L13:L209),"")))</f>
        <v>20.399999999999999</v>
      </c>
      <c r="N13" s="14">
        <f>IF('Données projet'!$A$36&gt;35,N12+M13-V12,IF(A13&lt;'Données projet'!$A$36,$K$205^A13,IF(A13='Données projet'!$A$36,'Données projet'!$B$36,N12+M13-V12)))</f>
        <v>38.76</v>
      </c>
      <c r="O13" s="14">
        <f>N13*VLOOKUP('Données projet'!$B$9,Paramètres!$A$1:$I$89,3,0)*VLOOKUP('Données projet'!$B$9,Paramètres!$A$1:$I$89,5,0)</f>
        <v>19.711785599999999</v>
      </c>
      <c r="P13" s="14">
        <f t="shared" si="33"/>
        <v>6.4205455167395504</v>
      </c>
      <c r="Q13" s="22">
        <f t="shared" si="2"/>
        <v>45.51381002832138</v>
      </c>
      <c r="R13" s="62">
        <f t="shared" si="0"/>
        <v>237.45247201336628</v>
      </c>
      <c r="S13" s="62">
        <f ca="1">AVERAGE(OFFSET($R$3,0,0,'Données projet'!$E$9+1,1))-AVERAGE(OFFSET($H$3,0,0,'Données projet'!$E$9+1,1))</f>
        <v>103.47556287227775</v>
      </c>
      <c r="T13" s="62">
        <f t="shared" si="34"/>
        <v>428.60115421158082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75.48</v>
      </c>
      <c r="AG13" s="13">
        <f>VLOOKUP(A13,'Données projet'!$A$61:$I$81,9,0)</f>
        <v>18.360000000000007</v>
      </c>
      <c r="AH13" s="13">
        <f t="array" ref="AH13">INDEX(AG:AG,MIN(IF(ISNUMBER(AG13:AG209),ROW(AG13:AG209),"")))</f>
        <v>18.360000000000007</v>
      </c>
      <c r="AI13" s="14">
        <f>IF('Données projet'!$A$62&gt;35,AI12+AH13-AQ12,IF(A13&lt;'Données projet'!$A$62,$AF$205^A13,IF(A13='Données projet'!$A$62,'Données projet'!$B$62,AI12+AH13-AQ12)))</f>
        <v>75.48</v>
      </c>
      <c r="AJ13" s="14">
        <f>AI13*VLOOKUP('Données projet'!$B$10,Paramètres!$A$1:$I$89,3,0)*VLOOKUP('Données projet'!$B$10,Paramètres!$A$1:$I$89,5,0)</f>
        <v>38.386108800000002</v>
      </c>
      <c r="AK13" s="14">
        <f t="shared" si="35"/>
        <v>11.569864978449859</v>
      </c>
      <c r="AL13" s="22">
        <f t="shared" si="4"/>
        <v>87.006654330800174</v>
      </c>
      <c r="AM13" s="62">
        <f t="shared" si="5"/>
        <v>278.94531631584505</v>
      </c>
      <c r="AN13" s="62">
        <f ca="1">AVERAGE(OFFSET($AM$3,0,0,'Données projet'!$E$10+1,1))-AVERAGE(OFFSET($H$3,0,0,'Données projet'!$E$10+1,1))</f>
        <v>80.374567532152696</v>
      </c>
      <c r="AO13" s="62">
        <f t="shared" si="36"/>
        <v>206.07482413353287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>
        <f>VLOOKUP(A13,'Données projet'!$A$87:$I$107,2,0)</f>
        <v>20.399999999999999</v>
      </c>
      <c r="BB13" s="13">
        <f>VLOOKUP(A13,'Données projet'!$A$87:$I$107,9,0)</f>
        <v>14.279999999999998</v>
      </c>
      <c r="BC13" s="13">
        <f t="array" ref="BC13">INDEX(BB:BB,MIN(IF(ISNUMBER(BB13:BB209),ROW(BB13:BB209),"")))</f>
        <v>14.279999999999998</v>
      </c>
      <c r="BD13" s="13">
        <f>IF('Données projet'!$A$88&gt;35,BD12+BC13-BL12,IF(A13&lt;'Données projet'!$A$88,$BA$205^A13,IF(A13='Données projet'!$A$88,'Données projet'!$B$88,BD12+BC13-BL12)))</f>
        <v>20.399999999999999</v>
      </c>
      <c r="BE13" s="14">
        <f>BD13*VLOOKUP('Données projet'!$B$11,Paramètres!$A$1:$I$89,3,0)*VLOOKUP('Données projet'!$B$11,Paramètres!$A$1:$I$89,5,0)</f>
        <v>10.438272000000001</v>
      </c>
      <c r="BF13" s="14">
        <f t="shared" si="37"/>
        <v>3.6611060086429315</v>
      </c>
      <c r="BG13" s="22">
        <f t="shared" si="7"/>
        <v>24.556416698386442</v>
      </c>
      <c r="BH13" s="62">
        <f t="shared" si="8"/>
        <v>216.49507868343133</v>
      </c>
      <c r="BI13" s="62">
        <f ca="1">AVERAGE(OFFSET($BH$3,0,0,'Données projet'!$E$11+1,1))-AVERAGE(OFFSET($H$3,0,0,'Données projet'!$E$11+1,1))</f>
        <v>60.405981172366637</v>
      </c>
      <c r="BJ13" s="62">
        <f t="shared" si="38"/>
        <v>231.98338207539112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32.64</v>
      </c>
      <c r="BW13" s="13">
        <f>VLOOKUP(A13,'Données projet'!$A$113:$I$133,9,0)</f>
        <v>20.399999999999999</v>
      </c>
      <c r="BX13" s="13">
        <f t="array" ref="BX13">INDEX(BW:BW,MIN(IF(ISNUMBER(BW13:BW209),ROW(BW13:BW209),"")))</f>
        <v>20.399999999999999</v>
      </c>
      <c r="BY13" s="13">
        <f>IF('Données projet'!$A$114&gt;35,BY12+BX13-CG12,IF(A13&lt;'Données projet'!$A$114,$BV$205^A13,IF(A13='Données projet'!$A$114,'Données projet'!$B$114,BY12+BX13-CG12)))</f>
        <v>32.64</v>
      </c>
      <c r="BZ13" s="14">
        <f>BY13*VLOOKUP('Données projet'!$B$12,Paramètres!$A$1:$I$89,3,0)*VLOOKUP('Données projet'!$B$12,Paramètres!$A$1:$I$89,5,0)</f>
        <v>16.599398400000002</v>
      </c>
      <c r="CA13" s="14">
        <f t="shared" si="39"/>
        <v>5.5160178641206423</v>
      </c>
      <c r="CB13" s="22">
        <f t="shared" si="10"/>
        <v>38.517683326676789</v>
      </c>
      <c r="CC13" s="62">
        <f t="shared" si="11"/>
        <v>230.45634531172169</v>
      </c>
      <c r="CD13" s="62">
        <f ca="1">AVERAGE(OFFSET($CC$3,0,0,'Données projet'!$E$12+1,1))-AVERAGE(OFFSET($H$3,0,0,'Données projet'!$E$12+1,1))</f>
        <v>86.882151759063618</v>
      </c>
      <c r="CE13" s="62">
        <f t="shared" si="40"/>
        <v>324.50087615827215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63.24</v>
      </c>
      <c r="L14" s="13">
        <f>VLOOKUP(A14,'Données projet'!$A$35:$I$55,9,0)</f>
        <v>24.480000000000004</v>
      </c>
      <c r="M14" s="13">
        <f t="array" ref="M14">INDEX(L:L,MIN(IF(ISNUMBER(L14:L210),ROW(L14:L210),"")))</f>
        <v>24.480000000000004</v>
      </c>
      <c r="N14" s="14">
        <f>IF('Données projet'!$A$36&gt;35,N13+M14-V13,IF(A14&lt;'Données projet'!$A$36,$K$205^A14,IF(A14='Données projet'!$A$36,'Données projet'!$B$36,N13+M14-V13)))</f>
        <v>63.24</v>
      </c>
      <c r="O14" s="14">
        <f>N14*VLOOKUP('Données projet'!$B$9,Paramètres!$A$1:$I$89,3,0)*VLOOKUP('Données projet'!$B$9,Paramètres!$A$1:$I$89,5,0)</f>
        <v>32.161334400000001</v>
      </c>
      <c r="P14" s="14">
        <f t="shared" si="33"/>
        <v>9.8953791676725817</v>
      </c>
      <c r="Q14" s="22">
        <f t="shared" si="2"/>
        <v>73.248776130363069</v>
      </c>
      <c r="R14" s="62">
        <f t="shared" si="0"/>
        <v>267.74457473947723</v>
      </c>
      <c r="S14" s="62">
        <f ca="1">AVERAGE(OFFSET($R$3,0,0,'Données projet'!$E$9+1,1))-AVERAGE(OFFSET($H$3,0,0,'Données projet'!$E$9+1,1))</f>
        <v>103.47556287227775</v>
      </c>
      <c r="T14" s="62">
        <f t="shared" si="34"/>
        <v>428.60115421158082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91.8</v>
      </c>
      <c r="AG14" s="13">
        <f>VLOOKUP(A14,'Données projet'!$A$61:$I$81,9,0)</f>
        <v>16.319999999999993</v>
      </c>
      <c r="AH14" s="13">
        <f t="array" ref="AH14">INDEX(AG:AG,MIN(IF(ISNUMBER(AG14:AG210),ROW(AG14:AG210),"")))</f>
        <v>16.319999999999993</v>
      </c>
      <c r="AI14" s="14">
        <f>IF('Données projet'!$A$62&gt;35,AI13+AH14-AQ13,IF(A14&lt;'Données projet'!$A$62,$AF$205^A14,IF(A14='Données projet'!$A$62,'Données projet'!$B$62,AI13+AH14-AQ13)))</f>
        <v>91.8</v>
      </c>
      <c r="AJ14" s="14">
        <f>AI14*VLOOKUP('Données projet'!$B$10,Paramètres!$A$1:$I$89,3,0)*VLOOKUP('Données projet'!$B$10,Paramètres!$A$1:$I$89,5,0)</f>
        <v>46.685808000000002</v>
      </c>
      <c r="AK14" s="14">
        <f t="shared" si="35"/>
        <v>13.754468862853029</v>
      </c>
      <c r="AL14" s="22">
        <f t="shared" si="4"/>
        <v>105.2668155361357</v>
      </c>
      <c r="AM14" s="62">
        <f t="shared" si="5"/>
        <v>299.76261414524981</v>
      </c>
      <c r="AN14" s="62">
        <f ca="1">AVERAGE(OFFSET($AM$3,0,0,'Données projet'!$E$10+1,1))-AVERAGE(OFFSET($H$3,0,0,'Données projet'!$E$10+1,1))</f>
        <v>80.374567532152696</v>
      </c>
      <c r="AO14" s="62">
        <f t="shared" si="36"/>
        <v>206.07482413353287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>
        <f>VLOOKUP(A14,'Données projet'!$A$87:$I$107,2,0)</f>
        <v>36.72</v>
      </c>
      <c r="BB14" s="13">
        <f>VLOOKUP(A14,'Données projet'!$A$87:$I$107,9,0)</f>
        <v>16.32</v>
      </c>
      <c r="BC14" s="13">
        <f t="array" ref="BC14">INDEX(BB:BB,MIN(IF(ISNUMBER(BB14:BB210),ROW(BB14:BB210),"")))</f>
        <v>16.32</v>
      </c>
      <c r="BD14" s="13">
        <f>IF('Données projet'!$A$88&gt;35,BD13+BC14-BL13,IF(A14&lt;'Données projet'!$A$88,$BA$205^A14,IF(A14='Données projet'!$A$88,'Données projet'!$B$88,BD13+BC14-BL13)))</f>
        <v>36.72</v>
      </c>
      <c r="BE14" s="14">
        <f>BD14*VLOOKUP('Données projet'!$B$11,Paramètres!$A$1:$I$89,3,0)*VLOOKUP('Données projet'!$B$11,Paramètres!$A$1:$I$89,5,0)</f>
        <v>18.788889600000001</v>
      </c>
      <c r="BF14" s="14">
        <f t="shared" si="37"/>
        <v>6.1541926855263549</v>
      </c>
      <c r="BG14" s="22">
        <f t="shared" si="7"/>
        <v>43.442534980625062</v>
      </c>
      <c r="BH14" s="62">
        <f t="shared" si="8"/>
        <v>237.93833358973919</v>
      </c>
      <c r="BI14" s="62">
        <f ca="1">AVERAGE(OFFSET($BH$3,0,0,'Données projet'!$E$11+1,1))-AVERAGE(OFFSET($H$3,0,0,'Données projet'!$E$11+1,1))</f>
        <v>60.405981172366637</v>
      </c>
      <c r="BJ14" s="62">
        <f t="shared" si="38"/>
        <v>231.98338207539112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>
        <f>VLOOKUP(A14,'Données projet'!$A$113:$I$133,2,0)</f>
        <v>57.12</v>
      </c>
      <c r="BW14" s="13">
        <f>VLOOKUP(A14,'Données projet'!$A$113:$I$133,9,0)</f>
        <v>24.479999999999997</v>
      </c>
      <c r="BX14" s="13">
        <f t="array" ref="BX14">INDEX(BW:BW,MIN(IF(ISNUMBER(BW14:BW210),ROW(BW14:BW210),"")))</f>
        <v>24.479999999999997</v>
      </c>
      <c r="BY14" s="13">
        <f>IF('Données projet'!$A$114&gt;35,BY13+BX14-CG13,IF(A14&lt;'Données projet'!$A$114,$BV$205^A14,IF(A14='Données projet'!$A$114,'Données projet'!$B$114,BY13+BX14-CG13)))</f>
        <v>57.12</v>
      </c>
      <c r="BZ14" s="14">
        <f>BY14*VLOOKUP('Données projet'!$B$12,Paramètres!$A$1:$I$89,3,0)*VLOOKUP('Données projet'!$B$12,Paramètres!$A$1:$I$89,5,0)</f>
        <v>29.048947200000004</v>
      </c>
      <c r="CA14" s="14">
        <f t="shared" si="39"/>
        <v>9.0442817641530073</v>
      </c>
      <c r="CB14" s="22">
        <f t="shared" si="10"/>
        <v>66.345707112566487</v>
      </c>
      <c r="CC14" s="62">
        <f t="shared" si="11"/>
        <v>260.84150572168062</v>
      </c>
      <c r="CD14" s="62">
        <f ca="1">AVERAGE(OFFSET($CC$3,0,0,'Données projet'!$E$12+1,1))-AVERAGE(OFFSET($H$3,0,0,'Données projet'!$E$12+1,1))</f>
        <v>86.882151759063618</v>
      </c>
      <c r="CE14" s="62">
        <f t="shared" si="40"/>
        <v>324.50087615827215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93.84</v>
      </c>
      <c r="L15" s="13">
        <f>VLOOKUP(A15,'Données projet'!$A$35:$I$55,9,0)</f>
        <v>30.6</v>
      </c>
      <c r="M15" s="13">
        <f t="array" ref="M15">INDEX(L:L,MIN(IF(ISNUMBER(L15:L211),ROW(L15:L211),"")))</f>
        <v>30.6</v>
      </c>
      <c r="N15" s="14">
        <f>IF('Données projet'!$A$36&gt;35,N14+M15-V14,IF(A15&lt;'Données projet'!$A$36,$K$205^A15,IF(A15='Données projet'!$A$36,'Données projet'!$B$36,N14+M15-V14)))</f>
        <v>93.84</v>
      </c>
      <c r="O15" s="14">
        <f>N15*VLOOKUP('Données projet'!$B$9,Paramètres!$A$1:$I$89,3,0)*VLOOKUP('Données projet'!$B$9,Paramètres!$A$1:$I$89,5,0)</f>
        <v>47.723270400000004</v>
      </c>
      <c r="P15" s="14">
        <f t="shared" si="33"/>
        <v>14.02419905630339</v>
      </c>
      <c r="Q15" s="22">
        <f t="shared" si="2"/>
        <v>107.54350930306174</v>
      </c>
      <c r="R15" s="62">
        <f t="shared" si="0"/>
        <v>304.57328675579458</v>
      </c>
      <c r="S15" s="62">
        <f ca="1">AVERAGE(OFFSET($R$3,0,0,'Données projet'!$E$9+1,1))-AVERAGE(OFFSET($H$3,0,0,'Données projet'!$E$9+1,1))</f>
        <v>103.47556287227775</v>
      </c>
      <c r="T15" s="62">
        <f t="shared" si="34"/>
        <v>428.60115421158082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106.08</v>
      </c>
      <c r="AG15" s="13">
        <f>VLOOKUP(A15,'Données projet'!$A$61:$I$81,9,0)</f>
        <v>14.280000000000001</v>
      </c>
      <c r="AH15" s="13">
        <f t="array" ref="AH15">INDEX(AG:AG,MIN(IF(ISNUMBER(AG15:AG211),ROW(AG15:AG211),"")))</f>
        <v>14.280000000000001</v>
      </c>
      <c r="AI15" s="14">
        <f>IF('Données projet'!$A$62&gt;35,AI14+AH15-AQ14,IF(A15&lt;'Données projet'!$A$62,$AF$205^A15,IF(A15='Données projet'!$A$62,'Données projet'!$B$62,AI14+AH15-AQ14)))</f>
        <v>106.08</v>
      </c>
      <c r="AJ15" s="14">
        <f>AI15*VLOOKUP('Données projet'!$B$10,Paramètres!$A$1:$I$89,3,0)*VLOOKUP('Données projet'!$B$10,Paramètres!$A$1:$I$89,5,0)</f>
        <v>53.948044799999998</v>
      </c>
      <c r="AK15" s="14">
        <f t="shared" si="35"/>
        <v>15.628806052093029</v>
      </c>
      <c r="AL15" s="22">
        <f t="shared" si="4"/>
        <v>121.17968190072868</v>
      </c>
      <c r="AM15" s="62">
        <f t="shared" si="5"/>
        <v>318.20945935346157</v>
      </c>
      <c r="AN15" s="62">
        <f ca="1">AVERAGE(OFFSET($AM$3,0,0,'Données projet'!$E$10+1,1))-AVERAGE(OFFSET($H$3,0,0,'Données projet'!$E$10+1,1))</f>
        <v>80.374567532152696</v>
      </c>
      <c r="AO15" s="62">
        <f t="shared" si="36"/>
        <v>206.07482413353287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55.08</v>
      </c>
      <c r="BB15" s="13">
        <f>VLOOKUP(A15,'Données projet'!$A$87:$I$107,9,0)</f>
        <v>18.36</v>
      </c>
      <c r="BC15" s="13">
        <f t="array" ref="BC15">INDEX(BB:BB,MIN(IF(ISNUMBER(BB15:BB211),ROW(BB15:BB211),"")))</f>
        <v>18.36</v>
      </c>
      <c r="BD15" s="13">
        <f>IF('Données projet'!$A$88&gt;35,BD14+BC15-BL14,IF(A15&lt;'Données projet'!$A$88,$BA$205^A15,IF(A15='Données projet'!$A$88,'Données projet'!$B$88,BD14+BC15-BL14)))</f>
        <v>55.08</v>
      </c>
      <c r="BE15" s="14">
        <f>BD15*VLOOKUP('Données projet'!$B$11,Paramètres!$A$1:$I$89,3,0)*VLOOKUP('Données projet'!$B$11,Paramètres!$A$1:$I$89,5,0)</f>
        <v>28.183334400000003</v>
      </c>
      <c r="BF15" s="14">
        <f t="shared" si="37"/>
        <v>8.8057292127574769</v>
      </c>
      <c r="BG15" s="22">
        <f t="shared" si="7"/>
        <v>64.4226191255526</v>
      </c>
      <c r="BH15" s="62">
        <f t="shared" si="8"/>
        <v>261.45239657828546</v>
      </c>
      <c r="BI15" s="62">
        <f ca="1">AVERAGE(OFFSET($BH$3,0,0,'Données projet'!$E$11+1,1))-AVERAGE(OFFSET($H$3,0,0,'Données projet'!$E$11+1,1))</f>
        <v>60.405981172366637</v>
      </c>
      <c r="BJ15" s="62">
        <f t="shared" si="38"/>
        <v>231.98338207539112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>
        <f>VLOOKUP(A15,'Données projet'!$A$113:$I$133,2,0)</f>
        <v>83.64</v>
      </c>
      <c r="BW15" s="13">
        <f>VLOOKUP(A15,'Données projet'!$A$113:$I$133,9,0)</f>
        <v>26.520000000000003</v>
      </c>
      <c r="BX15" s="13">
        <f t="array" ref="BX15">INDEX(BW:BW,MIN(IF(ISNUMBER(BW15:BW211),ROW(BW15:BW211),"")))</f>
        <v>26.520000000000003</v>
      </c>
      <c r="BY15" s="13">
        <f>IF('Données projet'!$A$114&gt;35,BY14+BX15-CG14,IF(A15&lt;'Données projet'!$A$114,$BV$205^A15,IF(A15='Données projet'!$A$114,'Données projet'!$B$114,BY14+BX15-CG14)))</f>
        <v>83.64</v>
      </c>
      <c r="BZ15" s="14">
        <f>BY15*VLOOKUP('Données projet'!$B$12,Paramètres!$A$1:$I$89,3,0)*VLOOKUP('Données projet'!$B$12,Paramètres!$A$1:$I$89,5,0)</f>
        <v>42.535958400000005</v>
      </c>
      <c r="CA15" s="14">
        <f t="shared" si="39"/>
        <v>12.668379450525292</v>
      </c>
      <c r="CB15" s="22">
        <f t="shared" si="10"/>
        <v>96.147555089664891</v>
      </c>
      <c r="CC15" s="62">
        <f t="shared" si="11"/>
        <v>293.17733254239778</v>
      </c>
      <c r="CD15" s="62">
        <f ca="1">AVERAGE(OFFSET($CC$3,0,0,'Données projet'!$E$12+1,1))-AVERAGE(OFFSET($H$3,0,0,'Données projet'!$E$12+1,1))</f>
        <v>86.882151759063618</v>
      </c>
      <c r="CE15" s="62">
        <f t="shared" si="40"/>
        <v>324.50087615827215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126.48</v>
      </c>
      <c r="L16" s="13">
        <f>VLOOKUP(A16,'Données projet'!$A$35:$I$55,9,0)</f>
        <v>32.64</v>
      </c>
      <c r="M16" s="13">
        <f t="array" ref="M16">INDEX(L:L,MIN(IF(ISNUMBER(L16:L212),ROW(L16:L212),"")))</f>
        <v>32.64</v>
      </c>
      <c r="N16" s="14">
        <f>IF('Données projet'!$A$36&gt;35,N15+M16-V15,IF(A16&lt;'Données projet'!$A$36,$K$205^A16,IF(A16='Données projet'!$A$36,'Données projet'!$B$36,N15+M16-V15)))</f>
        <v>126.48</v>
      </c>
      <c r="O16" s="14">
        <f>N16*VLOOKUP('Données projet'!$B$9,Paramètres!$A$1:$I$89,3,0)*VLOOKUP('Données projet'!$B$9,Paramètres!$A$1:$I$89,5,0)</f>
        <v>64.322668800000002</v>
      </c>
      <c r="P16" s="14">
        <f t="shared" si="33"/>
        <v>18.256711140939668</v>
      </c>
      <c r="Q16" s="22">
        <f t="shared" si="2"/>
        <v>143.82575339713659</v>
      </c>
      <c r="R16" s="62">
        <f t="shared" si="0"/>
        <v>343.36675364875543</v>
      </c>
      <c r="S16" s="62">
        <f ca="1">AVERAGE(OFFSET($R$3,0,0,'Données projet'!$E$9+1,1))-AVERAGE(OFFSET($H$3,0,0,'Données projet'!$E$9+1,1))</f>
        <v>103.47556287227775</v>
      </c>
      <c r="T16" s="62">
        <f t="shared" si="34"/>
        <v>428.60115421158082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118.32</v>
      </c>
      <c r="AG16" s="13">
        <f>VLOOKUP(A16,'Données projet'!$A$61:$I$81,9,0)</f>
        <v>12.239999999999995</v>
      </c>
      <c r="AH16" s="13">
        <f t="array" ref="AH16">INDEX(AG:AG,MIN(IF(ISNUMBER(AG16:AG212),ROW(AG16:AG212),"")))</f>
        <v>12.239999999999995</v>
      </c>
      <c r="AI16" s="14">
        <f>IF('Données projet'!$A$62&gt;35,AI15+AH16-AQ15,IF(A16&lt;'Données projet'!$A$62,$AF$205^A16,IF(A16='Données projet'!$A$62,'Données projet'!$B$62,AI15+AH16-AQ15)))</f>
        <v>118.32</v>
      </c>
      <c r="AJ16" s="14">
        <f>AI16*VLOOKUP('Données projet'!$B$10,Paramètres!$A$1:$I$89,3,0)*VLOOKUP('Données projet'!$B$10,Paramètres!$A$1:$I$89,5,0)</f>
        <v>60.172819199999999</v>
      </c>
      <c r="AK16" s="14">
        <f t="shared" si="35"/>
        <v>17.21195581165048</v>
      </c>
      <c r="AL16" s="22">
        <f t="shared" si="4"/>
        <v>134.77848314529123</v>
      </c>
      <c r="AM16" s="62">
        <f t="shared" si="5"/>
        <v>334.31948339691007</v>
      </c>
      <c r="AN16" s="62">
        <f ca="1">AVERAGE(OFFSET($AM$3,0,0,'Données projet'!$E$10+1,1))-AVERAGE(OFFSET($H$3,0,0,'Données projet'!$E$10+1,1))</f>
        <v>80.374567532152696</v>
      </c>
      <c r="AO16" s="62">
        <f t="shared" si="36"/>
        <v>206.07482413353287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75.48</v>
      </c>
      <c r="BB16" s="13">
        <f>VLOOKUP(A16,'Données projet'!$A$87:$I$107,9,0)</f>
        <v>20.400000000000006</v>
      </c>
      <c r="BC16" s="13">
        <f t="array" ref="BC16">INDEX(BB:BB,MIN(IF(ISNUMBER(BB16:BB212),ROW(BB16:BB212),"")))</f>
        <v>20.400000000000006</v>
      </c>
      <c r="BD16" s="13">
        <f>IF('Données projet'!$A$88&gt;35,BD15+BC16-BL15,IF(A16&lt;'Données projet'!$A$88,$BA$205^A16,IF(A16='Données projet'!$A$88,'Données projet'!$B$88,BD15+BC16-BL15)))</f>
        <v>75.48</v>
      </c>
      <c r="BE16" s="14">
        <f>BD16*VLOOKUP('Données projet'!$B$11,Paramètres!$A$1:$I$89,3,0)*VLOOKUP('Données projet'!$B$11,Paramètres!$A$1:$I$89,5,0)</f>
        <v>38.621606400000005</v>
      </c>
      <c r="BF16" s="14">
        <f t="shared" si="37"/>
        <v>11.632561240896035</v>
      </c>
      <c r="BG16" s="22">
        <f t="shared" si="7"/>
        <v>87.526008641227278</v>
      </c>
      <c r="BH16" s="62">
        <f t="shared" si="8"/>
        <v>287.0670088928461</v>
      </c>
      <c r="BI16" s="62">
        <f ca="1">AVERAGE(OFFSET($BH$3,0,0,'Données projet'!$E$11+1,1))-AVERAGE(OFFSET($H$3,0,0,'Données projet'!$E$11+1,1))</f>
        <v>60.405981172366637</v>
      </c>
      <c r="BJ16" s="62">
        <f t="shared" si="38"/>
        <v>231.98338207539112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>
        <f>VLOOKUP(A16,'Données projet'!$A$113:$I$133,2,0)</f>
        <v>114.24</v>
      </c>
      <c r="BW16" s="13">
        <f>VLOOKUP(A16,'Données projet'!$A$113:$I$133,9,0)</f>
        <v>30.599999999999994</v>
      </c>
      <c r="BX16" s="13">
        <f t="array" ref="BX16">INDEX(BW:BW,MIN(IF(ISNUMBER(BW16:BW212),ROW(BW16:BW212),"")))</f>
        <v>30.599999999999994</v>
      </c>
      <c r="BY16" s="13">
        <f>IF('Données projet'!$A$114&gt;35,BY15+BX16-CG15,IF(A16&lt;'Données projet'!$A$114,$BV$205^A16,IF(A16='Données projet'!$A$114,'Données projet'!$B$114,BY15+BX16-CG15)))</f>
        <v>114.24</v>
      </c>
      <c r="BZ16" s="14">
        <f>BY16*VLOOKUP('Données projet'!$B$12,Paramètres!$A$1:$I$89,3,0)*VLOOKUP('Données projet'!$B$12,Paramètres!$A$1:$I$89,5,0)</f>
        <v>58.097894400000008</v>
      </c>
      <c r="CA16" s="14">
        <f t="shared" si="39"/>
        <v>16.686459088383387</v>
      </c>
      <c r="CB16" s="22">
        <f t="shared" si="10"/>
        <v>130.2494156589344</v>
      </c>
      <c r="CC16" s="62">
        <f t="shared" si="11"/>
        <v>329.79041591055318</v>
      </c>
      <c r="CD16" s="62">
        <f ca="1">AVERAGE(OFFSET($CC$3,0,0,'Données projet'!$E$12+1,1))-AVERAGE(OFFSET($H$3,0,0,'Données projet'!$E$12+1,1))</f>
        <v>86.882151759063618</v>
      </c>
      <c r="CE16" s="62">
        <f t="shared" si="40"/>
        <v>324.50087615827215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165.24</v>
      </c>
      <c r="L17" s="13">
        <f>VLOOKUP(A17,'Données projet'!$A$35:$I$55,9,0)</f>
        <v>38.760000000000005</v>
      </c>
      <c r="M17" s="13">
        <f t="array" ref="M17">INDEX(L:L,MIN(IF(ISNUMBER(L17:L213),ROW(L17:L213),"")))</f>
        <v>38.760000000000005</v>
      </c>
      <c r="N17" s="14">
        <f>IF('Données projet'!$A$36&gt;35,N16+M17-V16,IF(A17&lt;'Données projet'!$A$36,$K$205^A17,IF(A17='Données projet'!$A$36,'Données projet'!$B$36,N16+M17-V16)))</f>
        <v>165.24</v>
      </c>
      <c r="O17" s="14">
        <f>N17*VLOOKUP('Données projet'!$B$9,Paramètres!$A$1:$I$89,3,0)*VLOOKUP('Données projet'!$B$9,Paramètres!$A$1:$I$89,5,0)</f>
        <v>84.034454400000016</v>
      </c>
      <c r="P17" s="14">
        <f t="shared" si="33"/>
        <v>23.120786852180391</v>
      </c>
      <c r="Q17" s="22">
        <f t="shared" si="2"/>
        <v>186.62871184754752</v>
      </c>
      <c r="R17" s="62">
        <f t="shared" si="0"/>
        <v>388.65857361982069</v>
      </c>
      <c r="S17" s="62">
        <f ca="1">AVERAGE(OFFSET($R$3,0,0,'Données projet'!$E$9+1,1))-AVERAGE(OFFSET($H$3,0,0,'Données projet'!$E$9+1,1))</f>
        <v>103.47556287227775</v>
      </c>
      <c r="T17" s="62">
        <f t="shared" si="34"/>
        <v>428.60115421158082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130.56</v>
      </c>
      <c r="AG17" s="13">
        <f>VLOOKUP(A17,'Données projet'!$A$61:$I$81,9,0)</f>
        <v>12.240000000000009</v>
      </c>
      <c r="AH17" s="13">
        <f t="array" ref="AH17">INDEX(AG:AG,MIN(IF(ISNUMBER(AG17:AG213),ROW(AG17:AG213),"")))</f>
        <v>12.240000000000009</v>
      </c>
      <c r="AI17" s="14">
        <f>IF('Données projet'!$A$62&gt;35,AI16+AH17-AQ16,IF(A17&lt;'Données projet'!$A$62,$AF$205^A17,IF(A17='Données projet'!$A$62,'Données projet'!$B$62,AI16+AH17-AQ16)))</f>
        <v>130.56</v>
      </c>
      <c r="AJ17" s="14">
        <f>AI17*VLOOKUP('Données projet'!$B$10,Paramètres!$A$1:$I$89,3,0)*VLOOKUP('Données projet'!$B$10,Paramètres!$A$1:$I$89,5,0)</f>
        <v>66.397593600000008</v>
      </c>
      <c r="AK17" s="14">
        <f t="shared" si="35"/>
        <v>18.776120870197634</v>
      </c>
      <c r="AL17" s="22">
        <f t="shared" si="4"/>
        <v>148.34421936892755</v>
      </c>
      <c r="AM17" s="62">
        <f t="shared" si="5"/>
        <v>350.37408114120075</v>
      </c>
      <c r="AN17" s="62">
        <f ca="1">AVERAGE(OFFSET($AM$3,0,0,'Données projet'!$E$10+1,1))-AVERAGE(OFFSET($H$3,0,0,'Données projet'!$E$10+1,1))</f>
        <v>80.374567532152696</v>
      </c>
      <c r="AO17" s="62">
        <f t="shared" si="36"/>
        <v>206.07482413353287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>
        <f>VLOOKUP(A17,'Données projet'!$A$87:$I$107,2,0)</f>
        <v>95.88</v>
      </c>
      <c r="BB17" s="13">
        <f>VLOOKUP(A17,'Données projet'!$A$87:$I$107,9,0)</f>
        <v>20.399999999999991</v>
      </c>
      <c r="BC17" s="13">
        <f t="array" ref="BC17">INDEX(BB:BB,MIN(IF(ISNUMBER(BB17:BB213),ROW(BB17:BB213),"")))</f>
        <v>20.399999999999991</v>
      </c>
      <c r="BD17" s="13">
        <f>IF('Données projet'!$A$88&gt;35,BD16+BC17-BL16,IF(A17&lt;'Données projet'!$A$88,$BA$205^A17,IF(A17='Données projet'!$A$88,'Données projet'!$B$88,BD16+BC17-BL16)))</f>
        <v>95.88</v>
      </c>
      <c r="BE17" s="14">
        <f>BD17*VLOOKUP('Données projet'!$B$11,Paramètres!$A$1:$I$89,3,0)*VLOOKUP('Données projet'!$B$11,Paramètres!$A$1:$I$89,5,0)</f>
        <v>49.059878400000002</v>
      </c>
      <c r="BF17" s="14">
        <f t="shared" si="37"/>
        <v>14.370701596853698</v>
      </c>
      <c r="BG17" s="22">
        <f t="shared" si="7"/>
        <v>110.47492682785354</v>
      </c>
      <c r="BH17" s="62">
        <f t="shared" si="8"/>
        <v>312.50478860012674</v>
      </c>
      <c r="BI17" s="62">
        <f ca="1">AVERAGE(OFFSET($BH$3,0,0,'Données projet'!$E$11+1,1))-AVERAGE(OFFSET($H$3,0,0,'Données projet'!$E$11+1,1))</f>
        <v>60.405981172366637</v>
      </c>
      <c r="BJ17" s="62">
        <f t="shared" si="38"/>
        <v>231.98338207539112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>
        <f>VLOOKUP(A17,'Données projet'!$A$113:$I$133,2,0)</f>
        <v>144.84</v>
      </c>
      <c r="BW17" s="13">
        <f>VLOOKUP(A17,'Données projet'!$A$113:$I$133,9,0)</f>
        <v>30.600000000000009</v>
      </c>
      <c r="BX17" s="13">
        <f t="array" ref="BX17">INDEX(BW:BW,MIN(IF(ISNUMBER(BW17:BW213),ROW(BW17:BW213),"")))</f>
        <v>30.600000000000009</v>
      </c>
      <c r="BY17" s="13">
        <f>IF('Données projet'!$A$114&gt;35,BY16+BX17-CG16,IF(A17&lt;'Données projet'!$A$114,$BV$205^A17,IF(A17='Données projet'!$A$114,'Données projet'!$B$114,BY16+BX17-CG16)))</f>
        <v>144.84</v>
      </c>
      <c r="BZ17" s="14">
        <f>BY17*VLOOKUP('Données projet'!$B$12,Paramètres!$A$1:$I$89,3,0)*VLOOKUP('Données projet'!$B$12,Paramètres!$A$1:$I$89,5,0)</f>
        <v>73.659830400000004</v>
      </c>
      <c r="CA17" s="14">
        <f t="shared" si="39"/>
        <v>20.579609241023473</v>
      </c>
      <c r="CB17" s="22">
        <f t="shared" si="10"/>
        <v>164.13369070811589</v>
      </c>
      <c r="CC17" s="62">
        <f t="shared" si="11"/>
        <v>366.16355248038906</v>
      </c>
      <c r="CD17" s="62">
        <f ca="1">AVERAGE(OFFSET($CC$3,0,0,'Données projet'!$E$12+1,1))-AVERAGE(OFFSET($H$3,0,0,'Données projet'!$E$12+1,1))</f>
        <v>86.882151759063618</v>
      </c>
      <c r="CE17" s="62">
        <f t="shared" si="40"/>
        <v>324.50087615827215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210.12</v>
      </c>
      <c r="L18" s="13">
        <f>VLOOKUP(A18,'Données projet'!$A$35:$I$55,9,0)</f>
        <v>44.879999999999995</v>
      </c>
      <c r="M18" s="13">
        <f t="array" ref="M18">INDEX(L:L,MIN(IF(ISNUMBER(L18:L214),ROW(L18:L214),"")))</f>
        <v>44.879999999999995</v>
      </c>
      <c r="N18" s="14">
        <f>IF('Données projet'!$A$36&gt;35,N17+M18-V17,IF(A18&lt;'Données projet'!$A$36,$K$205^A18,IF(A18='Données projet'!$A$36,'Données projet'!$B$36,N17+M18-V17)))</f>
        <v>210.12</v>
      </c>
      <c r="O18" s="14">
        <f>N18*VLOOKUP('Données projet'!$B$9,Paramètres!$A$1:$I$89,3,0)*VLOOKUP('Données projet'!$B$9,Paramètres!$A$1:$I$89,5,0)</f>
        <v>106.85862720000002</v>
      </c>
      <c r="P18" s="14">
        <f t="shared" si="33"/>
        <v>28.589609212272851</v>
      </c>
      <c r="Q18" s="22">
        <f t="shared" si="2"/>
        <v>235.9056784180419</v>
      </c>
      <c r="R18" s="62">
        <f t="shared" si="0"/>
        <v>440.40242835092295</v>
      </c>
      <c r="S18" s="62">
        <f ca="1">AVERAGE(OFFSET($R$3,0,0,'Données projet'!$E$9+1,1))-AVERAGE(OFFSET($H$3,0,0,'Données projet'!$E$9+1,1))</f>
        <v>103.47556287227775</v>
      </c>
      <c r="T18" s="62">
        <f t="shared" si="34"/>
        <v>428.60115421158082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138.72</v>
      </c>
      <c r="AG18" s="13">
        <f>VLOOKUP(A18,'Données projet'!$A$61:$I$81,9,0)</f>
        <v>8.1599999999999966</v>
      </c>
      <c r="AH18" s="13">
        <f t="array" ref="AH18">INDEX(AG:AG,MIN(IF(ISNUMBER(AG18:AG214),ROW(AG18:AG214),"")))</f>
        <v>8.1599999999999966</v>
      </c>
      <c r="AI18" s="14">
        <f>IF('Données projet'!$A$62&gt;35,AI17+AH18-AQ17,IF(A18&lt;'Données projet'!$A$62,$AF$205^A18,IF(A18='Données projet'!$A$62,'Données projet'!$B$62,AI17+AH18-AQ17)))</f>
        <v>138.72</v>
      </c>
      <c r="AJ18" s="14">
        <f>AI18*VLOOKUP('Données projet'!$B$10,Paramètres!$A$1:$I$89,3,0)*VLOOKUP('Données projet'!$B$10,Paramètres!$A$1:$I$89,5,0)</f>
        <v>70.547443200000004</v>
      </c>
      <c r="AK18" s="14">
        <f t="shared" si="35"/>
        <v>19.809345312870903</v>
      </c>
      <c r="AL18" s="22">
        <f t="shared" si="4"/>
        <v>157.37140665991683</v>
      </c>
      <c r="AM18" s="62">
        <f t="shared" si="5"/>
        <v>361.86815659279785</v>
      </c>
      <c r="AN18" s="62">
        <f ca="1">AVERAGE(OFFSET($AM$3,0,0,'Données projet'!$E$10+1,1))-AVERAGE(OFFSET($H$3,0,0,'Données projet'!$E$10+1,1))</f>
        <v>80.374567532152696</v>
      </c>
      <c r="AO18" s="62">
        <f t="shared" si="36"/>
        <v>206.07482413353287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116.28</v>
      </c>
      <c r="BB18" s="13">
        <f>VLOOKUP(A18,'Données projet'!$A$87:$I$107,9,0)</f>
        <v>20.400000000000006</v>
      </c>
      <c r="BC18" s="13">
        <f t="array" ref="BC18">INDEX(BB:BB,MIN(IF(ISNUMBER(BB18:BB214),ROW(BB18:BB214),"")))</f>
        <v>20.400000000000006</v>
      </c>
      <c r="BD18" s="13">
        <f>IF('Données projet'!$A$88&gt;35,BD17+BC18-BL17,IF(A18&lt;'Données projet'!$A$88,$BA$205^A18,IF(A18='Données projet'!$A$88,'Données projet'!$B$88,BD17+BC18-BL17)))</f>
        <v>116.28</v>
      </c>
      <c r="BE18" s="14">
        <f>BD18*VLOOKUP('Données projet'!$B$11,Paramètres!$A$1:$I$89,3,0)*VLOOKUP('Données projet'!$B$11,Paramètres!$A$1:$I$89,5,0)</f>
        <v>59.4981504</v>
      </c>
      <c r="BF18" s="14">
        <f t="shared" si="37"/>
        <v>17.041323728928315</v>
      </c>
      <c r="BG18" s="22">
        <f t="shared" si="7"/>
        <v>133.30625077455014</v>
      </c>
      <c r="BH18" s="62">
        <f t="shared" si="8"/>
        <v>337.80300070743118</v>
      </c>
      <c r="BI18" s="62">
        <f ca="1">AVERAGE(OFFSET($BH$3,0,0,'Données projet'!$E$11+1,1))-AVERAGE(OFFSET($H$3,0,0,'Données projet'!$E$11+1,1))</f>
        <v>60.405981172366637</v>
      </c>
      <c r="BJ18" s="62">
        <f t="shared" si="38"/>
        <v>231.98338207539112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175.44</v>
      </c>
      <c r="BW18" s="13">
        <f>VLOOKUP(A18,'Données projet'!$A$113:$I$133,9,0)</f>
        <v>30.599999999999994</v>
      </c>
      <c r="BX18" s="13">
        <f t="array" ref="BX18">INDEX(BW:BW,MIN(IF(ISNUMBER(BW18:BW214),ROW(BW18:BW214),"")))</f>
        <v>30.599999999999994</v>
      </c>
      <c r="BY18" s="13">
        <f>IF('Données projet'!$A$114&gt;35,BY17+BX18-CG17,IF(A18&lt;'Données projet'!$A$114,$BV$205^A18,IF(A18='Données projet'!$A$114,'Données projet'!$B$114,BY17+BX18-CG17)))</f>
        <v>175.44</v>
      </c>
      <c r="BZ18" s="14">
        <f>BY18*VLOOKUP('Données projet'!$B$12,Paramètres!$A$1:$I$89,3,0)*VLOOKUP('Données projet'!$B$12,Paramètres!$A$1:$I$89,5,0)</f>
        <v>89.221766400000007</v>
      </c>
      <c r="CA18" s="14">
        <f t="shared" si="39"/>
        <v>24.377439027018507</v>
      </c>
      <c r="CB18" s="22">
        <f t="shared" si="10"/>
        <v>197.85194945205726</v>
      </c>
      <c r="CC18" s="62">
        <f t="shared" si="11"/>
        <v>402.3486993849383</v>
      </c>
      <c r="CD18" s="62">
        <f ca="1">AVERAGE(OFFSET($CC$3,0,0,'Données projet'!$E$12+1,1))-AVERAGE(OFFSET($H$3,0,0,'Données projet'!$E$12+1,1))</f>
        <v>86.882151759063618</v>
      </c>
      <c r="CE18" s="62">
        <f t="shared" si="40"/>
        <v>324.50087615827215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257.04000000000002</v>
      </c>
      <c r="L19" s="13">
        <f>VLOOKUP(A19,'Données projet'!$A$35:$I$55,9,0)</f>
        <v>46.920000000000016</v>
      </c>
      <c r="M19" s="13">
        <f t="array" ref="M19">INDEX(L:L,MIN(IF(ISNUMBER(L19:L215),ROW(L19:L215),"")))</f>
        <v>46.920000000000016</v>
      </c>
      <c r="N19" s="14">
        <f>IF('Données projet'!$A$36&gt;35,N18+M19-V18,IF(A19&lt;'Données projet'!$A$36,$K$205^A19,IF(A19='Données projet'!$A$36,'Données projet'!$B$36,N18+M19-V18)))</f>
        <v>257.04000000000002</v>
      </c>
      <c r="O19" s="14">
        <f>N19*VLOOKUP('Données projet'!$B$9,Paramètres!$A$1:$I$89,3,0)*VLOOKUP('Données projet'!$B$9,Paramètres!$A$1:$I$89,5,0)</f>
        <v>130.72026240000002</v>
      </c>
      <c r="P19" s="14">
        <f t="shared" si="33"/>
        <v>34.162737269069183</v>
      </c>
      <c r="Q19" s="22">
        <f t="shared" si="2"/>
        <v>287.17122442362881</v>
      </c>
      <c r="R19" s="62">
        <f t="shared" si="0"/>
        <v>494.11327034574288</v>
      </c>
      <c r="S19" s="62">
        <f ca="1">AVERAGE(OFFSET($R$3,0,0,'Données projet'!$E$9+1,1))-AVERAGE(OFFSET($H$3,0,0,'Données projet'!$E$9+1,1))</f>
        <v>103.47556287227775</v>
      </c>
      <c r="T19" s="62">
        <f t="shared" si="34"/>
        <v>428.60115421158082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146.88</v>
      </c>
      <c r="AG19" s="13">
        <f>VLOOKUP(A19,'Données projet'!$A$61:$I$81,9,0)</f>
        <v>8.1599999999999966</v>
      </c>
      <c r="AH19" s="13">
        <f t="array" ref="AH19">INDEX(AG:AG,MIN(IF(ISNUMBER(AG19:AG215),ROW(AG19:AG215),"")))</f>
        <v>8.1599999999999966</v>
      </c>
      <c r="AI19" s="14">
        <f>IF('Données projet'!$A$62&gt;35,AI18+AH19-AQ18,IF(A19&lt;'Données projet'!$A$62,$AF$205^A19,IF(A19='Données projet'!$A$62,'Données projet'!$B$62,AI18+AH19-AQ18)))</f>
        <v>146.88</v>
      </c>
      <c r="AJ19" s="14">
        <f>AI19*VLOOKUP('Données projet'!$B$10,Paramètres!$A$1:$I$89,3,0)*VLOOKUP('Données projet'!$B$10,Paramètres!$A$1:$I$89,5,0)</f>
        <v>74.6972928</v>
      </c>
      <c r="AK19" s="14">
        <f t="shared" si="35"/>
        <v>20.835515077641233</v>
      </c>
      <c r="AL19" s="22">
        <f t="shared" si="4"/>
        <v>166.38630705355848</v>
      </c>
      <c r="AM19" s="62">
        <f t="shared" si="5"/>
        <v>373.32835297567254</v>
      </c>
      <c r="AN19" s="62">
        <f ca="1">AVERAGE(OFFSET($AM$3,0,0,'Données projet'!$E$10+1,1))-AVERAGE(OFFSET($H$3,0,0,'Données projet'!$E$10+1,1))</f>
        <v>80.374567532152696</v>
      </c>
      <c r="AO19" s="62">
        <f t="shared" si="36"/>
        <v>206.07482413353287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136.68</v>
      </c>
      <c r="BB19" s="13">
        <f>VLOOKUP(A19,'Données projet'!$A$87:$I$107,9,0)</f>
        <v>20.400000000000006</v>
      </c>
      <c r="BC19" s="13">
        <f t="array" ref="BC19">INDEX(BB:BB,MIN(IF(ISNUMBER(BB19:BB215),ROW(BB19:BB215),"")))</f>
        <v>20.400000000000006</v>
      </c>
      <c r="BD19" s="13">
        <f>IF('Données projet'!$A$88&gt;35,BD18+BC19-BL18,IF(A19&lt;'Données projet'!$A$88,$BA$205^A19,IF(A19='Données projet'!$A$88,'Données projet'!$B$88,BD18+BC19-BL18)))</f>
        <v>136.68</v>
      </c>
      <c r="BE19" s="14">
        <f>BD19*VLOOKUP('Données projet'!$B$11,Paramètres!$A$1:$I$89,3,0)*VLOOKUP('Données projet'!$B$11,Paramètres!$A$1:$I$89,5,0)</f>
        <v>69.936422399999998</v>
      </c>
      <c r="BF19" s="14">
        <f t="shared" si="37"/>
        <v>19.65766817767366</v>
      </c>
      <c r="BG19" s="22">
        <f t="shared" si="7"/>
        <v>156.04304108944828</v>
      </c>
      <c r="BH19" s="62">
        <f t="shared" si="8"/>
        <v>362.98508701156231</v>
      </c>
      <c r="BI19" s="62">
        <f ca="1">AVERAGE(OFFSET($BH$3,0,0,'Données projet'!$E$11+1,1))-AVERAGE(OFFSET($H$3,0,0,'Données projet'!$E$11+1,1))</f>
        <v>60.405981172366637</v>
      </c>
      <c r="BJ19" s="62">
        <f t="shared" si="38"/>
        <v>231.98338207539112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>
        <f>VLOOKUP(A19,'Données projet'!$A$113:$I$133,2,0)</f>
        <v>206.04</v>
      </c>
      <c r="BW19" s="13">
        <f>VLOOKUP(A19,'Données projet'!$A$113:$I$133,9,0)</f>
        <v>30.599999999999994</v>
      </c>
      <c r="BX19" s="13">
        <f t="array" ref="BX19">INDEX(BW:BW,MIN(IF(ISNUMBER(BW19:BW215),ROW(BW19:BW215),"")))</f>
        <v>30.599999999999994</v>
      </c>
      <c r="BY19" s="13">
        <f>IF('Données projet'!$A$114&gt;35,BY18+BX19-CG18,IF(A19&lt;'Données projet'!$A$114,$BV$205^A19,IF(A19='Données projet'!$A$114,'Données projet'!$B$114,BY18+BX19-CG18)))</f>
        <v>206.04</v>
      </c>
      <c r="BZ19" s="14">
        <f>BY19*VLOOKUP('Données projet'!$B$12,Paramètres!$A$1:$I$89,3,0)*VLOOKUP('Données projet'!$B$12,Paramètres!$A$1:$I$89,5,0)</f>
        <v>104.7837024</v>
      </c>
      <c r="CA19" s="14">
        <f t="shared" si="39"/>
        <v>28.098530855099256</v>
      </c>
      <c r="CB19" s="22">
        <f t="shared" si="10"/>
        <v>231.43655625263122</v>
      </c>
      <c r="CC19" s="62">
        <f t="shared" si="11"/>
        <v>438.37860217474531</v>
      </c>
      <c r="CD19" s="62">
        <f ca="1">AVERAGE(OFFSET($CC$3,0,0,'Données projet'!$E$12+1,1))-AVERAGE(OFFSET($H$3,0,0,'Données projet'!$E$12+1,1))</f>
        <v>86.882151759063618</v>
      </c>
      <c r="CE19" s="62">
        <f t="shared" si="40"/>
        <v>324.50087615827215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306</v>
      </c>
      <c r="L20" s="13">
        <f>VLOOKUP(A20,'Données projet'!$A$35:$I$55,9,0)</f>
        <v>48.95999999999998</v>
      </c>
      <c r="M20" s="13">
        <f t="array" ref="M20">INDEX(L:L,MIN(IF(ISNUMBER(L20:L216),ROW(L20:L216),"")))</f>
        <v>48.95999999999998</v>
      </c>
      <c r="N20" s="14">
        <f>IF('Données projet'!$A$36&gt;35,N19+M20-V19,IF(A20&lt;'Données projet'!$A$36,$K$205^A20,IF(A20='Données projet'!$A$36,'Données projet'!$B$36,N19+M20-V19)))</f>
        <v>306</v>
      </c>
      <c r="O20" s="14">
        <f>N20*VLOOKUP('Données projet'!$B$9,Paramètres!$A$1:$I$89,3,0)*VLOOKUP('Données projet'!$B$9,Paramètres!$A$1:$I$89,5,0)</f>
        <v>155.61936</v>
      </c>
      <c r="P20" s="14">
        <f t="shared" si="33"/>
        <v>39.852859108234355</v>
      </c>
      <c r="Q20" s="22">
        <f t="shared" si="2"/>
        <v>340.4474482801748</v>
      </c>
      <c r="R20" s="62">
        <f t="shared" si="0"/>
        <v>549.81357259604749</v>
      </c>
      <c r="S20" s="62">
        <f ca="1">AVERAGE(OFFSET($R$3,0,0,'Données projet'!$E$9+1,1))-AVERAGE(OFFSET($H$3,0,0,'Données projet'!$E$9+1,1))</f>
        <v>103.47556287227775</v>
      </c>
      <c r="T20" s="62">
        <f t="shared" si="34"/>
        <v>428.60115421158082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153</v>
      </c>
      <c r="AG20" s="13">
        <f>VLOOKUP(A20,'Données projet'!$A$61:$I$81,9,0)</f>
        <v>6.1200000000000045</v>
      </c>
      <c r="AH20" s="13">
        <f t="array" ref="AH20">INDEX(AG:AG,MIN(IF(ISNUMBER(AG20:AG216),ROW(AG20:AG216),"")))</f>
        <v>6.1200000000000045</v>
      </c>
      <c r="AI20" s="14">
        <f>IF('Données projet'!$A$62&gt;35,AI19+AH20-AQ19,IF(A20&lt;'Données projet'!$A$62,$AF$205^A20,IF(A20='Données projet'!$A$62,'Données projet'!$B$62,AI19+AH20-AQ19)))</f>
        <v>153</v>
      </c>
      <c r="AJ20" s="14">
        <f>AI20*VLOOKUP('Données projet'!$B$10,Paramètres!$A$1:$I$89,3,0)*VLOOKUP('Données projet'!$B$10,Paramètres!$A$1:$I$89,5,0)</f>
        <v>77.80968</v>
      </c>
      <c r="AK20" s="14">
        <f t="shared" si="35"/>
        <v>21.600777311280577</v>
      </c>
      <c r="AL20" s="22">
        <f t="shared" si="4"/>
        <v>173.13987981714698</v>
      </c>
      <c r="AM20" s="62">
        <f t="shared" si="5"/>
        <v>382.5060041330197</v>
      </c>
      <c r="AN20" s="62">
        <f ca="1">AVERAGE(OFFSET($AM$3,0,0,'Données projet'!$E$10+1,1))-AVERAGE(OFFSET($H$3,0,0,'Données projet'!$E$10+1,1))</f>
        <v>80.374567532152696</v>
      </c>
      <c r="AO20" s="62">
        <f t="shared" si="36"/>
        <v>206.07482413353287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159.12</v>
      </c>
      <c r="BB20" s="13">
        <f>VLOOKUP(A20,'Données projet'!$A$87:$I$107,9,0)</f>
        <v>22.439999999999998</v>
      </c>
      <c r="BC20" s="13">
        <f t="array" ref="BC20">INDEX(BB:BB,MIN(IF(ISNUMBER(BB20:BB216),ROW(BB20:BB216),"")))</f>
        <v>22.439999999999998</v>
      </c>
      <c r="BD20" s="13">
        <f>IF('Données projet'!$A$88&gt;35,BD19+BC20-BL19,IF(A20&lt;'Données projet'!$A$88,$BA$205^A20,IF(A20='Données projet'!$A$88,'Données projet'!$B$88,BD19+BC20-BL19)))</f>
        <v>159.12</v>
      </c>
      <c r="BE20" s="14">
        <f>BD20*VLOOKUP('Données projet'!$B$11,Paramètres!$A$1:$I$89,3,0)*VLOOKUP('Données projet'!$B$11,Paramètres!$A$1:$I$89,5,0)</f>
        <v>81.418521600000005</v>
      </c>
      <c r="BF20" s="14">
        <f t="shared" si="37"/>
        <v>22.483664448387337</v>
      </c>
      <c r="BG20" s="22">
        <f t="shared" si="7"/>
        <v>180.96297403427459</v>
      </c>
      <c r="BH20" s="62">
        <f t="shared" si="8"/>
        <v>390.32909835014732</v>
      </c>
      <c r="BI20" s="62">
        <f ca="1">AVERAGE(OFFSET($BH$3,0,0,'Données projet'!$E$11+1,1))-AVERAGE(OFFSET($H$3,0,0,'Données projet'!$E$11+1,1))</f>
        <v>60.405981172366637</v>
      </c>
      <c r="BJ20" s="62">
        <f t="shared" si="38"/>
        <v>231.98338207539112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>
        <f>VLOOKUP(A20,'Données projet'!$A$113:$I$133,2,0)</f>
        <v>236.64</v>
      </c>
      <c r="BW20" s="13">
        <f>VLOOKUP(A20,'Données projet'!$A$113:$I$133,9,0)</f>
        <v>30.599999999999994</v>
      </c>
      <c r="BX20" s="13">
        <f t="array" ref="BX20">INDEX(BW:BW,MIN(IF(ISNUMBER(BW20:BW216),ROW(BW20:BW216),"")))</f>
        <v>30.599999999999994</v>
      </c>
      <c r="BY20" s="13">
        <f>IF('Données projet'!$A$114&gt;35,BY19+BX20-CG19,IF(A20&lt;'Données projet'!$A$114,$BV$205^A20,IF(A20='Données projet'!$A$114,'Données projet'!$B$114,BY19+BX20-CG19)))</f>
        <v>236.64</v>
      </c>
      <c r="BZ20" s="14">
        <f>BY20*VLOOKUP('Données projet'!$B$12,Paramètres!$A$1:$I$89,3,0)*VLOOKUP('Données projet'!$B$12,Paramètres!$A$1:$I$89,5,0)</f>
        <v>120.3456384</v>
      </c>
      <c r="CA20" s="14">
        <f t="shared" si="39"/>
        <v>31.755600275580854</v>
      </c>
      <c r="CB20" s="22">
        <f t="shared" si="10"/>
        <v>264.90965735996997</v>
      </c>
      <c r="CC20" s="62">
        <f t="shared" si="11"/>
        <v>474.27578167584272</v>
      </c>
      <c r="CD20" s="62">
        <f ca="1">AVERAGE(OFFSET($CC$3,0,0,'Données projet'!$E$12+1,1))-AVERAGE(OFFSET($H$3,0,0,'Données projet'!$E$12+1,1))</f>
        <v>86.882151759063618</v>
      </c>
      <c r="CE20" s="62">
        <f t="shared" si="40"/>
        <v>324.50087615827215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361.08</v>
      </c>
      <c r="L21" s="13">
        <f>VLOOKUP(A21,'Données projet'!$A$35:$I$55,9,0)</f>
        <v>55.079999999999984</v>
      </c>
      <c r="M21" s="13">
        <f t="array" ref="M21">INDEX(L:L,MIN(IF(ISNUMBER(L21:L217),ROW(L21:L217),"")))</f>
        <v>55.079999999999984</v>
      </c>
      <c r="N21" s="14">
        <f>IF('Données projet'!$A$36&gt;35,N20+M21-V20,IF(A21&lt;'Données projet'!$A$36,$K$205^A21,IF(A21='Données projet'!$A$36,'Données projet'!$B$36,N20+M21-V20)))</f>
        <v>361.08</v>
      </c>
      <c r="O21" s="14">
        <f>N21*VLOOKUP('Données projet'!$B$9,Paramètres!$A$1:$I$89,3,0)*VLOOKUP('Données projet'!$B$9,Paramètres!$A$1:$I$89,5,0)</f>
        <v>183.63084480000001</v>
      </c>
      <c r="P21" s="14">
        <f t="shared" si="33"/>
        <v>46.129040952867605</v>
      </c>
      <c r="Q21" s="22">
        <f t="shared" si="2"/>
        <v>400.16513435291102</v>
      </c>
      <c r="R21" s="62">
        <f t="shared" si="0"/>
        <v>611.93448754491419</v>
      </c>
      <c r="S21" s="62">
        <f ca="1">AVERAGE(OFFSET($R$3,0,0,'Données projet'!$E$9+1,1))-AVERAGE(OFFSET($H$3,0,0,'Données projet'!$E$9+1,1))</f>
        <v>103.47556287227775</v>
      </c>
      <c r="T21" s="62">
        <f t="shared" si="34"/>
        <v>428.60115421158082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361.08</v>
      </c>
      <c r="W21" s="17">
        <f>IF(ISNA(VLOOKUP(A21,'Données projet'!$A$35:$I$55,5,0)),0%,VLOOKUP(A21,'Données projet'!$A$35:$I$55,5,0)*VLOOKUP('Données projet'!$B$9,Paramètres!$A$1:$I$89,7,0))</f>
        <v>0.46799999999999997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95.003279137265736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95.003279137265736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157.08000000000001</v>
      </c>
      <c r="AG21" s="13">
        <f>VLOOKUP(A21,'Données projet'!$A$61:$I$81,9,0)</f>
        <v>4.0800000000000125</v>
      </c>
      <c r="AH21" s="13">
        <f t="array" ref="AH21">INDEX(AG:AG,MIN(IF(ISNUMBER(AG21:AG217),ROW(AG21:AG217),"")))</f>
        <v>4.0800000000000125</v>
      </c>
      <c r="AI21" s="14">
        <f>IF('Données projet'!$A$62&gt;35,AI20+AH21-AQ20,IF(A21&lt;'Données projet'!$A$62,$AF$205^A21,IF(A21='Données projet'!$A$62,'Données projet'!$B$62,AI20+AH21-AQ20)))</f>
        <v>157.08000000000001</v>
      </c>
      <c r="AJ21" s="14">
        <f>AI21*VLOOKUP('Données projet'!$B$10,Paramètres!$A$1:$I$89,3,0)*VLOOKUP('Données projet'!$B$10,Paramètres!$A$1:$I$89,5,0)</f>
        <v>79.884604800000005</v>
      </c>
      <c r="AK21" s="14">
        <f t="shared" si="35"/>
        <v>22.108967032457297</v>
      </c>
      <c r="AL21" s="22">
        <f t="shared" si="4"/>
        <v>177.63880427486311</v>
      </c>
      <c r="AM21" s="62">
        <f t="shared" si="5"/>
        <v>389.40815746686621</v>
      </c>
      <c r="AN21" s="62">
        <f ca="1">AVERAGE(OFFSET($AM$3,0,0,'Données projet'!$E$10+1,1))-AVERAGE(OFFSET($H$3,0,0,'Données projet'!$E$10+1,1))</f>
        <v>80.374567532152696</v>
      </c>
      <c r="AO21" s="62">
        <f t="shared" si="36"/>
        <v>206.07482413353287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157.08000000000001</v>
      </c>
      <c r="AR21" s="17">
        <f>IF(ISNA(VLOOKUP(A21,'Données projet'!$A$61:$I$81,5,0)),0%,VLOOKUP(A21,'Données projet'!$A$61:$I$81,5,0)*VLOOKUP('Données projet'!$B$10,Paramètres!$A$1:$I$89,7,0))</f>
        <v>0.46799999999999997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41.329110133160803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41.329110133160803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179.52</v>
      </c>
      <c r="BB21" s="13">
        <f>VLOOKUP(A21,'Données projet'!$A$87:$I$107,9,0)</f>
        <v>20.400000000000006</v>
      </c>
      <c r="BC21" s="13">
        <f t="array" ref="BC21">INDEX(BB:BB,MIN(IF(ISNUMBER(BB21:BB217),ROW(BB21:BB217),"")))</f>
        <v>20.400000000000006</v>
      </c>
      <c r="BD21" s="13">
        <f>IF('Données projet'!$A$88&gt;35,BD20+BC21-BL20,IF(A21&lt;'Données projet'!$A$88,$BA$205^A21,IF(A21='Données projet'!$A$88,'Données projet'!$B$88,BD20+BC21-BL20)))</f>
        <v>179.52</v>
      </c>
      <c r="BE21" s="14">
        <f>BD21*VLOOKUP('Données projet'!$B$11,Paramètres!$A$1:$I$89,3,0)*VLOOKUP('Données projet'!$B$11,Paramètres!$A$1:$I$89,5,0)</f>
        <v>91.856793600000017</v>
      </c>
      <c r="BF21" s="14">
        <f t="shared" si="37"/>
        <v>25.012505280414192</v>
      </c>
      <c r="BG21" s="22">
        <f t="shared" si="7"/>
        <v>203.54736221672138</v>
      </c>
      <c r="BH21" s="62">
        <f t="shared" si="8"/>
        <v>415.31671540872446</v>
      </c>
      <c r="BI21" s="62">
        <f ca="1">AVERAGE(OFFSET($BH$3,0,0,'Données projet'!$E$11+1,1))-AVERAGE(OFFSET($H$3,0,0,'Données projet'!$E$11+1,1))</f>
        <v>60.405981172366637</v>
      </c>
      <c r="BJ21" s="62">
        <f t="shared" si="38"/>
        <v>231.98338207539112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179.52</v>
      </c>
      <c r="BM21" s="17">
        <f>IF(ISNA(VLOOKUP(A21,'Données projet'!$A$87:$I$107,5,0)),0%,VLOOKUP(A21,'Données projet'!$A$87:$I$107,5,0)*VLOOKUP('Données projet'!$B$11,Paramètres!$A$1:$I$89,7,0))</f>
        <v>0.46799999999999997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47.52304337835843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47.52304337835843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>
        <f>VLOOKUP(A21,'Données projet'!$A$113:$I$133,2,0)</f>
        <v>265.2</v>
      </c>
      <c r="BW21" s="13">
        <f>VLOOKUP(A21,'Données projet'!$A$113:$I$133,9,0)</f>
        <v>28.560000000000002</v>
      </c>
      <c r="BX21" s="13">
        <f t="array" ref="BX21">INDEX(BW:BW,MIN(IF(ISNUMBER(BW21:BW217),ROW(BW21:BW217),"")))</f>
        <v>28.560000000000002</v>
      </c>
      <c r="BY21" s="13">
        <f>IF('Données projet'!$A$114&gt;35,BY20+BX21-CG20,IF(A21&lt;'Données projet'!$A$114,$BV$205^A21,IF(A21='Données projet'!$A$114,'Données projet'!$B$114,BY20+BX21-CG20)))</f>
        <v>265.2</v>
      </c>
      <c r="BZ21" s="14">
        <f>BY21*VLOOKUP('Données projet'!$B$12,Paramètres!$A$1:$I$89,3,0)*VLOOKUP('Données projet'!$B$12,Paramètres!$A$1:$I$89,5,0)</f>
        <v>134.87011200000001</v>
      </c>
      <c r="CA21" s="14">
        <f t="shared" si="39"/>
        <v>35.119279176805222</v>
      </c>
      <c r="CB21" s="22">
        <f t="shared" si="10"/>
        <v>296.06485629960235</v>
      </c>
      <c r="CC21" s="62">
        <f t="shared" si="11"/>
        <v>507.83420949160546</v>
      </c>
      <c r="CD21" s="62">
        <f ca="1">AVERAGE(OFFSET($CC$3,0,0,'Données projet'!$E$12+1,1))-AVERAGE(OFFSET($H$3,0,0,'Données projet'!$E$12+1,1))</f>
        <v>86.882151759063618</v>
      </c>
      <c r="CE21" s="62">
        <f t="shared" si="40"/>
        <v>324.50087615827215</v>
      </c>
      <c r="CF21" s="16">
        <f>IF(ISNA(VLOOKUP(A21,'Données projet'!$A$113:$I$133,3,0)),0,VLOOKUP(A21,'Données projet'!$A$113:$I$133,3,0))</f>
        <v>1</v>
      </c>
      <c r="CG21" s="16">
        <f>IF(ISNA(VLOOKUP(A21,'Données projet'!$A$113:$I$133,4,0)),0,VLOOKUP(A21,'Données projet'!$A$113:$I$133,4,0))</f>
        <v>265.2</v>
      </c>
      <c r="CH21" s="17">
        <f>IF(ISNA(VLOOKUP(A21,'Données projet'!$A$113:$I$133,5,0)),0%,VLOOKUP(A21,'Données projet'!$A$113:$I$133,5,0)*VLOOKUP('Données projet'!$B$12,Paramètres!$A$1:$I$89,7,0))</f>
        <v>0.46799999999999997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69.776419705336423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69.776419705336423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103.47556287227775</v>
      </c>
      <c r="T22" s="62">
        <f t="shared" si="34"/>
        <v>428.60115421158082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93.140322779662512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93.140322779662512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80.374567532152696</v>
      </c>
      <c r="AO22" s="62">
        <f t="shared" si="36"/>
        <v>206.07482413353287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40.518671491717591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40.518671491717591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>
        <f>BD22*VLOOKUP('Données projet'!$B$11,Paramètres!$A$1:$I$89,3,0)*VLOOKUP('Données projet'!$B$11,Paramètres!$A$1:$I$89,5,0)</f>
        <v>0</v>
      </c>
      <c r="BF22" s="14" t="e">
        <f t="shared" si="37"/>
        <v>#NUM!</v>
      </c>
      <c r="BG22" s="22" t="e">
        <f t="shared" si="7"/>
        <v>#NUM!</v>
      </c>
      <c r="BH22" s="62" t="e">
        <f t="shared" si="8"/>
        <v>#NUM!</v>
      </c>
      <c r="BI22" s="62">
        <f ca="1">AVERAGE(OFFSET($BH$3,0,0,'Données projet'!$E$11+1,1))-AVERAGE(OFFSET($H$3,0,0,'Données projet'!$E$11+1,1))</f>
        <v>60.405981172366637</v>
      </c>
      <c r="BJ22" s="62">
        <f t="shared" si="38"/>
        <v>231.98338207539112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46.591145483903134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46.591145483903134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>
        <f>BY22*VLOOKUP('Données projet'!$B$12,Paramètres!$A$1:$I$89,3,0)*VLOOKUP('Données projet'!$B$12,Paramètres!$A$1:$I$89,5,0)</f>
        <v>0</v>
      </c>
      <c r="CA22" s="14" t="e">
        <f t="shared" si="39"/>
        <v>#NUM!</v>
      </c>
      <c r="CB22" s="22" t="e">
        <f t="shared" si="10"/>
        <v>#NUM!</v>
      </c>
      <c r="CC22" s="62" t="e">
        <f t="shared" si="11"/>
        <v>#NUM!</v>
      </c>
      <c r="CD22" s="62">
        <f ca="1">AVERAGE(OFFSET($CC$3,0,0,'Données projet'!$E$12+1,1))-AVERAGE(OFFSET($H$3,0,0,'Données projet'!$E$12+1,1))</f>
        <v>86.882151759063618</v>
      </c>
      <c r="CE22" s="62">
        <f t="shared" si="40"/>
        <v>324.50087615827215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68.408146674328407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68.408146674328407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103.47556287227775</v>
      </c>
      <c r="T23" s="62">
        <f t="shared" si="34"/>
        <v>428.60115421158082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91.31389785994071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91.31389785994071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80.374567532152696</v>
      </c>
      <c r="AO23" s="62">
        <f t="shared" si="36"/>
        <v>206.07482413353287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39.724125057714318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39.724125057714318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>
        <f>BD23*VLOOKUP('Données projet'!$B$11,Paramètres!$A$1:$I$89,3,0)*VLOOKUP('Données projet'!$B$11,Paramètres!$A$1:$I$89,5,0)</f>
        <v>0</v>
      </c>
      <c r="BF23" s="14" t="e">
        <f t="shared" si="37"/>
        <v>#NUM!</v>
      </c>
      <c r="BG23" s="22" t="e">
        <f t="shared" si="7"/>
        <v>#NUM!</v>
      </c>
      <c r="BH23" s="62" t="e">
        <f t="shared" si="8"/>
        <v>#NUM!</v>
      </c>
      <c r="BI23" s="62">
        <f ca="1">AVERAGE(OFFSET($BH$3,0,0,'Données projet'!$E$11+1,1))-AVERAGE(OFFSET($H$3,0,0,'Données projet'!$E$11+1,1))</f>
        <v>60.405981172366637</v>
      </c>
      <c r="BJ23" s="62">
        <f t="shared" si="38"/>
        <v>231.98338207539112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45.677521538756515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45.677521538756515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>
        <f>BY23*VLOOKUP('Données projet'!$B$12,Paramètres!$A$1:$I$89,3,0)*VLOOKUP('Données projet'!$B$12,Paramètres!$A$1:$I$89,5,0)</f>
        <v>0</v>
      </c>
      <c r="CA23" s="14" t="e">
        <f t="shared" si="39"/>
        <v>#NUM!</v>
      </c>
      <c r="CB23" s="22" t="e">
        <f t="shared" si="10"/>
        <v>#NUM!</v>
      </c>
      <c r="CC23" s="62" t="e">
        <f t="shared" si="11"/>
        <v>#NUM!</v>
      </c>
      <c r="CD23" s="62">
        <f ca="1">AVERAGE(OFFSET($CC$3,0,0,'Données projet'!$E$12+1,1))-AVERAGE(OFFSET($H$3,0,0,'Données projet'!$E$12+1,1))</f>
        <v>86.882151759063618</v>
      </c>
      <c r="CE23" s="62">
        <f t="shared" si="40"/>
        <v>324.50087615827215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67.066704642894308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67.066704642894308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103.47556287227775</v>
      </c>
      <c r="T24" s="62">
        <f t="shared" si="34"/>
        <v>428.60115421158082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89.523288018885452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89.523288018885452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80.374567532152696</v>
      </c>
      <c r="AO24" s="62">
        <f t="shared" si="36"/>
        <v>206.07482413353287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38.945159194656377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38.945159194656377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60.405981172366637</v>
      </c>
      <c r="BJ24" s="62">
        <f t="shared" si="38"/>
        <v>231.98338207539112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44.781813201918638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44.781813201918638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>
        <f>BY24*VLOOKUP('Données projet'!$B$12,Paramètres!$A$1:$I$89,3,0)*VLOOKUP('Données projet'!$B$12,Paramètres!$A$1:$I$89,5,0)</f>
        <v>0</v>
      </c>
      <c r="CA24" s="14" t="e">
        <f t="shared" si="39"/>
        <v>#NUM!</v>
      </c>
      <c r="CB24" s="22" t="e">
        <f t="shared" si="10"/>
        <v>#NUM!</v>
      </c>
      <c r="CC24" s="62" t="e">
        <f t="shared" si="11"/>
        <v>#NUM!</v>
      </c>
      <c r="CD24" s="62">
        <f ca="1">AVERAGE(OFFSET($CC$3,0,0,'Données projet'!$E$12+1,1))-AVERAGE(OFFSET($H$3,0,0,'Données projet'!$E$12+1,1))</f>
        <v>86.882151759063618</v>
      </c>
      <c r="CE24" s="62">
        <f t="shared" si="40"/>
        <v>324.50087615827215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65.751567471497793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65.751567471497793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103.47556287227775</v>
      </c>
      <c r="T25" s="62">
        <f t="shared" si="34"/>
        <v>428.60115421158082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87.767790944649121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87.767790944649121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80.374567532152696</v>
      </c>
      <c r="AO25" s="62">
        <f t="shared" si="36"/>
        <v>206.07482413353287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38.181468377050741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38.181468377050741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60.405981172366637</v>
      </c>
      <c r="BJ25" s="62">
        <f t="shared" si="38"/>
        <v>231.98338207539112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43.903669159238014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43.903669159238014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>
        <f>BY25*VLOOKUP('Données projet'!$B$12,Paramètres!$A$1:$I$89,3,0)*VLOOKUP('Données projet'!$B$12,Paramètres!$A$1:$I$89,5,0)</f>
        <v>0</v>
      </c>
      <c r="CA25" s="14" t="e">
        <f t="shared" si="39"/>
        <v>#NUM!</v>
      </c>
      <c r="CB25" s="22" t="e">
        <f t="shared" si="10"/>
        <v>#NUM!</v>
      </c>
      <c r="CC25" s="62" t="e">
        <f t="shared" si="11"/>
        <v>#NUM!</v>
      </c>
      <c r="CD25" s="62">
        <f ca="1">AVERAGE(OFFSET($CC$3,0,0,'Données projet'!$E$12+1,1))-AVERAGE(OFFSET($H$3,0,0,'Données projet'!$E$12+1,1))</f>
        <v>86.882151759063618</v>
      </c>
      <c r="CE25" s="62">
        <f t="shared" si="40"/>
        <v>324.50087615827215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64.462219337877883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64.462219337877883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103.47556287227775</v>
      </c>
      <c r="T26" s="62">
        <f t="shared" si="34"/>
        <v>428.60115421158082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86.046718097291077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86.046718097291077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80.374567532152696</v>
      </c>
      <c r="AO26" s="62">
        <f t="shared" si="36"/>
        <v>206.07482413353287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37.43275307057295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37.43275307057295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60.405981172366637</v>
      </c>
      <c r="BJ26" s="62">
        <f t="shared" si="38"/>
        <v>231.98338207539112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43.042744985619379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43.042744985619379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>
        <f>BY26*VLOOKUP('Données projet'!$B$12,Paramètres!$A$1:$I$89,3,0)*VLOOKUP('Données projet'!$B$12,Paramètres!$A$1:$I$89,5,0)</f>
        <v>0</v>
      </c>
      <c r="CA26" s="14" t="e">
        <f t="shared" si="39"/>
        <v>#NUM!</v>
      </c>
      <c r="CB26" s="22" t="e">
        <f t="shared" si="10"/>
        <v>#NUM!</v>
      </c>
      <c r="CC26" s="62" t="e">
        <f t="shared" si="11"/>
        <v>#NUM!</v>
      </c>
      <c r="CD26" s="62">
        <f ca="1">AVERAGE(OFFSET($CC$3,0,0,'Données projet'!$E$12+1,1))-AVERAGE(OFFSET($H$3,0,0,'Données projet'!$E$12+1,1))</f>
        <v>86.882151759063618</v>
      </c>
      <c r="CE26" s="62">
        <f t="shared" si="40"/>
        <v>324.50087615827215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63.198154534733554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63.198154534733554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103.47556287227775</v>
      </c>
      <c r="T27" s="62">
        <f t="shared" si="34"/>
        <v>428.60115421158082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84.359394438718937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84.359394438718937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80.374567532152696</v>
      </c>
      <c r="AO27" s="62">
        <f t="shared" si="36"/>
        <v>206.07482413353287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36.698719614583943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36.698719614583943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60.405981172366637</v>
      </c>
      <c r="BJ27" s="62">
        <f t="shared" si="38"/>
        <v>231.98338207539112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42.19870300993351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42.19870300993351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>
        <f>BY27*VLOOKUP('Données projet'!$B$12,Paramètres!$A$1:$I$89,3,0)*VLOOKUP('Données projet'!$B$12,Paramètres!$A$1:$I$89,5,0)</f>
        <v>0</v>
      </c>
      <c r="CA27" s="14" t="e">
        <f t="shared" si="39"/>
        <v>#NUM!</v>
      </c>
      <c r="CB27" s="22" t="e">
        <f t="shared" si="10"/>
        <v>#NUM!</v>
      </c>
      <c r="CC27" s="62" t="e">
        <f t="shared" si="11"/>
        <v>#NUM!</v>
      </c>
      <c r="CD27" s="62">
        <f ca="1">AVERAGE(OFFSET($CC$3,0,0,'Données projet'!$E$12+1,1))-AVERAGE(OFFSET($H$3,0,0,'Données projet'!$E$12+1,1))</f>
        <v>86.882151759063618</v>
      </c>
      <c r="CE27" s="62">
        <f t="shared" si="40"/>
        <v>324.50087615827215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61.958877271375485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61.958877271375485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103.47556287227775</v>
      </c>
      <c r="T28" s="62">
        <f t="shared" si="34"/>
        <v>428.60115421158082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82.705158167925589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82.705158167925589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80.374567532152696</v>
      </c>
      <c r="AO28" s="62">
        <f t="shared" si="36"/>
        <v>206.07482413353287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35.979080106950683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35.979080106950683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60.405981172366637</v>
      </c>
      <c r="BJ28" s="62">
        <f t="shared" si="38"/>
        <v>231.98338207539112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41.371212182576066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41.371212182576066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>
        <f>BY28*VLOOKUP('Données projet'!$B$12,Paramètres!$A$1:$I$89,3,0)*VLOOKUP('Données projet'!$B$12,Paramètres!$A$1:$I$89,5,0)</f>
        <v>0</v>
      </c>
      <c r="CA28" s="14" t="e">
        <f t="shared" si="39"/>
        <v>#NUM!</v>
      </c>
      <c r="CB28" s="22" t="e">
        <f t="shared" si="10"/>
        <v>#NUM!</v>
      </c>
      <c r="CC28" s="62" t="e">
        <f t="shared" si="11"/>
        <v>#NUM!</v>
      </c>
      <c r="CD28" s="62">
        <f ca="1">AVERAGE(OFFSET($CC$3,0,0,'Données projet'!$E$12+1,1))-AVERAGE(OFFSET($H$3,0,0,'Données projet'!$E$12+1,1))</f>
        <v>86.882151759063618</v>
      </c>
      <c r="CE28" s="62">
        <f t="shared" si="40"/>
        <v>324.50087615827215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60.743901479267379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60.743901479267379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103.47556287227775</v>
      </c>
      <c r="T29" s="62">
        <f t="shared" si="34"/>
        <v>428.60115421158082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81.08336046141801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81.08336046141801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80.374567532152696</v>
      </c>
      <c r="AO29" s="62">
        <f t="shared" si="36"/>
        <v>206.07482413353287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35.273552291125348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35.273552291125348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60.405981172366637</v>
      </c>
      <c r="BJ29" s="62">
        <f t="shared" si="38"/>
        <v>231.98338207539112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40.559947945623534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40.559947945623534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>
        <f>BY29*VLOOKUP('Données projet'!$B$12,Paramètres!$A$1:$I$89,3,0)*VLOOKUP('Données projet'!$B$12,Paramètres!$A$1:$I$89,5,0)</f>
        <v>0</v>
      </c>
      <c r="CA29" s="14" t="e">
        <f t="shared" si="39"/>
        <v>#NUM!</v>
      </c>
      <c r="CB29" s="22" t="e">
        <f t="shared" si="10"/>
        <v>#NUM!</v>
      </c>
      <c r="CC29" s="62" t="e">
        <f t="shared" si="11"/>
        <v>#NUM!</v>
      </c>
      <c r="CD29" s="62">
        <f ca="1">AVERAGE(OFFSET($CC$3,0,0,'Données projet'!$E$12+1,1))-AVERAGE(OFFSET($H$3,0,0,'Données projet'!$E$12+1,1))</f>
        <v>86.882151759063618</v>
      </c>
      <c r="CE29" s="62">
        <f t="shared" si="40"/>
        <v>324.50087615827215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59.552750621380454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59.552750621380454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103.47556287227775</v>
      </c>
      <c r="T30" s="62">
        <f t="shared" si="34"/>
        <v>428.60115421158082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79.493365218736116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79.493365218736116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80.374567532152696</v>
      </c>
      <c r="AO30" s="62">
        <f t="shared" si="36"/>
        <v>206.07482413353287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34.581859445438873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34.581859445438873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60.405981172366637</v>
      </c>
      <c r="BJ30" s="62">
        <f t="shared" si="38"/>
        <v>231.98338207539112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39.764592105535321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39.764592105535321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>
        <f>BY30*VLOOKUP('Données projet'!$B$12,Paramètres!$A$1:$I$89,3,0)*VLOOKUP('Données projet'!$B$12,Paramètres!$A$1:$I$89,5,0)</f>
        <v>0</v>
      </c>
      <c r="CA30" s="14" t="e">
        <f t="shared" si="39"/>
        <v>#NUM!</v>
      </c>
      <c r="CB30" s="22" t="e">
        <f t="shared" si="10"/>
        <v>#NUM!</v>
      </c>
      <c r="CC30" s="62" t="e">
        <f t="shared" si="11"/>
        <v>#NUM!</v>
      </c>
      <c r="CD30" s="62">
        <f ca="1">AVERAGE(OFFSET($CC$3,0,0,'Données projet'!$E$12+1,1))-AVERAGE(OFFSET($H$3,0,0,'Données projet'!$E$12+1,1))</f>
        <v>86.882151759063618</v>
      </c>
      <c r="CE30" s="62">
        <f t="shared" si="40"/>
        <v>324.50087615827215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58.384957505286408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58.384957505286408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103.47556287227775</v>
      </c>
      <c r="T31" s="62">
        <f t="shared" si="34"/>
        <v>428.60115421158082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77.934548812961879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77.934548812961879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80.374567532152696</v>
      </c>
      <c r="AO31" s="62">
        <f t="shared" si="36"/>
        <v>206.07482413353287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33.903730274565334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33.903730274565334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60.405981172366637</v>
      </c>
      <c r="BJ31" s="62">
        <f t="shared" si="38"/>
        <v>231.98338207539112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38.984832708352073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38.984832708352073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>
        <f>BY31*VLOOKUP('Données projet'!$B$12,Paramètres!$A$1:$I$89,3,0)*VLOOKUP('Données projet'!$B$12,Paramètres!$A$1:$I$89,5,0)</f>
        <v>0</v>
      </c>
      <c r="CA31" s="14" t="e">
        <f t="shared" si="39"/>
        <v>#NUM!</v>
      </c>
      <c r="CB31" s="22" t="e">
        <f t="shared" si="10"/>
        <v>#NUM!</v>
      </c>
      <c r="CC31" s="62" t="e">
        <f t="shared" si="11"/>
        <v>#NUM!</v>
      </c>
      <c r="CD31" s="62">
        <f ca="1">AVERAGE(OFFSET($CC$3,0,0,'Données projet'!$E$12+1,1))-AVERAGE(OFFSET($H$3,0,0,'Données projet'!$E$12+1,1))</f>
        <v>86.882151759063618</v>
      </c>
      <c r="CE31" s="62">
        <f t="shared" si="40"/>
        <v>324.50087615827215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57.240064099915493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57.240064099915493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103.47556287227775</v>
      </c>
      <c r="T32" s="62">
        <f t="shared" si="34"/>
        <v>428.60115421158082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76.406299846120746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76.406299846120746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80.374567532152696</v>
      </c>
      <c r="AO32" s="62">
        <f t="shared" si="36"/>
        <v>206.07482413353287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33.238898803114672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33.238898803114672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60.405981172366637</v>
      </c>
      <c r="BJ32" s="62">
        <f t="shared" si="38"/>
        <v>231.98338207539112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38.220363917341317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38.220363917341317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>
        <f>BY32*VLOOKUP('Données projet'!$B$12,Paramètres!$A$1:$I$89,3,0)*VLOOKUP('Données projet'!$B$12,Paramètres!$A$1:$I$89,5,0)</f>
        <v>0</v>
      </c>
      <c r="CA32" s="14" t="e">
        <f t="shared" si="39"/>
        <v>#NUM!</v>
      </c>
      <c r="CB32" s="22" t="e">
        <f t="shared" si="10"/>
        <v>#NUM!</v>
      </c>
      <c r="CC32" s="62" t="e">
        <f t="shared" si="11"/>
        <v>#NUM!</v>
      </c>
      <c r="CD32" s="62">
        <f ca="1">AVERAGE(OFFSET($CC$3,0,0,'Données projet'!$E$12+1,1))-AVERAGE(OFFSET($H$3,0,0,'Données projet'!$E$12+1,1))</f>
        <v>86.882151759063618</v>
      </c>
      <c r="CE32" s="62">
        <f t="shared" si="40"/>
        <v>324.50087615827215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56.117621355907879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56.117621355907879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103.47556287227775</v>
      </c>
      <c r="T33" s="62">
        <f t="shared" si="34"/>
        <v>428.60115421158082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74.908018909379535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74.908018909379535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80.374567532152696</v>
      </c>
      <c r="AO33" s="62">
        <f t="shared" si="36"/>
        <v>206.07482413353287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32.587104271312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32.587104271312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60.405981172366637</v>
      </c>
      <c r="BJ33" s="62">
        <f t="shared" si="38"/>
        <v>231.98338207539112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37.470885893042365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37.470885893042365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>
        <f>BY33*VLOOKUP('Données projet'!$B$12,Paramètres!$A$1:$I$89,3,0)*VLOOKUP('Données projet'!$B$12,Paramètres!$A$1:$I$89,5,0)</f>
        <v>0</v>
      </c>
      <c r="CA33" s="14" t="e">
        <f t="shared" si="39"/>
        <v>#NUM!</v>
      </c>
      <c r="CB33" s="22" t="e">
        <f t="shared" si="10"/>
        <v>#NUM!</v>
      </c>
      <c r="CC33" s="62" t="e">
        <f t="shared" si="11"/>
        <v>#NUM!</v>
      </c>
      <c r="CD33" s="62">
        <f ca="1">AVERAGE(OFFSET($CC$3,0,0,'Données projet'!$E$12+1,1))-AVERAGE(OFFSET($H$3,0,0,'Données projet'!$E$12+1,1))</f>
        <v>86.882151759063618</v>
      </c>
      <c r="CE33" s="62">
        <f t="shared" si="40"/>
        <v>324.50087615827215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55.017189029487781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55.017189029487781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103.47556287227775</v>
      </c>
      <c r="T34" s="62">
        <f t="shared" si="34"/>
        <v>428.60115421158082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73.439118347946689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73.439118347946689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80.374567532152696</v>
      </c>
      <c r="AO34" s="62">
        <f t="shared" si="36"/>
        <v>206.07482413353287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31.948091032722569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31.948091032722569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60.405981172366637</v>
      </c>
      <c r="BJ34" s="62">
        <f t="shared" si="38"/>
        <v>231.98338207539112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36.736104675663455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36.736104675663455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>
        <f>BY34*VLOOKUP('Données projet'!$B$12,Paramètres!$A$1:$I$89,3,0)*VLOOKUP('Données projet'!$B$12,Paramètres!$A$1:$I$89,5,0)</f>
        <v>0</v>
      </c>
      <c r="CA34" s="14" t="e">
        <f t="shared" si="39"/>
        <v>#NUM!</v>
      </c>
      <c r="CB34" s="22" t="e">
        <f t="shared" si="10"/>
        <v>#NUM!</v>
      </c>
      <c r="CC34" s="62" t="e">
        <f t="shared" si="11"/>
        <v>#NUM!</v>
      </c>
      <c r="CD34" s="62">
        <f ca="1">AVERAGE(OFFSET($CC$3,0,0,'Données projet'!$E$12+1,1))-AVERAGE(OFFSET($H$3,0,0,'Données projet'!$E$12+1,1))</f>
        <v>86.882151759063618</v>
      </c>
      <c r="CE34" s="62">
        <f t="shared" si="40"/>
        <v>324.50087615827215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53.938335509791337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53.938335509791337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103.47556287227775</v>
      </c>
      <c r="T35" s="62">
        <f t="shared" si="34"/>
        <v>428.60115421158082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71.999022030582665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71.999022030582665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80.374567532152696</v>
      </c>
      <c r="AO35" s="62">
        <f t="shared" si="36"/>
        <v>206.07482413353287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31.321608453982286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31.321608453982286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60.405981172366637</v>
      </c>
      <c r="BJ35" s="62">
        <f t="shared" si="38"/>
        <v>231.98338207539112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36.015732069785059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36.015732069785059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>
        <f>BY35*VLOOKUP('Données projet'!$B$12,Paramètres!$A$1:$I$89,3,0)*VLOOKUP('Données projet'!$B$12,Paramètres!$A$1:$I$89,5,0)</f>
        <v>0</v>
      </c>
      <c r="CA35" s="14" t="e">
        <f t="shared" si="39"/>
        <v>#NUM!</v>
      </c>
      <c r="CB35" s="22" t="e">
        <f t="shared" si="10"/>
        <v>#NUM!</v>
      </c>
      <c r="CC35" s="62" t="e">
        <f t="shared" si="11"/>
        <v>#NUM!</v>
      </c>
      <c r="CD35" s="62">
        <f ca="1">AVERAGE(OFFSET($CC$3,0,0,'Données projet'!$E$12+1,1))-AVERAGE(OFFSET($H$3,0,0,'Données projet'!$E$12+1,1))</f>
        <v>86.882151759063618</v>
      </c>
      <c r="CE35" s="62">
        <f t="shared" si="40"/>
        <v>324.50087615827215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52.880637649580471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52.880637649580471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103.47556287227775</v>
      </c>
      <c r="T36" s="62">
        <f t="shared" si="34"/>
        <v>428.60115421158082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70.587165123630129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70.587165123630129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80.374567532152696</v>
      </c>
      <c r="AO36" s="62">
        <f t="shared" si="36"/>
        <v>206.07482413353287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30.707410816494459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30.707410816494459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60.405981172366637</v>
      </c>
      <c r="BJ36" s="62">
        <f t="shared" si="38"/>
        <v>231.98338207539112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35.309485531324036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35.309485531324036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>
        <f>BY36*VLOOKUP('Données projet'!$B$12,Paramètres!$A$1:$I$89,3,0)*VLOOKUP('Données projet'!$B$12,Paramètres!$A$1:$I$89,5,0)</f>
        <v>0</v>
      </c>
      <c r="CA36" s="14" t="e">
        <f t="shared" si="39"/>
        <v>#NUM!</v>
      </c>
      <c r="CB36" s="22" t="e">
        <f t="shared" si="10"/>
        <v>#NUM!</v>
      </c>
      <c r="CC36" s="62" t="e">
        <f t="shared" si="11"/>
        <v>#NUM!</v>
      </c>
      <c r="CD36" s="62">
        <f ca="1">AVERAGE(OFFSET($CC$3,0,0,'Données projet'!$E$12+1,1))-AVERAGE(OFFSET($H$3,0,0,'Données projet'!$E$12+1,1))</f>
        <v>86.882151759063618</v>
      </c>
      <c r="CE36" s="62">
        <f t="shared" si="40"/>
        <v>324.50087615827215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51.843680599276347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51.843680599276347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103.47556287227775</v>
      </c>
      <c r="T37" s="62">
        <f t="shared" si="34"/>
        <v>428.60115421158082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69.20299386947525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69.20299386947525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80.374567532152696</v>
      </c>
      <c r="AO37" s="62">
        <f t="shared" si="36"/>
        <v>206.07482413353287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30.105257220054199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30.105257220054199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60.405981172366637</v>
      </c>
      <c r="BJ37" s="62">
        <f t="shared" si="38"/>
        <v>231.98338207539112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34.61708805671438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34.61708805671438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>
        <f>BY37*VLOOKUP('Données projet'!$B$12,Paramètres!$A$1:$I$89,3,0)*VLOOKUP('Données projet'!$B$12,Paramètres!$A$1:$I$89,5,0)</f>
        <v>0</v>
      </c>
      <c r="CA37" s="14" t="e">
        <f t="shared" si="39"/>
        <v>#NUM!</v>
      </c>
      <c r="CB37" s="22" t="e">
        <f t="shared" si="10"/>
        <v>#NUM!</v>
      </c>
      <c r="CC37" s="62" t="e">
        <f t="shared" si="11"/>
        <v>#NUM!</v>
      </c>
      <c r="CD37" s="62">
        <f ca="1">AVERAGE(OFFSET($CC$3,0,0,'Données projet'!$E$12+1,1))-AVERAGE(OFFSET($H$3,0,0,'Données projet'!$E$12+1,1))</f>
        <v>86.882151759063618</v>
      </c>
      <c r="CE37" s="62">
        <f t="shared" si="40"/>
        <v>324.50087615827215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50.82705764424734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50.82705764424734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103.47556287227775</v>
      </c>
      <c r="T38" s="62">
        <f t="shared" si="34"/>
        <v>428.60115421158082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67.845965369353237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67.845965369353237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80.374567532152696</v>
      </c>
      <c r="AO38" s="62">
        <f t="shared" si="36"/>
        <v>206.07482413353287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29.514911488362703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29.514911488362703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60.405981172366637</v>
      </c>
      <c r="BJ38" s="62">
        <f t="shared" si="38"/>
        <v>231.98338207539112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33.93826807426106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33.93826807426106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>
        <f>BY38*VLOOKUP('Données projet'!$B$12,Paramètres!$A$1:$I$89,3,0)*VLOOKUP('Données projet'!$B$12,Paramètres!$A$1:$I$89,5,0)</f>
        <v>0</v>
      </c>
      <c r="CA38" s="14" t="e">
        <f t="shared" si="39"/>
        <v>#NUM!</v>
      </c>
      <c r="CB38" s="22" t="e">
        <f t="shared" si="10"/>
        <v>#NUM!</v>
      </c>
      <c r="CC38" s="62" t="e">
        <f t="shared" si="11"/>
        <v>#NUM!</v>
      </c>
      <c r="CD38" s="62">
        <f ca="1">AVERAGE(OFFSET($CC$3,0,0,'Données projet'!$E$12+1,1))-AVERAGE(OFFSET($H$3,0,0,'Données projet'!$E$12+1,1))</f>
        <v>86.882151759063618</v>
      </c>
      <c r="CE38" s="62">
        <f t="shared" si="40"/>
        <v>324.50087615827215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49.830370045287673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49.830370045287673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103.47556287227775</v>
      </c>
      <c r="T39" s="62">
        <f t="shared" si="34"/>
        <v>428.60115421158082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66.515547370412961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66.515547370412961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80.374567532152696</v>
      </c>
      <c r="AO39" s="62">
        <f t="shared" si="36"/>
        <v>206.07482413353287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28.936142076394336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28.936142076394336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60.405981172366637</v>
      </c>
      <c r="BJ39" s="62">
        <f t="shared" si="38"/>
        <v>231.98338207539112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33.272759337624343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33.272759337624343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>
        <f>BY39*VLOOKUP('Données projet'!$B$12,Paramètres!$A$1:$I$89,3,0)*VLOOKUP('Données projet'!$B$12,Paramètres!$A$1:$I$89,5,0)</f>
        <v>0</v>
      </c>
      <c r="CA39" s="14" t="e">
        <f t="shared" si="39"/>
        <v>#NUM!</v>
      </c>
      <c r="CB39" s="22" t="e">
        <f t="shared" si="10"/>
        <v>#NUM!</v>
      </c>
      <c r="CC39" s="62" t="e">
        <f t="shared" si="11"/>
        <v>#NUM!</v>
      </c>
      <c r="CD39" s="62">
        <f ca="1">AVERAGE(OFFSET($CC$3,0,0,'Données projet'!$E$12+1,1))-AVERAGE(OFFSET($H$3,0,0,'Données projet'!$E$12+1,1))</f>
        <v>86.882151759063618</v>
      </c>
      <c r="CE39" s="62">
        <f t="shared" si="40"/>
        <v>324.50087615827215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48.853226882224199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48.853226882224199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103.47556287227775</v>
      </c>
      <c r="T40" s="62">
        <f t="shared" si="34"/>
        <v>428.60115421158082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65.211218056957051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65.211218056957051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80.374567532152696</v>
      </c>
      <c r="AO40" s="62">
        <f t="shared" si="36"/>
        <v>206.07482413353287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28.368721979580187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28.368721979580187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60.405981172366637</v>
      </c>
      <c r="BJ40" s="62">
        <f t="shared" si="38"/>
        <v>231.98338207539112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32.620300821392824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32.620300821392824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>
        <f>BY40*VLOOKUP('Données projet'!$B$12,Paramètres!$A$1:$I$89,3,0)*VLOOKUP('Données projet'!$B$12,Paramètres!$A$1:$I$89,5,0)</f>
        <v>0</v>
      </c>
      <c r="CA40" s="14" t="e">
        <f t="shared" si="39"/>
        <v>#NUM!</v>
      </c>
      <c r="CB40" s="22" t="e">
        <f t="shared" si="10"/>
        <v>#NUM!</v>
      </c>
      <c r="CC40" s="62" t="e">
        <f t="shared" si="11"/>
        <v>#NUM!</v>
      </c>
      <c r="CD40" s="62">
        <f ca="1">AVERAGE(OFFSET($CC$3,0,0,'Données projet'!$E$12+1,1))-AVERAGE(OFFSET($H$3,0,0,'Données projet'!$E$12+1,1))</f>
        <v>86.882151759063618</v>
      </c>
      <c r="CE40" s="62">
        <f t="shared" si="40"/>
        <v>324.50087615827215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47.895244900589923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47.895244900589923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103.47556287227775</v>
      </c>
      <c r="T41" s="62">
        <f t="shared" si="34"/>
        <v>428.60115421158082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63.932465845775688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63.932465845775688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80.374567532152696</v>
      </c>
      <c r="AO41" s="62">
        <f t="shared" si="36"/>
        <v>206.07482413353287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27.812428644772478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27.812428644772478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60.405981172366637</v>
      </c>
      <c r="BJ41" s="62">
        <f t="shared" si="38"/>
        <v>231.98338207539112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31.980636618704203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31.980636618704203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>
        <f>BY41*VLOOKUP('Données projet'!$B$12,Paramètres!$A$1:$I$89,3,0)*VLOOKUP('Données projet'!$B$12,Paramètres!$A$1:$I$89,5,0)</f>
        <v>0</v>
      </c>
      <c r="CA41" s="14" t="e">
        <f t="shared" si="39"/>
        <v>#NUM!</v>
      </c>
      <c r="CB41" s="22" t="e">
        <f t="shared" si="10"/>
        <v>#NUM!</v>
      </c>
      <c r="CC41" s="62" t="e">
        <f t="shared" si="11"/>
        <v>#NUM!</v>
      </c>
      <c r="CD41" s="62">
        <f ca="1">AVERAGE(OFFSET($CC$3,0,0,'Données projet'!$E$12+1,1))-AVERAGE(OFFSET($H$3,0,0,'Données projet'!$E$12+1,1))</f>
        <v>86.882151759063618</v>
      </c>
      <c r="CE41" s="62">
        <f t="shared" si="40"/>
        <v>324.50087615827215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46.956048361304177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46.956048361304177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103.47556287227775</v>
      </c>
      <c r="T42" s="62">
        <f t="shared" si="34"/>
        <v>428.60115421158082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62.678789185493763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62.678789185493763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80.374567532152696</v>
      </c>
      <c r="AO42" s="62">
        <f t="shared" si="36"/>
        <v>206.07482413353287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27.267043882954916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27.267043882954916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60.405981172366637</v>
      </c>
      <c r="BJ42" s="62">
        <f t="shared" si="38"/>
        <v>231.98338207539112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31.353515840873669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31.353515840873669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>
        <f>BY42*VLOOKUP('Données projet'!$B$12,Paramètres!$A$1:$I$89,3,0)*VLOOKUP('Données projet'!$B$12,Paramètres!$A$1:$I$89,5,0)</f>
        <v>0</v>
      </c>
      <c r="CA42" s="14" t="e">
        <f t="shared" si="39"/>
        <v>#NUM!</v>
      </c>
      <c r="CB42" s="22" t="e">
        <f t="shared" si="10"/>
        <v>#NUM!</v>
      </c>
      <c r="CC42" s="62" t="e">
        <f t="shared" si="11"/>
        <v>#NUM!</v>
      </c>
      <c r="CD42" s="62">
        <f ca="1">AVERAGE(OFFSET($CC$3,0,0,'Données projet'!$E$12+1,1))-AVERAGE(OFFSET($H$3,0,0,'Données projet'!$E$12+1,1))</f>
        <v>86.882151759063618</v>
      </c>
      <c r="CE42" s="62">
        <f t="shared" si="40"/>
        <v>324.50087615827215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46.035268893300504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46.035268893300504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103.47556287227775</v>
      </c>
      <c r="T43" s="62">
        <f t="shared" si="34"/>
        <v>428.60115421158082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61.449696359852709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61.449696359852709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80.374567532152696</v>
      </c>
      <c r="AO43" s="62">
        <f t="shared" si="36"/>
        <v>206.07482413353287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26.732353783664738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26.732353783664738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60.405981172366637</v>
      </c>
      <c r="BJ43" s="62">
        <f t="shared" si="38"/>
        <v>231.98338207539112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30.738692518990486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30.738692518990486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>
        <f>BY43*VLOOKUP('Données projet'!$B$12,Paramètres!$A$1:$I$89,3,0)*VLOOKUP('Données projet'!$B$12,Paramètres!$A$1:$I$89,5,0)</f>
        <v>0</v>
      </c>
      <c r="CA43" s="14" t="e">
        <f t="shared" si="39"/>
        <v>#NUM!</v>
      </c>
      <c r="CB43" s="22" t="e">
        <f t="shared" si="10"/>
        <v>#NUM!</v>
      </c>
      <c r="CC43" s="62" t="e">
        <f t="shared" si="11"/>
        <v>#NUM!</v>
      </c>
      <c r="CD43" s="62">
        <f ca="1">AVERAGE(OFFSET($CC$3,0,0,'Données projet'!$E$12+1,1))-AVERAGE(OFFSET($H$3,0,0,'Données projet'!$E$12+1,1))</f>
        <v>86.882151759063618</v>
      </c>
      <c r="CE43" s="62">
        <f t="shared" si="40"/>
        <v>324.50087615827215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45.132545349044364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45.132545349044364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103.47556287227775</v>
      </c>
      <c r="T44" s="62">
        <f t="shared" si="34"/>
        <v>428.60115421158082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60.244705294849872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60.244705294849872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80.374567532152696</v>
      </c>
      <c r="AO44" s="62">
        <f t="shared" si="36"/>
        <v>206.07482413353287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26.208148631092882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26.208148631092882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60.405981172366637</v>
      </c>
      <c r="BJ44" s="62">
        <f t="shared" si="38"/>
        <v>231.98338207539112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30.135925507444234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30.135925507444234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>
        <f>BY44*VLOOKUP('Données projet'!$B$12,Paramètres!$A$1:$I$89,3,0)*VLOOKUP('Données projet'!$B$12,Paramètres!$A$1:$I$89,5,0)</f>
        <v>0</v>
      </c>
      <c r="CA44" s="14" t="e">
        <f t="shared" si="39"/>
        <v>#NUM!</v>
      </c>
      <c r="CB44" s="22" t="e">
        <f t="shared" si="10"/>
        <v>#NUM!</v>
      </c>
      <c r="CC44" s="62" t="e">
        <f t="shared" si="11"/>
        <v>#NUM!</v>
      </c>
      <c r="CD44" s="62">
        <f ca="1">AVERAGE(OFFSET($CC$3,0,0,'Données projet'!$E$12+1,1))-AVERAGE(OFFSET($H$3,0,0,'Données projet'!$E$12+1,1))</f>
        <v>86.882151759063618</v>
      </c>
      <c r="CE44" s="62">
        <f t="shared" si="40"/>
        <v>324.50087615827215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44.247523662884092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44.247523662884092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103.47556287227775</v>
      </c>
      <c r="T45" s="62">
        <f t="shared" si="34"/>
        <v>428.60115421158082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59.063343369659762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59.063343369659762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80.374567532152696</v>
      </c>
      <c r="AO45" s="62">
        <f t="shared" si="36"/>
        <v>206.07482413353287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25.694222821829388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25.694222821829388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60.405981172366637</v>
      </c>
      <c r="BJ45" s="62">
        <f t="shared" si="38"/>
        <v>231.98338207539112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29.54497838934283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29.54497838934283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>
        <f>BY45*VLOOKUP('Données projet'!$B$12,Paramètres!$A$1:$I$89,3,0)*VLOOKUP('Données projet'!$B$12,Paramètres!$A$1:$I$89,5,0)</f>
        <v>0</v>
      </c>
      <c r="CA45" s="14" t="e">
        <f t="shared" si="39"/>
        <v>#NUM!</v>
      </c>
      <c r="CB45" s="22" t="e">
        <f t="shared" si="10"/>
        <v>#NUM!</v>
      </c>
      <c r="CC45" s="62" t="e">
        <f t="shared" si="11"/>
        <v>#NUM!</v>
      </c>
      <c r="CD45" s="62">
        <f ca="1">AVERAGE(OFFSET($CC$3,0,0,'Données projet'!$E$12+1,1))-AVERAGE(OFFSET($H$3,0,0,'Données projet'!$E$12+1,1))</f>
        <v>86.882151759063618</v>
      </c>
      <c r="CE45" s="62">
        <f t="shared" si="40"/>
        <v>324.50087615827215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43.379856712179496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43.379856712179496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103.47556287227775</v>
      </c>
      <c r="T46" s="62">
        <f t="shared" si="34"/>
        <v>428.60115421158082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57.905147231263008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57.905147231263008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80.374567532152696</v>
      </c>
      <c r="AO46" s="62">
        <f t="shared" si="36"/>
        <v>206.07482413353287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25.19037478422176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25.19037478422176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60.405981172366637</v>
      </c>
      <c r="BJ46" s="62">
        <f t="shared" si="38"/>
        <v>231.98338207539112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28.965619383785242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28.965619383785242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>
        <f>BY46*VLOOKUP('Données projet'!$B$12,Paramètres!$A$1:$I$89,3,0)*VLOOKUP('Données projet'!$B$12,Paramètres!$A$1:$I$89,5,0)</f>
        <v>0</v>
      </c>
      <c r="CA46" s="14" t="e">
        <f t="shared" si="39"/>
        <v>#NUM!</v>
      </c>
      <c r="CB46" s="22" t="e">
        <f t="shared" si="10"/>
        <v>#NUM!</v>
      </c>
      <c r="CC46" s="62" t="e">
        <f t="shared" si="11"/>
        <v>#NUM!</v>
      </c>
      <c r="CD46" s="62">
        <f ca="1">AVERAGE(OFFSET($CC$3,0,0,'Données projet'!$E$12+1,1))-AVERAGE(OFFSET($H$3,0,0,'Données projet'!$E$12+1,1))</f>
        <v>86.882151759063618</v>
      </c>
      <c r="CE46" s="62">
        <f t="shared" si="40"/>
        <v>324.50087615827215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42.529204181153631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42.529204181153631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103.47556287227775</v>
      </c>
      <c r="T47" s="62">
        <f t="shared" si="34"/>
        <v>428.60115421158082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56.769662612710327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56.769662612710327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80.374567532152696</v>
      </c>
      <c r="AO47" s="62">
        <f t="shared" si="36"/>
        <v>206.07482413353287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24.69640689931466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24.69640689931466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60.405981172366637</v>
      </c>
      <c r="BJ47" s="62">
        <f t="shared" si="38"/>
        <v>231.98338207539112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28.39762125495254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28.39762125495254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>
        <f>BY47*VLOOKUP('Données projet'!$B$12,Paramètres!$A$1:$I$89,3,0)*VLOOKUP('Données projet'!$B$12,Paramètres!$A$1:$I$89,5,0)</f>
        <v>0</v>
      </c>
      <c r="CA47" s="14" t="e">
        <f t="shared" si="39"/>
        <v>#NUM!</v>
      </c>
      <c r="CB47" s="22" t="e">
        <f t="shared" si="10"/>
        <v>#NUM!</v>
      </c>
      <c r="CC47" s="62" t="e">
        <f t="shared" si="11"/>
        <v>#NUM!</v>
      </c>
      <c r="CD47" s="62">
        <f ca="1">AVERAGE(OFFSET($CC$3,0,0,'Données projet'!$E$12+1,1))-AVERAGE(OFFSET($H$3,0,0,'Données projet'!$E$12+1,1))</f>
        <v>86.882151759063618</v>
      </c>
      <c r="CE47" s="62">
        <f t="shared" si="40"/>
        <v>324.50087615827215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41.695232427414375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41.695232427414375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103.47556287227775</v>
      </c>
      <c r="T48" s="62">
        <f t="shared" si="34"/>
        <v>428.60115421158082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55.656444154950229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55.656444154950229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80.374567532152696</v>
      </c>
      <c r="AO48" s="62">
        <f t="shared" si="36"/>
        <v>206.07482413353287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24.212125423339927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24.212125423339927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60.405981172366637</v>
      </c>
      <c r="BJ48" s="62">
        <f t="shared" si="38"/>
        <v>231.98338207539112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27.840761222981595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27.840761222981595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>
        <f>BY48*VLOOKUP('Données projet'!$B$12,Paramètres!$A$1:$I$89,3,0)*VLOOKUP('Données projet'!$B$12,Paramètres!$A$1:$I$89,5,0)</f>
        <v>0</v>
      </c>
      <c r="CA48" s="14" t="e">
        <f t="shared" si="39"/>
        <v>#NUM!</v>
      </c>
      <c r="CB48" s="22" t="e">
        <f t="shared" si="10"/>
        <v>#NUM!</v>
      </c>
      <c r="CC48" s="62" t="e">
        <f t="shared" si="11"/>
        <v>#NUM!</v>
      </c>
      <c r="CD48" s="62">
        <f ca="1">AVERAGE(OFFSET($CC$3,0,0,'Données projet'!$E$12+1,1))-AVERAGE(OFFSET($H$3,0,0,'Données projet'!$E$12+1,1))</f>
        <v>86.882151759063618</v>
      </c>
      <c r="CE48" s="62">
        <f t="shared" si="40"/>
        <v>324.50087615827215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40.877614351093399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40.877614351093399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103.47556287227775</v>
      </c>
      <c r="T49" s="62">
        <f t="shared" si="34"/>
        <v>428.60115421158082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54.565055232150591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54.565055232150591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80.374567532152696</v>
      </c>
      <c r="AO49" s="62">
        <f t="shared" si="36"/>
        <v>206.07482413353287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23.737340411726528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23.737340411726528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60.405981172366637</v>
      </c>
      <c r="BJ49" s="62">
        <f t="shared" si="38"/>
        <v>231.98338207539112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27.294820876586517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27.294820876586517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>
        <f>BY49*VLOOKUP('Données projet'!$B$12,Paramètres!$A$1:$I$89,3,0)*VLOOKUP('Données projet'!$B$12,Paramètres!$A$1:$I$89,5,0)</f>
        <v>0</v>
      </c>
      <c r="CA49" s="14" t="e">
        <f t="shared" si="39"/>
        <v>#NUM!</v>
      </c>
      <c r="CB49" s="22" t="e">
        <f t="shared" si="10"/>
        <v>#NUM!</v>
      </c>
      <c r="CC49" s="62" t="e">
        <f t="shared" si="11"/>
        <v>#NUM!</v>
      </c>
      <c r="CD49" s="62">
        <f ca="1">AVERAGE(OFFSET($CC$3,0,0,'Données projet'!$E$12+1,1))-AVERAGE(OFFSET($H$3,0,0,'Données projet'!$E$12+1,1))</f>
        <v>86.882151759063618</v>
      </c>
      <c r="CE49" s="62">
        <f t="shared" si="40"/>
        <v>324.50087615827215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40.076029266551295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40.076029266551295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103.47556287227775</v>
      </c>
      <c r="T50" s="62">
        <f t="shared" si="34"/>
        <v>428.60115421158082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53.495067780445545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53.495067780445545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80.374567532152696</v>
      </c>
      <c r="AO50" s="62">
        <f t="shared" si="36"/>
        <v>206.07482413353287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23.271865644600602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23.271865644600602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60.405981172366637</v>
      </c>
      <c r="BJ50" s="62">
        <f t="shared" si="38"/>
        <v>231.98338207539112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26.759586087393519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26.759586087393519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>
        <f>BY50*VLOOKUP('Données projet'!$B$12,Paramètres!$A$1:$I$89,3,0)*VLOOKUP('Données projet'!$B$12,Paramètres!$A$1:$I$89,5,0)</f>
        <v>0</v>
      </c>
      <c r="CA50" s="14" t="e">
        <f t="shared" si="39"/>
        <v>#NUM!</v>
      </c>
      <c r="CB50" s="22" t="e">
        <f t="shared" si="10"/>
        <v>#NUM!</v>
      </c>
      <c r="CC50" s="62" t="e">
        <f t="shared" si="11"/>
        <v>#NUM!</v>
      </c>
      <c r="CD50" s="62">
        <f ca="1">AVERAGE(OFFSET($CC$3,0,0,'Données projet'!$E$12+1,1))-AVERAGE(OFFSET($H$3,0,0,'Données projet'!$E$12+1,1))</f>
        <v>86.882151759063618</v>
      </c>
      <c r="CE50" s="62">
        <f t="shared" si="40"/>
        <v>324.50087615827215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39.290162776598436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39.290162776598436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103.47556287227775</v>
      </c>
      <c r="T51" s="62">
        <f t="shared" si="34"/>
        <v>428.60115421158082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52.446062130040531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52.446062130040531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80.374567532152696</v>
      </c>
      <c r="AO51" s="62">
        <f t="shared" si="36"/>
        <v>206.07482413353287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22.815518553746443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22.815518553746443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60.405981172366637</v>
      </c>
      <c r="BJ51" s="62">
        <f t="shared" si="38"/>
        <v>231.98338207539112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26.234846925955608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26.234846925955608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>
        <f>BY51*VLOOKUP('Données projet'!$B$12,Paramètres!$A$1:$I$89,3,0)*VLOOKUP('Données projet'!$B$12,Paramètres!$A$1:$I$89,5,0)</f>
        <v>0</v>
      </c>
      <c r="CA51" s="14" t="e">
        <f t="shared" si="39"/>
        <v>#NUM!</v>
      </c>
      <c r="CB51" s="22" t="e">
        <f t="shared" si="10"/>
        <v>#NUM!</v>
      </c>
      <c r="CC51" s="62" t="e">
        <f t="shared" si="11"/>
        <v>#NUM!</v>
      </c>
      <c r="CD51" s="62">
        <f ca="1">AVERAGE(OFFSET($CC$3,0,0,'Données projet'!$E$12+1,1))-AVERAGE(OFFSET($H$3,0,0,'Données projet'!$E$12+1,1))</f>
        <v>86.882151759063618</v>
      </c>
      <c r="CE51" s="62">
        <f t="shared" si="40"/>
        <v>324.50087615827215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38.519706649182325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38.519706649182325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103.47556287227775</v>
      </c>
      <c r="T52" s="62">
        <f t="shared" si="34"/>
        <v>428.60115421158082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51.417626840609692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51.417626840609692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80.374567532152696</v>
      </c>
      <c r="AO52" s="62">
        <f t="shared" si="36"/>
        <v>206.07482413353287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22.368120150999694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22.368120150999694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60.405981172366637</v>
      </c>
      <c r="BJ52" s="62">
        <f t="shared" si="38"/>
        <v>231.98338207539112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25.720397579414211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25.720397579414211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>
        <f>BY52*VLOOKUP('Données projet'!$B$12,Paramètres!$A$1:$I$89,3,0)*VLOOKUP('Données projet'!$B$12,Paramètres!$A$1:$I$89,5,0)</f>
        <v>0</v>
      </c>
      <c r="CA52" s="14" t="e">
        <f t="shared" si="39"/>
        <v>#NUM!</v>
      </c>
      <c r="CB52" s="22" t="e">
        <f t="shared" si="10"/>
        <v>#NUM!</v>
      </c>
      <c r="CC52" s="62" t="e">
        <f t="shared" si="11"/>
        <v>#NUM!</v>
      </c>
      <c r="CD52" s="62">
        <f ca="1">AVERAGE(OFFSET($CC$3,0,0,'Données projet'!$E$12+1,1))-AVERAGE(OFFSET($H$3,0,0,'Données projet'!$E$12+1,1))</f>
        <v>86.882151759063618</v>
      </c>
      <c r="CE52" s="62">
        <f t="shared" si="40"/>
        <v>324.50087615827215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37.764358696493005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37.764358696493005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103.47556287227775</v>
      </c>
      <c r="T53" s="62">
        <f t="shared" si="34"/>
        <v>428.60115421158082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50.409358539921001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50.409358539921001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80.374567532152696</v>
      </c>
      <c r="AO53" s="62">
        <f t="shared" si="36"/>
        <v>206.07482413353287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21.929494958044728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21.929494958044728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60.405981172366637</v>
      </c>
      <c r="BJ53" s="62">
        <f t="shared" si="38"/>
        <v>231.98338207539112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25.216036270775373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25.216036270775373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>
        <f>BY53*VLOOKUP('Données projet'!$B$12,Paramètres!$A$1:$I$89,3,0)*VLOOKUP('Données projet'!$B$12,Paramètres!$A$1:$I$89,5,0)</f>
        <v>0</v>
      </c>
      <c r="CA53" s="14" t="e">
        <f t="shared" si="39"/>
        <v>#NUM!</v>
      </c>
      <c r="CB53" s="22" t="e">
        <f t="shared" si="10"/>
        <v>#NUM!</v>
      </c>
      <c r="CC53" s="62" t="e">
        <f t="shared" si="11"/>
        <v>#NUM!</v>
      </c>
      <c r="CD53" s="62">
        <f ca="1">AVERAGE(OFFSET($CC$3,0,0,'Données projet'!$E$12+1,1))-AVERAGE(OFFSET($H$3,0,0,'Données projet'!$E$12+1,1))</f>
        <v>86.882151759063618</v>
      </c>
      <c r="CE53" s="62">
        <f t="shared" si="40"/>
        <v>324.50087615827215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37.023822656439165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37.023822656439165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103.47556287227775</v>
      </c>
      <c r="T54" s="62">
        <f t="shared" si="34"/>
        <v>428.60115421158082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49.42086176562588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49.42086176562588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80.374567532152696</v>
      </c>
      <c r="AO54" s="62">
        <f t="shared" si="36"/>
        <v>206.07482413353287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21.499470937588658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21.499470937588658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60.405981172366637</v>
      </c>
      <c r="BJ54" s="62">
        <f t="shared" si="38"/>
        <v>231.98338207539112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24.721565179768916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24.721565179768916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>
        <f>BY54*VLOOKUP('Données projet'!$B$12,Paramètres!$A$1:$I$89,3,0)*VLOOKUP('Données projet'!$B$12,Paramètres!$A$1:$I$89,5,0)</f>
        <v>0</v>
      </c>
      <c r="CA54" s="14" t="e">
        <f t="shared" si="39"/>
        <v>#NUM!</v>
      </c>
      <c r="CB54" s="22" t="e">
        <f t="shared" si="10"/>
        <v>#NUM!</v>
      </c>
      <c r="CC54" s="62" t="e">
        <f t="shared" si="11"/>
        <v>#NUM!</v>
      </c>
      <c r="CD54" s="62">
        <f ca="1">AVERAGE(OFFSET($CC$3,0,0,'Données projet'!$E$12+1,1))-AVERAGE(OFFSET($H$3,0,0,'Données projet'!$E$12+1,1))</f>
        <v>86.882151759063618</v>
      </c>
      <c r="CE54" s="62">
        <f t="shared" si="40"/>
        <v>324.50087615827215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36.297808076448398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36.297808076448398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103.47556287227775</v>
      </c>
      <c r="T55" s="62">
        <f t="shared" si="34"/>
        <v>428.60115421158082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48.451748810151187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48.451748810151187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80.374567532152696</v>
      </c>
      <c r="AO55" s="62">
        <f t="shared" si="36"/>
        <v>206.07482413353287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21.077879425884976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21.077879425884976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60.405981172366637</v>
      </c>
      <c r="BJ55" s="62">
        <f t="shared" si="38"/>
        <v>231.98338207539112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24.236790365259512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24.236790365259512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>
        <f>BY55*VLOOKUP('Données projet'!$B$12,Paramètres!$A$1:$I$89,3,0)*VLOOKUP('Données projet'!$B$12,Paramètres!$A$1:$I$89,5,0)</f>
        <v>0</v>
      </c>
      <c r="CA55" s="14" t="e">
        <f t="shared" si="39"/>
        <v>#NUM!</v>
      </c>
      <c r="CB55" s="22" t="e">
        <f t="shared" si="10"/>
        <v>#NUM!</v>
      </c>
      <c r="CC55" s="62" t="e">
        <f t="shared" si="11"/>
        <v>#NUM!</v>
      </c>
      <c r="CD55" s="62">
        <f ca="1">AVERAGE(OFFSET($CC$3,0,0,'Données projet'!$E$12+1,1))-AVERAGE(OFFSET($H$3,0,0,'Données projet'!$E$12+1,1))</f>
        <v>86.882151759063618</v>
      </c>
      <c r="CE55" s="62">
        <f t="shared" si="40"/>
        <v>324.50087615827215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35.58603019954608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35.58603019954608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103.47556287227775</v>
      </c>
      <c r="T56" s="62">
        <f t="shared" si="34"/>
        <v>428.60115421158082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47.501639568632818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47.501639568632818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80.374567532152696</v>
      </c>
      <c r="AO56" s="62">
        <f t="shared" si="36"/>
        <v>206.07482413353287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20.664555066580373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20.664555066580373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60.405981172366637</v>
      </c>
      <c r="BJ56" s="62">
        <f t="shared" si="38"/>
        <v>231.98338207539112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23.761521689179197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23.761521689179197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>
        <f>BY56*VLOOKUP('Données projet'!$B$12,Paramètres!$A$1:$I$89,3,0)*VLOOKUP('Données projet'!$B$12,Paramètres!$A$1:$I$89,5,0)</f>
        <v>0</v>
      </c>
      <c r="CA56" s="14" t="e">
        <f t="shared" si="39"/>
        <v>#NUM!</v>
      </c>
      <c r="CB56" s="22" t="e">
        <f t="shared" si="10"/>
        <v>#NUM!</v>
      </c>
      <c r="CC56" s="62" t="e">
        <f t="shared" si="11"/>
        <v>#NUM!</v>
      </c>
      <c r="CD56" s="62">
        <f ca="1">AVERAGE(OFFSET($CC$3,0,0,'Données projet'!$E$12+1,1))-AVERAGE(OFFSET($H$3,0,0,'Données projet'!$E$12+1,1))</f>
        <v>86.882151759063618</v>
      </c>
      <c r="CE56" s="62">
        <f t="shared" si="40"/>
        <v>324.50087615827215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34.888209852668176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34.888209852668176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103.47556287227775</v>
      </c>
      <c r="T57" s="62">
        <f t="shared" si="34"/>
        <v>428.60115421158082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46.570161389831206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46.570161389831206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80.374567532152696</v>
      </c>
      <c r="AO57" s="62">
        <f t="shared" si="36"/>
        <v>206.07482413353287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20.259335745858767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20.259335745858767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60.405981172366637</v>
      </c>
      <c r="BJ57" s="62">
        <f t="shared" si="38"/>
        <v>231.98338207539112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23.295572741951549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23.295572741951549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>
        <f>BY57*VLOOKUP('Données projet'!$B$12,Paramètres!$A$1:$I$89,3,0)*VLOOKUP('Données projet'!$B$12,Paramètres!$A$1:$I$89,5,0)</f>
        <v>0</v>
      </c>
      <c r="CA57" s="14" t="e">
        <f t="shared" si="39"/>
        <v>#NUM!</v>
      </c>
      <c r="CB57" s="22" t="e">
        <f t="shared" si="10"/>
        <v>#NUM!</v>
      </c>
      <c r="CC57" s="62" t="e">
        <f t="shared" si="11"/>
        <v>#NUM!</v>
      </c>
      <c r="CD57" s="62">
        <f ca="1">AVERAGE(OFFSET($CC$3,0,0,'Données projet'!$E$12+1,1))-AVERAGE(OFFSET($H$3,0,0,'Données projet'!$E$12+1,1))</f>
        <v>86.882151759063618</v>
      </c>
      <c r="CE57" s="62">
        <f t="shared" si="40"/>
        <v>324.50087615827215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34.204073337164168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34.204073337164168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103.47556287227775</v>
      </c>
      <c r="T58" s="62">
        <f t="shared" si="34"/>
        <v>428.60115421158082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45.656948929970305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45.656948929970305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80.374567532152696</v>
      </c>
      <c r="AO58" s="62">
        <f t="shared" si="36"/>
        <v>206.07482413353287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19.86206252885713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19.86206252885713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60.405981172366637</v>
      </c>
      <c r="BJ58" s="62">
        <f t="shared" si="38"/>
        <v>231.98338207539112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22.83876076937824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22.83876076937824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>
        <f>BY58*VLOOKUP('Données projet'!$B$12,Paramètres!$A$1:$I$89,3,0)*VLOOKUP('Données projet'!$B$12,Paramètres!$A$1:$I$89,5,0)</f>
        <v>0</v>
      </c>
      <c r="CA58" s="14" t="e">
        <f t="shared" si="39"/>
        <v>#NUM!</v>
      </c>
      <c r="CB58" s="22" t="e">
        <f t="shared" si="10"/>
        <v>#NUM!</v>
      </c>
      <c r="CC58" s="62" t="e">
        <f t="shared" si="11"/>
        <v>#NUM!</v>
      </c>
      <c r="CD58" s="62">
        <f ca="1">AVERAGE(OFFSET($CC$3,0,0,'Données projet'!$E$12+1,1))-AVERAGE(OFFSET($H$3,0,0,'Données projet'!$E$12+1,1))</f>
        <v>86.882151759063618</v>
      </c>
      <c r="CE58" s="62">
        <f t="shared" si="40"/>
        <v>324.50087615827215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33.533352321447119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33.533352321447119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103.47556287227775</v>
      </c>
      <c r="T59" s="62">
        <f t="shared" si="34"/>
        <v>428.60115421158082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44.761644009442676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44.761644009442676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80.374567532152696</v>
      </c>
      <c r="AO59" s="62">
        <f t="shared" si="36"/>
        <v>206.07482413353287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19.47257959732816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19.47257959732816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60.405981172366637</v>
      </c>
      <c r="BJ59" s="62">
        <f t="shared" si="38"/>
        <v>231.98338207539112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22.390906600959301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22.390906600959301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>
        <f>BY59*VLOOKUP('Données projet'!$B$12,Paramètres!$A$1:$I$89,3,0)*VLOOKUP('Données projet'!$B$12,Paramètres!$A$1:$I$89,5,0)</f>
        <v>0</v>
      </c>
      <c r="CA59" s="14" t="e">
        <f t="shared" si="39"/>
        <v>#NUM!</v>
      </c>
      <c r="CB59" s="22" t="e">
        <f t="shared" si="10"/>
        <v>#NUM!</v>
      </c>
      <c r="CC59" s="62" t="e">
        <f t="shared" si="11"/>
        <v>#NUM!</v>
      </c>
      <c r="CD59" s="62">
        <f ca="1">AVERAGE(OFFSET($CC$3,0,0,'Données projet'!$E$12+1,1))-AVERAGE(OFFSET($H$3,0,0,'Données projet'!$E$12+1,1))</f>
        <v>86.882151759063618</v>
      </c>
      <c r="CE59" s="62">
        <f t="shared" si="40"/>
        <v>324.50087615827215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32.875783735748861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32.875783735748861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103.47556287227775</v>
      </c>
      <c r="T60" s="62">
        <f t="shared" si="34"/>
        <v>428.60115421158082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43.883895472324511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43.883895472324511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80.374567532152696</v>
      </c>
      <c r="AO60" s="62">
        <f t="shared" si="36"/>
        <v>206.07482413353287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19.090734188525342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19.090734188525342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60.405981172366637</v>
      </c>
      <c r="BJ60" s="62">
        <f t="shared" si="38"/>
        <v>231.98338207539112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21.951834579618989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21.951834579618989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>
        <f>BY60*VLOOKUP('Données projet'!$B$12,Paramètres!$A$1:$I$89,3,0)*VLOOKUP('Données projet'!$B$12,Paramètres!$A$1:$I$89,5,0)</f>
        <v>0</v>
      </c>
      <c r="CA60" s="14" t="e">
        <f t="shared" si="39"/>
        <v>#NUM!</v>
      </c>
      <c r="CB60" s="22" t="e">
        <f t="shared" si="10"/>
        <v>#NUM!</v>
      </c>
      <c r="CC60" s="62" t="e">
        <f t="shared" si="11"/>
        <v>#NUM!</v>
      </c>
      <c r="CD60" s="62">
        <f ca="1">AVERAGE(OFFSET($CC$3,0,0,'Données projet'!$E$12+1,1))-AVERAGE(OFFSET($H$3,0,0,'Données projet'!$E$12+1,1))</f>
        <v>86.882151759063618</v>
      </c>
      <c r="CE60" s="62">
        <f t="shared" si="40"/>
        <v>324.50087615827215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32.231109668938913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32.231109668938913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103.47556287227775</v>
      </c>
      <c r="T61" s="62">
        <f t="shared" si="34"/>
        <v>428.60115421158082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43.023359048645489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43.023359048645489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80.374567532152696</v>
      </c>
      <c r="AO61" s="62">
        <f t="shared" si="36"/>
        <v>206.07482413353287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18.716376535286447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18.716376535286447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60.405981172366637</v>
      </c>
      <c r="BJ61" s="62">
        <f t="shared" si="38"/>
        <v>231.98338207539112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21.521372492809672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21.521372492809672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>
        <f>BY61*VLOOKUP('Données projet'!$B$12,Paramètres!$A$1:$I$89,3,0)*VLOOKUP('Données projet'!$B$12,Paramètres!$A$1:$I$89,5,0)</f>
        <v>0</v>
      </c>
      <c r="CA61" s="14" t="e">
        <f t="shared" si="39"/>
        <v>#NUM!</v>
      </c>
      <c r="CB61" s="22" t="e">
        <f t="shared" si="10"/>
        <v>#NUM!</v>
      </c>
      <c r="CC61" s="62" t="e">
        <f t="shared" si="11"/>
        <v>#NUM!</v>
      </c>
      <c r="CD61" s="62">
        <f ca="1">AVERAGE(OFFSET($CC$3,0,0,'Données projet'!$E$12+1,1))-AVERAGE(OFFSET($H$3,0,0,'Données projet'!$E$12+1,1))</f>
        <v>86.882151759063618</v>
      </c>
      <c r="CE61" s="62">
        <f t="shared" si="40"/>
        <v>324.50087615827215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31.599077267366752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31.599077267366752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103.47556287227775</v>
      </c>
      <c r="T62" s="62">
        <f t="shared" si="34"/>
        <v>428.60115421158082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42.179697219359419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42.179697219359419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80.374567532152696</v>
      </c>
      <c r="AO62" s="62">
        <f t="shared" si="36"/>
        <v>206.07482413353287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18.349359807291943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18.349359807291943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60.405981172366637</v>
      </c>
      <c r="BJ62" s="62">
        <f t="shared" si="38"/>
        <v>231.98338207539112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21.099351504966737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21.099351504966737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>
        <f>BY62*VLOOKUP('Données projet'!$B$12,Paramètres!$A$1:$I$89,3,0)*VLOOKUP('Données projet'!$B$12,Paramètres!$A$1:$I$89,5,0)</f>
        <v>0</v>
      </c>
      <c r="CA62" s="14" t="e">
        <f t="shared" si="39"/>
        <v>#NUM!</v>
      </c>
      <c r="CB62" s="22" t="e">
        <f t="shared" si="10"/>
        <v>#NUM!</v>
      </c>
      <c r="CC62" s="62" t="e">
        <f t="shared" si="11"/>
        <v>#NUM!</v>
      </c>
      <c r="CD62" s="62">
        <f ca="1">AVERAGE(OFFSET($CC$3,0,0,'Données projet'!$E$12+1,1))-AVERAGE(OFFSET($H$3,0,0,'Données projet'!$E$12+1,1))</f>
        <v>86.882151759063618</v>
      </c>
      <c r="CE62" s="62">
        <f t="shared" si="40"/>
        <v>324.50087615827215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30.979438635687721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30.979438635687721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103.47556287227775</v>
      </c>
      <c r="T63" s="62">
        <f t="shared" si="34"/>
        <v>428.60115421158082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41.352579083962745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41.352579083962745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80.374567532152696</v>
      </c>
      <c r="AO63" s="62">
        <f t="shared" si="36"/>
        <v>206.07482413353287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17.989540053475313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17.989540053475313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60.405981172366637</v>
      </c>
      <c r="BJ63" s="62">
        <f t="shared" si="38"/>
        <v>231.98338207539112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20.685606091288015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20.685606091288015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>
        <f>BY63*VLOOKUP('Données projet'!$B$12,Paramètres!$A$1:$I$89,3,0)*VLOOKUP('Données projet'!$B$12,Paramètres!$A$1:$I$89,5,0)</f>
        <v>0</v>
      </c>
      <c r="CA63" s="14" t="e">
        <f t="shared" si="39"/>
        <v>#NUM!</v>
      </c>
      <c r="CB63" s="22" t="e">
        <f t="shared" si="10"/>
        <v>#NUM!</v>
      </c>
      <c r="CC63" s="62" t="e">
        <f t="shared" si="11"/>
        <v>#NUM!</v>
      </c>
      <c r="CD63" s="62">
        <f ca="1">AVERAGE(OFFSET($CC$3,0,0,'Données projet'!$E$12+1,1))-AVERAGE(OFFSET($H$3,0,0,'Données projet'!$E$12+1,1))</f>
        <v>86.882151759063618</v>
      </c>
      <c r="CE63" s="62">
        <f t="shared" si="40"/>
        <v>324.50087615827215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30.371950739633668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30.371950739633668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103.47556287227775</v>
      </c>
      <c r="T64" s="62">
        <f t="shared" si="34"/>
        <v>428.60115421158082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40.541680230708955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40.541680230708955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80.374567532152696</v>
      </c>
      <c r="AO64" s="62">
        <f t="shared" si="36"/>
        <v>206.07482413353287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17.636776145562646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17.636776145562646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60.405981172366637</v>
      </c>
      <c r="BJ64" s="62">
        <f t="shared" si="38"/>
        <v>231.98338207539112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20.279973972811749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20.279973972811749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>
        <f>BY64*VLOOKUP('Données projet'!$B$12,Paramètres!$A$1:$I$89,3,0)*VLOOKUP('Données projet'!$B$12,Paramètres!$A$1:$I$89,5,0)</f>
        <v>0</v>
      </c>
      <c r="CA64" s="14" t="e">
        <f t="shared" si="39"/>
        <v>#NUM!</v>
      </c>
      <c r="CB64" s="22" t="e">
        <f t="shared" si="10"/>
        <v>#NUM!</v>
      </c>
      <c r="CC64" s="62" t="e">
        <f t="shared" si="11"/>
        <v>#NUM!</v>
      </c>
      <c r="CD64" s="62">
        <f ca="1">AVERAGE(OFFSET($CC$3,0,0,'Données projet'!$E$12+1,1))-AVERAGE(OFFSET($H$3,0,0,'Données projet'!$E$12+1,1))</f>
        <v>86.882151759063618</v>
      </c>
      <c r="CE64" s="62">
        <f t="shared" si="40"/>
        <v>324.50087615827215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29.776375310690206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29.776375310690206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103.47556287227775</v>
      </c>
      <c r="T65" s="62">
        <f t="shared" si="34"/>
        <v>428.60115421158082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39.746682609368008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39.746682609368008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80.374567532152696</v>
      </c>
      <c r="AO65" s="62">
        <f t="shared" si="36"/>
        <v>206.07482413353287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17.290929722719408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17.290929722719408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60.405981172366637</v>
      </c>
      <c r="BJ65" s="62">
        <f t="shared" si="38"/>
        <v>231.98338207539112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19.882296052767643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19.882296052767643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>
        <f>BY65*VLOOKUP('Données projet'!$B$12,Paramètres!$A$1:$I$89,3,0)*VLOOKUP('Données projet'!$B$12,Paramètres!$A$1:$I$89,5,0)</f>
        <v>0</v>
      </c>
      <c r="CA65" s="14" t="e">
        <f t="shared" si="39"/>
        <v>#NUM!</v>
      </c>
      <c r="CB65" s="22" t="e">
        <f t="shared" si="10"/>
        <v>#NUM!</v>
      </c>
      <c r="CC65" s="62" t="e">
        <f t="shared" si="11"/>
        <v>#NUM!</v>
      </c>
      <c r="CD65" s="62">
        <f ca="1">AVERAGE(OFFSET($CC$3,0,0,'Données projet'!$E$12+1,1))-AVERAGE(OFFSET($H$3,0,0,'Données projet'!$E$12+1,1))</f>
        <v>86.882151759063618</v>
      </c>
      <c r="CE65" s="62">
        <f t="shared" si="40"/>
        <v>324.50087615827215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29.192478752643183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29.192478752643183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103.47556287227775</v>
      </c>
      <c r="T66" s="62">
        <f t="shared" si="34"/>
        <v>428.60115421158082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38.96727440648089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38.96727440648089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80.374567532152696</v>
      </c>
      <c r="AO66" s="62">
        <f t="shared" si="36"/>
        <v>206.07482413353287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16.951865137282638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16.951865137282638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60.405981172366637</v>
      </c>
      <c r="BJ66" s="62">
        <f t="shared" si="38"/>
        <v>231.98338207539112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19.492416354176019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19.492416354176019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>
        <f>BY66*VLOOKUP('Données projet'!$B$12,Paramètres!$A$1:$I$89,3,0)*VLOOKUP('Données projet'!$B$12,Paramètres!$A$1:$I$89,5,0)</f>
        <v>0</v>
      </c>
      <c r="CA66" s="14" t="e">
        <f t="shared" si="39"/>
        <v>#NUM!</v>
      </c>
      <c r="CB66" s="22" t="e">
        <f t="shared" si="10"/>
        <v>#NUM!</v>
      </c>
      <c r="CC66" s="62" t="e">
        <f t="shared" si="11"/>
        <v>#NUM!</v>
      </c>
      <c r="CD66" s="62">
        <f ca="1">AVERAGE(OFFSET($CC$3,0,0,'Données projet'!$E$12+1,1))-AVERAGE(OFFSET($H$3,0,0,'Données projet'!$E$12+1,1))</f>
        <v>86.882151759063618</v>
      </c>
      <c r="CE66" s="62">
        <f t="shared" si="40"/>
        <v>324.50087615827215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28.620032049957725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28.620032049957725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103.47556287227775</v>
      </c>
      <c r="T67" s="62">
        <f t="shared" si="34"/>
        <v>428.60115421158082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38.203149923060323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38.203149923060323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80.374567532152696</v>
      </c>
      <c r="AO67" s="62">
        <f t="shared" si="36"/>
        <v>206.07482413353287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16.619449401557308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16.619449401557308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60.405981172366637</v>
      </c>
      <c r="BJ67" s="62">
        <f t="shared" si="38"/>
        <v>231.98338207539112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19.110181958670641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19.110181958670641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>
        <f>BY67*VLOOKUP('Données projet'!$B$12,Paramètres!$A$1:$I$89,3,0)*VLOOKUP('Données projet'!$B$12,Paramètres!$A$1:$I$89,5,0)</f>
        <v>0</v>
      </c>
      <c r="CA67" s="14" t="e">
        <f t="shared" si="39"/>
        <v>#NUM!</v>
      </c>
      <c r="CB67" s="22" t="e">
        <f t="shared" si="10"/>
        <v>#NUM!</v>
      </c>
      <c r="CC67" s="62" t="e">
        <f t="shared" si="11"/>
        <v>#NUM!</v>
      </c>
      <c r="CD67" s="62">
        <f ca="1">AVERAGE(OFFSET($CC$3,0,0,'Données projet'!$E$12+1,1))-AVERAGE(OFFSET($H$3,0,0,'Données projet'!$E$12+1,1))</f>
        <v>86.882151759063618</v>
      </c>
      <c r="CE67" s="62">
        <f t="shared" si="40"/>
        <v>324.50087615827215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28.058810677953918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28.058810677953918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103.47556287227775</v>
      </c>
      <c r="T68" s="62">
        <f t="shared" si="34"/>
        <v>428.60115421158082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37.454009454689718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37.454009454689718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80.374567532152696</v>
      </c>
      <c r="AO68" s="62">
        <f t="shared" si="36"/>
        <v>206.07482413353287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16.293552135655972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16.293552135655972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60.405981172366637</v>
      </c>
      <c r="BJ68" s="62">
        <f t="shared" si="38"/>
        <v>231.98338207539112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18.735442946521164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18.735442946521164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>
        <f>BY68*VLOOKUP('Données projet'!$B$12,Paramètres!$A$1:$I$89,3,0)*VLOOKUP('Données projet'!$B$12,Paramètres!$A$1:$I$89,5,0)</f>
        <v>0</v>
      </c>
      <c r="CA68" s="14" t="e">
        <f t="shared" si="39"/>
        <v>#NUM!</v>
      </c>
      <c r="CB68" s="22" t="e">
        <f t="shared" ref="CB68:CB131" si="64">(BZ68+CA68)*0.475*44/12</f>
        <v>#NUM!</v>
      </c>
      <c r="CC68" s="62" t="e">
        <f t="shared" ref="CC68:CC131" si="65">CB68+(BT68+BU68)*44/12</f>
        <v>#NUM!</v>
      </c>
      <c r="CD68" s="62">
        <f ca="1">AVERAGE(OFFSET($CC$3,0,0,'Données projet'!$E$12+1,1))-AVERAGE(OFFSET($H$3,0,0,'Données projet'!$E$12+1,1))</f>
        <v>86.882151759063618</v>
      </c>
      <c r="CE68" s="62">
        <f t="shared" si="40"/>
        <v>324.50087615827215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27.508594514743869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27.508594514743869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103.47556287227775</v>
      </c>
      <c r="T69" s="62">
        <f t="shared" ref="T69:T132" si="88">$T$3</f>
        <v>428.60115421158082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36.719559173973295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36.719559173973295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80.374567532152696</v>
      </c>
      <c r="AO69" s="62">
        <f t="shared" ref="AO69:AO132" si="90">$AO$3</f>
        <v>206.07482413353287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15.974045516361256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15.974045516361256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60.405981172366637</v>
      </c>
      <c r="BJ69" s="62">
        <f t="shared" ref="BJ69:BJ132" si="92">$BJ$3</f>
        <v>231.98338207539112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18.36805233783171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18.36805233783171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>
        <f>BY69*VLOOKUP('Données projet'!$B$12,Paramètres!$A$1:$I$89,3,0)*VLOOKUP('Données projet'!$B$12,Paramètres!$A$1:$I$89,5,0)</f>
        <v>0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86.882151759063618</v>
      </c>
      <c r="CE69" s="62">
        <f t="shared" ref="CE69:CE132" si="94">$CE$3</f>
        <v>324.50087615827215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26.969167754895647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26.969167754895647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103.47556287227775</v>
      </c>
      <c r="T70" s="62">
        <f t="shared" si="88"/>
        <v>428.60115421158082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35.999511015291283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35.999511015291283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80.374567532152696</v>
      </c>
      <c r="AO70" s="62">
        <f t="shared" si="90"/>
        <v>206.07482413353287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15.660804226991115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15.660804226991115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60.405981172366637</v>
      </c>
      <c r="BJ70" s="62">
        <f t="shared" si="92"/>
        <v>231.98338207539112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18.007866034892512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18.007866034892512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>
        <f>BY70*VLOOKUP('Données projet'!$B$12,Paramètres!$A$1:$I$89,3,0)*VLOOKUP('Données projet'!$B$12,Paramètres!$A$1:$I$89,5,0)</f>
        <v>0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86.882151759063618</v>
      </c>
      <c r="CE70" s="62">
        <f t="shared" si="94"/>
        <v>324.50087615827215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26.440318824790214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26.440318824790214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103.47556287227775</v>
      </c>
      <c r="T71" s="62">
        <f t="shared" si="88"/>
        <v>428.60115421158082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35.293582561815015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35.293582561815015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80.374567532152696</v>
      </c>
      <c r="AO71" s="62">
        <f t="shared" si="90"/>
        <v>206.07482413353287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15.353705408247201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15.353705408247201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60.405981172366637</v>
      </c>
      <c r="BJ71" s="62">
        <f t="shared" si="92"/>
        <v>231.98338207539112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17.654742765662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17.654742765662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>
        <f>BY71*VLOOKUP('Données projet'!$B$12,Paramètres!$A$1:$I$89,3,0)*VLOOKUP('Données projet'!$B$12,Paramètres!$A$1:$I$89,5,0)</f>
        <v>0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86.882151759063618</v>
      </c>
      <c r="CE71" s="62">
        <f t="shared" si="94"/>
        <v>324.50087615827215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25.921840299638152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25.921840299638152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103.47556287227775</v>
      </c>
      <c r="T72" s="62">
        <f t="shared" si="88"/>
        <v>428.60115421158082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34.601496934737575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34.601496934737575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80.374567532152696</v>
      </c>
      <c r="AO72" s="62">
        <f t="shared" si="90"/>
        <v>206.07482413353287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15.052628610027071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15.052628610027071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60.405981172366637</v>
      </c>
      <c r="BJ72" s="62">
        <f t="shared" si="92"/>
        <v>231.98338207539112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17.308544028357172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17.308544028357172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>
        <f>BY72*VLOOKUP('Données projet'!$B$12,Paramètres!$A$1:$I$89,3,0)*VLOOKUP('Données projet'!$B$12,Paramètres!$A$1:$I$89,5,0)</f>
        <v>0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86.882151759063618</v>
      </c>
      <c r="CE72" s="62">
        <f t="shared" si="94"/>
        <v>324.50087615827215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25.413528822123649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25.413528822123649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103.47556287227775</v>
      </c>
      <c r="T73" s="62">
        <f t="shared" si="88"/>
        <v>428.60115421158082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33.922982684676576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33.922982684676576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80.374567532152696</v>
      </c>
      <c r="AO73" s="62">
        <f t="shared" si="90"/>
        <v>206.07482413353287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14.757455744181325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14.757455744181325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60.405981172366637</v>
      </c>
      <c r="BJ73" s="62">
        <f t="shared" si="92"/>
        <v>231.98338207539112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16.969134037130512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16.969134037130512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>
        <f>BY73*VLOOKUP('Données projet'!$B$12,Paramètres!$A$1:$I$89,3,0)*VLOOKUP('Données projet'!$B$12,Paramètres!$A$1:$I$89,5,0)</f>
        <v>0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86.882151759063618</v>
      </c>
      <c r="CE73" s="62">
        <f t="shared" si="94"/>
        <v>324.50087615827215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24.915185022643815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24.915185022643815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103.47556287227775</v>
      </c>
      <c r="T74" s="62">
        <f t="shared" si="88"/>
        <v>428.60115421158082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33.257773685206445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33.257773685206445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80.374567532152696</v>
      </c>
      <c r="AO74" s="62">
        <f t="shared" si="90"/>
        <v>206.07482413353287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14.468071038197142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14.468071038197142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60.405981172366637</v>
      </c>
      <c r="BJ74" s="62">
        <f t="shared" si="92"/>
        <v>231.98338207539112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16.636379668812154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16.636379668812154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projet'!$B$12,Paramètres!$A$1:$I$89,3,0)*VLOOKUP('Données projet'!$B$12,Paramètres!$A$1:$I$89,5,0)</f>
        <v>0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86.882151759063618</v>
      </c>
      <c r="CE74" s="62">
        <f t="shared" si="94"/>
        <v>324.50087615827215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24.426613441112078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24.426613441112078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103.47556287227775</v>
      </c>
      <c r="T75" s="62">
        <f t="shared" si="88"/>
        <v>428.60115421158082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32.60560902847849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32.60560902847849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80.374567532152696</v>
      </c>
      <c r="AO75" s="62">
        <f t="shared" si="90"/>
        <v>206.07482413353287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14.184360989790067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14.184360989790067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60.405981172366637</v>
      </c>
      <c r="BJ75" s="62">
        <f t="shared" si="92"/>
        <v>231.98338207539112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16.310150410696394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16.310150410696394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projet'!$B$12,Paramètres!$A$1:$I$89,3,0)*VLOOKUP('Données projet'!$B$12,Paramètres!$A$1:$I$89,5,0)</f>
        <v>0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86.882151759063618</v>
      </c>
      <c r="CE75" s="62">
        <f t="shared" si="94"/>
        <v>324.50087615827215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23.94762245029494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23.94762245029494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103.47556287227775</v>
      </c>
      <c r="T76" s="62">
        <f t="shared" si="88"/>
        <v>428.60115421158082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31.966232922887812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31.966232922887812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80.374567532152696</v>
      </c>
      <c r="AO76" s="62">
        <f t="shared" si="90"/>
        <v>206.07482413353287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13.906214322386212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13.906214322386212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60.405981172366637</v>
      </c>
      <c r="BJ76" s="62">
        <f t="shared" si="92"/>
        <v>231.98338207539112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15.990318309352084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15.990318309352084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projet'!$B$12,Paramètres!$A$1:$I$89,3,0)*VLOOKUP('Données projet'!$B$12,Paramètres!$A$1:$I$89,5,0)</f>
        <v>0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86.882151759063618</v>
      </c>
      <c r="CE76" s="62">
        <f t="shared" si="94"/>
        <v>324.50087615827215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23.478024180652067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23.478024180652067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103.47556287227775</v>
      </c>
      <c r="T77" s="62">
        <f t="shared" si="88"/>
        <v>428.60115421158082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31.339394592746849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31.339394592746849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80.374567532152696</v>
      </c>
      <c r="AO77" s="62">
        <f t="shared" si="90"/>
        <v>206.07482413353287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13.633521941477431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13.633521941477431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60.405981172366637</v>
      </c>
      <c r="BJ77" s="62">
        <f t="shared" si="92"/>
        <v>231.98338207539112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15.676757920436817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15.676757920436817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projet'!$B$12,Paramètres!$A$1:$I$89,3,0)*VLOOKUP('Données projet'!$B$12,Paramètres!$A$1:$I$89,5,0)</f>
        <v>0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86.882151759063618</v>
      </c>
      <c r="CE77" s="62">
        <f t="shared" si="94"/>
        <v>324.50087615827215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23.017634446650231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23.017634446650231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103.47556287227775</v>
      </c>
      <c r="T78" s="62">
        <f t="shared" si="88"/>
        <v>428.60115421158082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30.724848179926322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30.724848179926322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80.374567532152696</v>
      </c>
      <c r="AO78" s="62">
        <f t="shared" si="90"/>
        <v>206.07482413353287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13.366176891832342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13.366176891832342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60.405981172366637</v>
      </c>
      <c r="BJ78" s="62">
        <f t="shared" si="92"/>
        <v>231.98338207539112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15.369346259495225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15.369346259495225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projet'!$B$12,Paramètres!$A$1:$I$89,3,0)*VLOOKUP('Données projet'!$B$12,Paramètres!$A$1:$I$89,5,0)</f>
        <v>0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86.882151759063618</v>
      </c>
      <c r="CE78" s="62">
        <f t="shared" si="94"/>
        <v>324.50087615827215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22.56627267452216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22.56627267452216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103.47556287227775</v>
      </c>
      <c r="T79" s="62">
        <f t="shared" si="88"/>
        <v>428.60115421158082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30.122352647424904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30.122352647424904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80.374567532152696</v>
      </c>
      <c r="AO79" s="62">
        <f t="shared" si="90"/>
        <v>206.07482413353287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13.104074315546416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13.104074315546416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60.405981172366637</v>
      </c>
      <c r="BJ79" s="62">
        <f t="shared" si="92"/>
        <v>231.98338207539112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15.067962753722099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15.067962753722099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projet'!$B$12,Paramètres!$A$1:$I$89,3,0)*VLOOKUP('Données projet'!$B$12,Paramètres!$A$1:$I$89,5,0)</f>
        <v>0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86.882151759063618</v>
      </c>
      <c r="CE79" s="62">
        <f t="shared" si="94"/>
        <v>324.50087615827215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22.123761831442025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22.123761831442025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103.47556287227775</v>
      </c>
      <c r="T80" s="62">
        <f t="shared" si="88"/>
        <v>428.60115421158082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29.531671684829853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29.531671684829853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80.374567532152696</v>
      </c>
      <c r="AO80" s="62">
        <f t="shared" si="90"/>
        <v>206.07482413353287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12.847111410914671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12.847111410914671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60.405981172366637</v>
      </c>
      <c r="BJ80" s="62">
        <f t="shared" si="92"/>
        <v>231.98338207539112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14.772489194671397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14.772489194671397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projet'!$B$12,Paramètres!$A$1:$I$89,3,0)*VLOOKUP('Données projet'!$B$12,Paramètres!$A$1:$I$89,5,0)</f>
        <v>0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86.882151759063618</v>
      </c>
      <c r="CE80" s="62">
        <f t="shared" si="94"/>
        <v>324.50087615827215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21.689928356089727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21.689928356089727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103.47556287227775</v>
      </c>
      <c r="T81" s="62">
        <f t="shared" si="88"/>
        <v>428.60115421158082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28.952573615631476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28.952573615631476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80.374567532152696</v>
      </c>
      <c r="AO81" s="62">
        <f t="shared" si="90"/>
        <v>206.07482413353287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12.595187392110859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12.595187392110859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60.405981172366637</v>
      </c>
      <c r="BJ81" s="62">
        <f t="shared" si="92"/>
        <v>231.98338207539112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14.482809691892603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14.482809691892603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projet'!$B$12,Paramètres!$A$1:$I$89,3,0)*VLOOKUP('Données projet'!$B$12,Paramètres!$A$1:$I$89,5,0)</f>
        <v>0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86.882151759063618</v>
      </c>
      <c r="CE81" s="62">
        <f t="shared" si="94"/>
        <v>324.50087615827215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21.264602090576794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21.264602090576794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103.47556287227775</v>
      </c>
      <c r="T82" s="62">
        <f t="shared" si="88"/>
        <v>428.60115421158082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28.384831306355135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28.384831306355135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80.374567532152696</v>
      </c>
      <c r="AO82" s="62">
        <f t="shared" si="90"/>
        <v>206.07482413353287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12.348203449657309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12.348203449657309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60.405981172366637</v>
      </c>
      <c r="BJ82" s="62">
        <f t="shared" si="92"/>
        <v>231.98338207539112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14.198810627476252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14.198810627476252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projet'!$B$12,Paramètres!$A$1:$I$89,3,0)*VLOOKUP('Données projet'!$B$12,Paramètres!$A$1:$I$89,5,0)</f>
        <v>0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86.882151759063618</v>
      </c>
      <c r="CE82" s="62">
        <f t="shared" si="94"/>
        <v>324.50087615827215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20.847616213707166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20.847616213707166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103.47556287227775</v>
      </c>
      <c r="T83" s="62">
        <f t="shared" si="88"/>
        <v>428.60115421158082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27.828222077475086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27.828222077475086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80.374567532152696</v>
      </c>
      <c r="AO83" s="62">
        <f t="shared" si="90"/>
        <v>206.07482413353287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12.106062711669944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12.106062711669944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60.405981172366637</v>
      </c>
      <c r="BJ83" s="62">
        <f t="shared" si="92"/>
        <v>231.98338207539112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13.92038061149078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13.92038061149078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projet'!$B$12,Paramètres!$A$1:$I$89,3,0)*VLOOKUP('Données projet'!$B$12,Paramètres!$A$1:$I$89,5,0)</f>
        <v>0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86.882151759063618</v>
      </c>
      <c r="CE83" s="62">
        <f t="shared" si="94"/>
        <v>324.50087615827215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20.438807175546678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20.438807175546678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103.47556287227775</v>
      </c>
      <c r="T84" s="62">
        <f t="shared" si="88"/>
        <v>428.60115421158082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27.282527616075271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27.282527616075271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80.374567532152696</v>
      </c>
      <c r="AO84" s="62">
        <f t="shared" si="90"/>
        <v>206.07482413353287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11.868670205863245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11.868670205863245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60.405981172366637</v>
      </c>
      <c r="BJ84" s="62">
        <f t="shared" si="92"/>
        <v>231.98338207539112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13.647410438293242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13.647410438293242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projet'!$B$12,Paramètres!$A$1:$I$89,3,0)*VLOOKUP('Données projet'!$B$12,Paramètres!$A$1:$I$89,5,0)</f>
        <v>0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86.882151759063618</v>
      </c>
      <c r="CE84" s="62">
        <f t="shared" si="94"/>
        <v>324.50087615827215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20.038014633275626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20.038014633275626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103.47556287227775</v>
      </c>
      <c r="T85" s="62">
        <f t="shared" si="88"/>
        <v>428.60115421158082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26.747533890222748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26.747533890222748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80.374567532152696</v>
      </c>
      <c r="AO85" s="62">
        <f t="shared" si="90"/>
        <v>206.07482413353287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11.635932822300283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11.635932822300283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60.405981172366637</v>
      </c>
      <c r="BJ85" s="62">
        <f t="shared" si="92"/>
        <v>231.98338207539112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13.379793043696743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13.379793043696743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projet'!$B$12,Paramètres!$A$1:$I$89,3,0)*VLOOKUP('Données projet'!$B$12,Paramètres!$A$1:$I$89,5,0)</f>
        <v>0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86.882151759063618</v>
      </c>
      <c r="CE85" s="62">
        <f t="shared" si="94"/>
        <v>324.50087615827215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19.645081388299197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19.645081388299197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103.47556287227775</v>
      </c>
      <c r="T86" s="62">
        <f t="shared" si="88"/>
        <v>428.60115421158082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26.223031065020241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26.223031065020241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80.374567532152696</v>
      </c>
      <c r="AO86" s="62">
        <f t="shared" si="90"/>
        <v>206.07482413353287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11.407759276873204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11.407759276873204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60.405981172366637</v>
      </c>
      <c r="BJ86" s="62">
        <f t="shared" si="92"/>
        <v>231.98338207539112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13.117423462977788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13.117423462977788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projet'!$B$12,Paramètres!$A$1:$I$89,3,0)*VLOOKUP('Données projet'!$B$12,Paramètres!$A$1:$I$89,5,0)</f>
        <v>0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86.882151759063618</v>
      </c>
      <c r="CE86" s="62">
        <f t="shared" si="94"/>
        <v>324.50087615827215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19.259853324591141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19.259853324591141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103.47556287227775</v>
      </c>
      <c r="T87" s="62">
        <f t="shared" si="88"/>
        <v>428.60115421158082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25.708813420304821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25.708813420304821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80.374567532152696</v>
      </c>
      <c r="AO87" s="62">
        <f t="shared" si="90"/>
        <v>206.07482413353287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11.184060075499829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11.184060075499829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60.405981172366637</v>
      </c>
      <c r="BJ87" s="62">
        <f t="shared" si="92"/>
        <v>231.98338207539112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12.86019878970709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12.86019878970709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projet'!$B$12,Paramètres!$A$1:$I$89,3,0)*VLOOKUP('Données projet'!$B$12,Paramètres!$A$1:$I$89,5,0)</f>
        <v>0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86.882151759063618</v>
      </c>
      <c r="CE87" s="62">
        <f t="shared" si="94"/>
        <v>324.50087615827215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18.882179348246481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18.882179348246481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103.47556287227775</v>
      </c>
      <c r="T88" s="62">
        <f t="shared" si="88"/>
        <v>428.60115421158082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25.204679269960476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25.204679269960476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80.374567532152696</v>
      </c>
      <c r="AO88" s="62">
        <f t="shared" si="90"/>
        <v>206.07482413353287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10.964747479022346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10.964747479022346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60.405981172366637</v>
      </c>
      <c r="BJ88" s="62">
        <f t="shared" si="92"/>
        <v>231.98338207539112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12.60801813538767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12.60801813538767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projet'!$B$12,Paramètres!$A$1:$I$89,3,0)*VLOOKUP('Données projet'!$B$12,Paramètres!$A$1:$I$89,5,0)</f>
        <v>0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86.882151759063618</v>
      </c>
      <c r="CE88" s="62">
        <f t="shared" si="94"/>
        <v>324.50087615827215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18.511911328219561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18.511911328219561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103.47556287227775</v>
      </c>
      <c r="T89" s="62">
        <f t="shared" si="88"/>
        <v>428.60115421158082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24.710430882812915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24.710430882812915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80.374567532152696</v>
      </c>
      <c r="AO89" s="62">
        <f t="shared" si="90"/>
        <v>206.07482413353287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10.749735468794311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10.749735468794311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60.405981172366637</v>
      </c>
      <c r="BJ89" s="62">
        <f t="shared" si="92"/>
        <v>231.98338207539112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12.360782589884444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12.360782589884444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projet'!$B$12,Paramètres!$A$1:$I$89,3,0)*VLOOKUP('Données projet'!$B$12,Paramètres!$A$1:$I$89,5,0)</f>
        <v>0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86.882151759063618</v>
      </c>
      <c r="CE89" s="62">
        <f t="shared" si="94"/>
        <v>324.50087615827215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18.148904038224178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18.148904038224178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103.47556287227775</v>
      </c>
      <c r="T90" s="62">
        <f t="shared" si="88"/>
        <v>428.60115421158082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24.225874405075569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24.225874405075569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80.374567532152696</v>
      </c>
      <c r="AO90" s="62">
        <f t="shared" si="90"/>
        <v>206.07482413353287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10.53893971294247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10.53893971294247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60.405981172366637</v>
      </c>
      <c r="BJ90" s="62">
        <f t="shared" si="92"/>
        <v>231.98338207539112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12.118395182629742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12.118395182629742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projet'!$B$12,Paramètres!$A$1:$I$89,3,0)*VLOOKUP('Données projet'!$B$12,Paramètres!$A$1:$I$89,5,0)</f>
        <v>0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86.882151759063618</v>
      </c>
      <c r="CE90" s="62">
        <f t="shared" si="94"/>
        <v>324.50087615827215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17.793015099773019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17.793015099773019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103.47556287227775</v>
      </c>
      <c r="T91" s="62">
        <f t="shared" si="88"/>
        <v>428.60115421158082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23.750819784316384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23.750819784316384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80.374567532152696</v>
      </c>
      <c r="AO91" s="62">
        <f t="shared" si="90"/>
        <v>206.07482413353287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10.332277533290169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10.332277533290169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60.405981172366637</v>
      </c>
      <c r="BJ91" s="62">
        <f t="shared" si="92"/>
        <v>231.98338207539112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11.880760844589584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11.880760844589584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projet'!$B$12,Paramètres!$A$1:$I$89,3,0)*VLOOKUP('Données projet'!$B$12,Paramètres!$A$1:$I$89,5,0)</f>
        <v>0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86.882151759063618</v>
      </c>
      <c r="CE91" s="62">
        <f t="shared" si="94"/>
        <v>324.50087615827215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17.44410492633407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17.44410492633407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103.47556287227775</v>
      </c>
      <c r="T92" s="62">
        <f t="shared" si="88"/>
        <v>428.60115421158082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23.285080694915578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23.285080694915578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80.374567532152696</v>
      </c>
      <c r="AO92" s="62">
        <f t="shared" si="90"/>
        <v>206.07482413353287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10.129667872929366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10.129667872929366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60.405981172366637</v>
      </c>
      <c r="BJ92" s="62">
        <f t="shared" si="92"/>
        <v>231.98338207539112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11.64778637097576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11.64778637097576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projet'!$B$12,Paramètres!$A$1:$I$89,3,0)*VLOOKUP('Données projet'!$B$12,Paramètres!$A$1:$I$89,5,0)</f>
        <v>0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86.882151759063618</v>
      </c>
      <c r="CE92" s="62">
        <f t="shared" si="94"/>
        <v>324.50087615827215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17.102036668582066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17.102036668582066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103.47556287227775</v>
      </c>
      <c r="T93" s="62">
        <f t="shared" si="88"/>
        <v>428.60115421158082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22.828474464985128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22.828474464985128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80.374567532152696</v>
      </c>
      <c r="AO93" s="62">
        <f t="shared" si="90"/>
        <v>206.07482413353287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9.9310312644285474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9.9310312644285474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60.405981172366637</v>
      </c>
      <c r="BJ93" s="62">
        <f t="shared" si="92"/>
        <v>231.98338207539112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11.419380384689106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11.419380384689106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projet'!$B$12,Paramètres!$A$1:$I$89,3,0)*VLOOKUP('Données projet'!$B$12,Paramètres!$A$1:$I$89,5,0)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86.882151759063618</v>
      </c>
      <c r="CE93" s="62">
        <f t="shared" si="94"/>
        <v>324.50087615827215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16.766676160723541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16.766676160723541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103.47556287227775</v>
      </c>
      <c r="T94" s="62">
        <f t="shared" si="88"/>
        <v>428.60115421158082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22.380822004721313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22.380822004721313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80.374567532152696</v>
      </c>
      <c r="AO94" s="62">
        <f t="shared" si="90"/>
        <v>206.07482413353287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9.736289798664064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9.736289798664064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60.405981172366637</v>
      </c>
      <c r="BJ94" s="62">
        <f t="shared" si="92"/>
        <v>231.98338207539112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11.195453300479636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11.195453300479636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projet'!$B$12,Paramètres!$A$1:$I$89,3,0)*VLOOKUP('Données projet'!$B$12,Paramètres!$A$1:$I$89,5,0)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86.882151759063618</v>
      </c>
      <c r="CE94" s="62">
        <f t="shared" si="94"/>
        <v>324.50087615827215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16.437891867874413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16.437891867874413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103.47556287227775</v>
      </c>
      <c r="T95" s="62">
        <f t="shared" si="88"/>
        <v>428.60115421158082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21.941947736162231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21.941947736162231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80.374567532152696</v>
      </c>
      <c r="AO95" s="62">
        <f t="shared" si="90"/>
        <v>206.07482413353287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9.5453670942626552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9.5453670942626552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60.405981172366637</v>
      </c>
      <c r="BJ95" s="62">
        <f t="shared" si="92"/>
        <v>231.98338207539112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10.97591728980948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10.97591728980948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projet'!$B$12,Paramètres!$A$1:$I$89,3,0)*VLOOKUP('Données projet'!$B$12,Paramètres!$A$1:$I$89,5,0)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86.882151759063618</v>
      </c>
      <c r="CE95" s="62">
        <f t="shared" si="94"/>
        <v>324.50087615827215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16.115554834469439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16.115554834469439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103.47556287227775</v>
      </c>
      <c r="T96" s="62">
        <f t="shared" si="88"/>
        <v>428.60115421158082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21.511679524322719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21.511679524322719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80.374567532152696</v>
      </c>
      <c r="AO96" s="62">
        <f t="shared" si="90"/>
        <v>206.07482413353287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9.3581882676432073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9.3581882676432073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60.405981172366637</v>
      </c>
      <c r="BJ96" s="62">
        <f t="shared" si="92"/>
        <v>231.98338207539112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10.760686246404822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10.760686246404822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projet'!$B$12,Paramètres!$A$1:$I$89,3,0)*VLOOKUP('Données projet'!$B$12,Paramètres!$A$1:$I$89,5,0)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86.882151759063618</v>
      </c>
      <c r="CE96" s="62">
        <f t="shared" si="94"/>
        <v>324.50087615827215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15.799538633683358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15.799538633683358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103.47556287227775</v>
      </c>
      <c r="T97" s="62">
        <f t="shared" si="88"/>
        <v>428.60115421158082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21.089848609679688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21.089848609679688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80.374567532152696</v>
      </c>
      <c r="AO97" s="62">
        <f t="shared" si="90"/>
        <v>206.07482413353287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9.1746799036459556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9.1746799036459556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60.405981172366637</v>
      </c>
      <c r="BJ97" s="62">
        <f t="shared" si="92"/>
        <v>231.98338207539112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10.549675752483354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10.549675752483354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projet'!$B$12,Paramètres!$A$1:$I$89,3,0)*VLOOKUP('Données projet'!$B$12,Paramètres!$A$1:$I$89,5,0)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86.882151759063618</v>
      </c>
      <c r="CE97" s="62">
        <f t="shared" si="94"/>
        <v>324.50087615827215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15.489719317843843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15.489719317843843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103.47556287227775</v>
      </c>
      <c r="T98" s="62">
        <f t="shared" si="88"/>
        <v>428.60115421158082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20.676289541981351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20.676289541981351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80.374567532152696</v>
      </c>
      <c r="AO98" s="62">
        <f t="shared" si="90"/>
        <v>206.07482413353287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8.9947700267376405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8.9947700267376405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60.405981172366637</v>
      </c>
      <c r="BJ98" s="62">
        <f t="shared" si="92"/>
        <v>231.98338207539112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10.342803045643993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10.342803045643993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projet'!$B$12,Paramètres!$A$1:$I$89,3,0)*VLOOKUP('Données projet'!$B$12,Paramètres!$A$1:$I$89,5,0)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86.882151759063618</v>
      </c>
      <c r="CE98" s="62">
        <f t="shared" si="94"/>
        <v>324.50087615827215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15.185975369816816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15.185975369816816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103.47556287227775</v>
      </c>
      <c r="T99" s="62">
        <f t="shared" si="88"/>
        <v>428.60115421158082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20.270840115354456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20.270840115354456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80.374567532152696</v>
      </c>
      <c r="AO99" s="62">
        <f t="shared" si="90"/>
        <v>206.07482413353287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8.8183880727813069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8.8183880727813069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60.405981172366637</v>
      </c>
      <c r="BJ99" s="62">
        <f t="shared" si="92"/>
        <v>231.98338207539112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10.13998698640586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10.13998698640586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projet'!$B$12,Paramètres!$A$1:$I$89,3,0)*VLOOKUP('Données projet'!$B$12,Paramètres!$A$1:$I$89,5,0)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86.882151759063618</v>
      </c>
      <c r="CE99" s="62">
        <f t="shared" si="94"/>
        <v>324.50087615827215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14.888187655345085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14.888187655345085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103.47556287227775</v>
      </c>
      <c r="T100" s="62">
        <f t="shared" si="88"/>
        <v>428.60115421158082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19.873341304683983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19.873341304683983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80.374567532152696</v>
      </c>
      <c r="AO100" s="62">
        <f t="shared" si="90"/>
        <v>206.07482413353287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8.6454648613596881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8.6454648613596881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60.405981172366637</v>
      </c>
      <c r="BJ100" s="62">
        <f t="shared" si="92"/>
        <v>231.98338207539112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9.9411480263838072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9.9411480263838072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projet'!$B$12,Paramètres!$A$1:$I$89,3,0)*VLOOKUP('Données projet'!$B$12,Paramètres!$A$1:$I$89,5,0)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86.882151759063618</v>
      </c>
      <c r="CE100" s="62">
        <f t="shared" si="94"/>
        <v>324.50087615827215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14.596239376321574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14.596239376321574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103.47556287227775</v>
      </c>
      <c r="T101" s="62">
        <f t="shared" si="88"/>
        <v>428.60115421158082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19.483637203240423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19.483637203240423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80.374567532152696</v>
      </c>
      <c r="AO101" s="62">
        <f t="shared" si="90"/>
        <v>206.07482413353287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8.4759325686413032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8.4759325686413032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60.405981172366637</v>
      </c>
      <c r="BJ101" s="62">
        <f t="shared" si="92"/>
        <v>231.98338207539112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9.7462081770879951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9.7462081770879951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projet'!$B$12,Paramètres!$A$1:$I$89,3,0)*VLOOKUP('Données projet'!$B$12,Paramètres!$A$1:$I$89,5,0)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86.882151759063618</v>
      </c>
      <c r="CE101" s="62">
        <f t="shared" si="94"/>
        <v>324.50087615827215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14.310016024978847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14.310016024978847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103.47556287227775</v>
      </c>
      <c r="T102" s="62">
        <f t="shared" si="88"/>
        <v>428.60115421158082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19.10157496153014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19.10157496153014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80.374567532152696</v>
      </c>
      <c r="AO102" s="62">
        <f t="shared" si="90"/>
        <v>206.07482413353287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8.3097247007786379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8.3097247007786379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60.405981172366637</v>
      </c>
      <c r="BJ102" s="62">
        <f t="shared" si="92"/>
        <v>231.98338207539112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9.5550909793353078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9.5550909793353078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projet'!$B$12,Paramètres!$A$1:$I$89,3,0)*VLOOKUP('Données projet'!$B$12,Paramètres!$A$1:$I$89,5,0)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86.882151759063618</v>
      </c>
      <c r="CE102" s="62">
        <f t="shared" si="94"/>
        <v>324.50087615827215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14.029405338976943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14.029405338976943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103.47556287227775</v>
      </c>
      <c r="T103" s="62">
        <f t="shared" si="88"/>
        <v>428.60115421158082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18.727004727344838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18.727004727344838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80.374567532152696</v>
      </c>
      <c r="AO103" s="62">
        <f t="shared" si="90"/>
        <v>206.07482413353287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8.1467760678279699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8.1467760678279699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60.405981172366637</v>
      </c>
      <c r="BJ103" s="62">
        <f t="shared" si="92"/>
        <v>231.98338207539112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9.3677214732605698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9.3677214732605698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projet'!$B$12,Paramètres!$A$1:$I$89,3,0)*VLOOKUP('Données projet'!$B$12,Paramètres!$A$1:$I$89,5,0)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86.882151759063618</v>
      </c>
      <c r="CE103" s="62">
        <f t="shared" si="94"/>
        <v>324.50087615827215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13.754297257371919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13.754297257371919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103.47556287227775</v>
      </c>
      <c r="T104" s="62">
        <f t="shared" si="88"/>
        <v>428.60115421158082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18.359779586986626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18.359779586986626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80.374567532152696</v>
      </c>
      <c r="AO104" s="62">
        <f t="shared" si="90"/>
        <v>206.07482413353287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7.987022758180613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7.987022758180613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60.405981172366637</v>
      </c>
      <c r="BJ104" s="62">
        <f t="shared" si="92"/>
        <v>231.98338207539112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9.1840261689158424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9.1840261689158424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86.882151759063618</v>
      </c>
      <c r="CE104" s="62">
        <f t="shared" si="94"/>
        <v>324.50087615827215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13.484583877447809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13.484583877447809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103.47556287227775</v>
      </c>
      <c r="T105" s="62">
        <f t="shared" si="88"/>
        <v>428.60115421158082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17.99975550764562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17.99975550764562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80.374567532152696</v>
      </c>
      <c r="AO105" s="62">
        <f t="shared" si="90"/>
        <v>206.07482413353287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7.830402113495543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7.830402113495543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60.405981172366637</v>
      </c>
      <c r="BJ105" s="62">
        <f t="shared" si="92"/>
        <v>231.98338207539112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9.0039330174462435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9.0039330174462435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86.882151759063618</v>
      </c>
      <c r="CE105" s="62">
        <f t="shared" si="94"/>
        <v>324.50087615827215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13.220159412395093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13.220159412395093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103.47556287227775</v>
      </c>
      <c r="T106" s="62">
        <f t="shared" si="88"/>
        <v>428.60115421158082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17.646791280907486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17.646791280907486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80.374567532152696</v>
      </c>
      <c r="AO106" s="62">
        <f t="shared" si="90"/>
        <v>206.07482413353287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7.6768527041235863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7.6768527041235863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60.405981172366637</v>
      </c>
      <c r="BJ106" s="62">
        <f t="shared" si="92"/>
        <v>231.98338207539112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8.8273713828309877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8.8273713828309877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86.882151759063618</v>
      </c>
      <c r="CE106" s="62">
        <f t="shared" si="94"/>
        <v>324.50087615827215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12.960920149819062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12.960920149819062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103.47556287227775</v>
      </c>
      <c r="T107" s="62">
        <f t="shared" si="88"/>
        <v>428.60115421158082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17.300748467368766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17.300748467368766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80.374567532152696</v>
      </c>
      <c r="AO107" s="62">
        <f t="shared" si="90"/>
        <v>206.07482413353287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7.5263143050135222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7.5263143050135222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60.405981172366637</v>
      </c>
      <c r="BJ107" s="62">
        <f t="shared" si="92"/>
        <v>231.98338207539112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8.6542720141785736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8.6542720141785736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86.882151759063618</v>
      </c>
      <c r="CE107" s="62">
        <f t="shared" si="94"/>
        <v>324.50087615827215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12.70676441106181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12.70676441106181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103.47556287227775</v>
      </c>
      <c r="T108" s="62">
        <f t="shared" si="88"/>
        <v>428.60115421158082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16.961491342338267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16.961491342338267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80.374567532152696</v>
      </c>
      <c r="AO108" s="62">
        <f t="shared" si="90"/>
        <v>206.07482413353287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7.3787278720906491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7.3787278720906491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60.405981172366637</v>
      </c>
      <c r="BJ108" s="62">
        <f t="shared" si="92"/>
        <v>231.98338207539112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8.4845670185652438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8.4845670185652438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86.882151759063618</v>
      </c>
      <c r="CE108" s="62">
        <f t="shared" si="94"/>
        <v>324.50087615827215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12.457592511321895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12.457592511321895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103.47556287227775</v>
      </c>
      <c r="T109" s="62">
        <f t="shared" si="88"/>
        <v>428.60115421158082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16.628886842603201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16.628886842603201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80.374567532152696</v>
      </c>
      <c r="AO109" s="62">
        <f t="shared" si="90"/>
        <v>206.07482413353287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7.2340355190985584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7.2340355190985584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60.405981172366637</v>
      </c>
      <c r="BJ109" s="62">
        <f t="shared" si="92"/>
        <v>231.98338207539112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8.3181898344060645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8.3181898344060645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86.882151759063618</v>
      </c>
      <c r="CE109" s="62">
        <f t="shared" si="94"/>
        <v>324.50087615827215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12.213306720556027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12.213306720556027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103.47556287227775</v>
      </c>
      <c r="T110" s="62">
        <f t="shared" si="88"/>
        <v>428.60115421158082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16.302804514239227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16.302804514239227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80.374567532152696</v>
      </c>
      <c r="AO110" s="62">
        <f t="shared" si="90"/>
        <v>206.07482413353287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7.0921804948950209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7.0921804948950209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60.405981172366637</v>
      </c>
      <c r="BJ110" s="62">
        <f t="shared" si="92"/>
        <v>231.98338207539112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8.1550752053481848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8.1550752053481848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86.882151759063618</v>
      </c>
      <c r="CE110" s="62">
        <f t="shared" si="94"/>
        <v>324.50087615827215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11.973811225147458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11.973811225147458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103.47556287227775</v>
      </c>
      <c r="T111" s="62">
        <f t="shared" si="88"/>
        <v>428.60115421158082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15.983116461443888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15.983116461443888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80.374567532152696</v>
      </c>
      <c r="AO111" s="62">
        <f t="shared" si="90"/>
        <v>206.07482413353287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6.9531071611930937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6.9531071611930937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60.405981172366637</v>
      </c>
      <c r="BJ111" s="62">
        <f t="shared" si="92"/>
        <v>231.98338207539112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7.9951591546760303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7.9951591546760303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86.882151759063618</v>
      </c>
      <c r="CE111" s="62">
        <f t="shared" si="94"/>
        <v>324.50087615827215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11.739012090326021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11.739012090326021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103.47556287227775</v>
      </c>
      <c r="T112" s="62">
        <f t="shared" si="88"/>
        <v>428.60115421158082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15.669697296373407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15.669697296373407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80.374567532152696</v>
      </c>
      <c r="AO112" s="62">
        <f t="shared" si="90"/>
        <v>206.07482413353287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6.816760970738704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6.816760970738704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60.405981172366637</v>
      </c>
      <c r="BJ112" s="62">
        <f t="shared" si="92"/>
        <v>231.98338207539112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7.8383789602183969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7.8383789602183969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86.882151759063618</v>
      </c>
      <c r="CE112" s="62">
        <f t="shared" si="94"/>
        <v>324.50087615827215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11.508817223325103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11.508817223325103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103.47556287227775</v>
      </c>
      <c r="T113" s="62">
        <f t="shared" si="88"/>
        <v>428.60115421158082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15.362424089963143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15.362424089963143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80.374567532152696</v>
      </c>
      <c r="AO113" s="62">
        <f t="shared" si="90"/>
        <v>206.07482413353287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6.6830884459161606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6.6830884459161606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60.405981172366637</v>
      </c>
      <c r="BJ113" s="62">
        <f t="shared" si="92"/>
        <v>231.98338207539112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7.6846731297476012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7.6846731297476012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86.882151759063618</v>
      </c>
      <c r="CE113" s="62">
        <f t="shared" si="94"/>
        <v>324.50087615827215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11.283136337261068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11.283136337261068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103.47556287227775</v>
      </c>
      <c r="T114" s="62">
        <f t="shared" si="88"/>
        <v>428.60115421158082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15.061176323712436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15.061176323712436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80.374567532152696</v>
      </c>
      <c r="AO114" s="62">
        <f t="shared" si="90"/>
        <v>206.07482413353287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6.5520371577731975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6.5520371577731975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60.405981172366637</v>
      </c>
      <c r="BJ114" s="62">
        <f t="shared" si="92"/>
        <v>231.98338207539112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7.5339813768610382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7.5339813768610382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86.882151759063618</v>
      </c>
      <c r="CE114" s="62">
        <f t="shared" si="94"/>
        <v>324.50087615827215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11.061880915721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11.061880915721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103.47556287227775</v>
      </c>
      <c r="T115" s="62">
        <f t="shared" si="88"/>
        <v>428.60115421158082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14.76583584241491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14.76583584241491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80.374567532152696</v>
      </c>
      <c r="AO115" s="62">
        <f t="shared" si="90"/>
        <v>206.07482413353287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6.4235557054573249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6.4235557054573249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60.405981172366637</v>
      </c>
      <c r="BJ115" s="62">
        <f t="shared" si="92"/>
        <v>231.98338207539112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7.3862445973356872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7.3862445973356872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86.882151759063618</v>
      </c>
      <c r="CE115" s="62">
        <f t="shared" si="94"/>
        <v>324.50087615827215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10.844964178044851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10.844964178044851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103.47556287227775</v>
      </c>
      <c r="T116" s="62">
        <f t="shared" si="88"/>
        <v>428.60115421158082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14.476286807815722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14.476286807815722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80.374567532152696</v>
      </c>
      <c r="AO116" s="62">
        <f t="shared" si="90"/>
        <v>206.07482413353287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6.2975936960554186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6.2975936960554186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60.405981172366637</v>
      </c>
      <c r="BJ116" s="62">
        <f t="shared" si="92"/>
        <v>231.98338207539112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7.241404845946291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7.241404845946291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86.882151759063618</v>
      </c>
      <c r="CE116" s="62">
        <f t="shared" si="94"/>
        <v>324.50087615827215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10.632301045288385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10.632301045288385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103.47556287227775</v>
      </c>
      <c r="T117" s="62">
        <f t="shared" si="88"/>
        <v>428.60115421158082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14.192415653177552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14.192415653177552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80.374567532152696</v>
      </c>
      <c r="AO117" s="62">
        <f t="shared" si="90"/>
        <v>206.07482413353287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6.1741017248286445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6.1741017248286445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60.405981172366637</v>
      </c>
      <c r="BJ117" s="62">
        <f t="shared" si="92"/>
        <v>231.98338207539112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7.0994053137381155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7.0994053137381155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86.882151759063618</v>
      </c>
      <c r="CE117" s="62">
        <f t="shared" si="94"/>
        <v>324.50087615827215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10.423808106853571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10.423808106853571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103.47556287227775</v>
      </c>
      <c r="T118" s="62">
        <f t="shared" si="88"/>
        <v>428.60115421158082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13.914111038737529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13.914111038737529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80.374567532152696</v>
      </c>
      <c r="AO118" s="62">
        <f t="shared" si="90"/>
        <v>206.07482413353287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6.0530313558349622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6.0530313558349622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60.405981172366637</v>
      </c>
      <c r="BJ118" s="62">
        <f t="shared" si="92"/>
        <v>231.98338207539112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6.96019030574538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6.96019030574538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86.882151759063618</v>
      </c>
      <c r="CE118" s="62">
        <f t="shared" si="94"/>
        <v>324.50087615827215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10.219403587773327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10.219403587773327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103.47556287227775</v>
      </c>
      <c r="T119" s="62">
        <f t="shared" si="88"/>
        <v>428.60115421158082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13.641263808037621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13.641263808037621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80.374567532152696</v>
      </c>
      <c r="AO119" s="62">
        <f t="shared" si="90"/>
        <v>206.07482413353287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5.9343351029316125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5.9343351029316125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60.405981172366637</v>
      </c>
      <c r="BJ119" s="62">
        <f t="shared" si="92"/>
        <v>231.98338207539112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6.8237052191466114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6.8237052191466114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86.882151759063618</v>
      </c>
      <c r="CE119" s="62">
        <f t="shared" si="94"/>
        <v>324.50087615827215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10.019007316637801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10.019007316637801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103.47556287227775</v>
      </c>
      <c r="T120" s="62">
        <f t="shared" si="88"/>
        <v>428.60115421158082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13.37376694511136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13.37376694511136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80.374567532152696</v>
      </c>
      <c r="AO120" s="62">
        <f t="shared" si="90"/>
        <v>206.07482413353287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5.8179664111501319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5.8179664111501319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60.405981172366637</v>
      </c>
      <c r="BJ120" s="62">
        <f t="shared" si="92"/>
        <v>231.98338207539112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6.6898965218483619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6.6898965218483619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86.882151759063618</v>
      </c>
      <c r="CE120" s="62">
        <f t="shared" si="94"/>
        <v>324.50087615827215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9.8225406941495859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9.8225406941495859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103.47556287227775</v>
      </c>
      <c r="T121" s="62">
        <f t="shared" si="88"/>
        <v>428.60115421158082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13.111515532510106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13.111515532510106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80.374567532152696</v>
      </c>
      <c r="AO121" s="62">
        <f t="shared" si="90"/>
        <v>206.07482413353287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5.7038796384365922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5.7038796384365922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60.405981172366637</v>
      </c>
      <c r="BJ121" s="62">
        <f t="shared" si="92"/>
        <v>231.98338207539112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6.5587117314888843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6.5587117314888843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86.882151759063618</v>
      </c>
      <c r="CE121" s="62">
        <f t="shared" si="94"/>
        <v>324.50087615827215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9.6299266622955582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9.6299266622955582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103.47556287227775</v>
      </c>
      <c r="T122" s="62">
        <f t="shared" si="88"/>
        <v>428.60115421158082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12.854406710152396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12.854406710152396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80.374567532152696</v>
      </c>
      <c r="AO122" s="62">
        <f t="shared" si="90"/>
        <v>206.07482413353287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5.5920300377499048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5.5920300377499048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60.405981172366637</v>
      </c>
      <c r="BJ122" s="62">
        <f t="shared" si="92"/>
        <v>231.98338207539112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6.430099394853535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6.430099394853535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86.882151759063618</v>
      </c>
      <c r="CE122" s="62">
        <f t="shared" si="94"/>
        <v>324.50087615827215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9.4410896741232282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9.4410896741232282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103.47556287227775</v>
      </c>
      <c r="T123" s="62">
        <f t="shared" si="88"/>
        <v>428.60115421158082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12.602339634980224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12.602339634980224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80.374567532152696</v>
      </c>
      <c r="AO123" s="62">
        <f t="shared" si="90"/>
        <v>206.07482413353287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5.4823737395111634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5.4823737395111634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60.405981172366637</v>
      </c>
      <c r="BJ123" s="62">
        <f t="shared" si="92"/>
        <v>231.98338207539112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6.3040090676938254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6.3040090676938254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86.882151759063618</v>
      </c>
      <c r="CE123" s="62">
        <f t="shared" si="94"/>
        <v>324.50087615827215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9.2559556641097682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9.2559556641097682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103.47556287227775</v>
      </c>
      <c r="T124" s="62">
        <f t="shared" si="88"/>
        <v>428.60115421158082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12.355215441406443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12.355215441406443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80.374567532152696</v>
      </c>
      <c r="AO124" s="62">
        <f t="shared" si="90"/>
        <v>206.07482413353287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5.3748677343971458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5.3748677343971458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60.405981172366637</v>
      </c>
      <c r="BJ124" s="62">
        <f t="shared" si="92"/>
        <v>231.98338207539112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6.1803912949422122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6.1803912949422122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86.882151759063618</v>
      </c>
      <c r="CE124" s="62">
        <f t="shared" si="94"/>
        <v>324.50087615827215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9.0744520191120763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9.0744520191120763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103.47556287227775</v>
      </c>
      <c r="T125" s="62">
        <f t="shared" si="88"/>
        <v>428.60115421158082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12.11293720253777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12.11293720253777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80.374567532152696</v>
      </c>
      <c r="AO125" s="62">
        <f t="shared" si="90"/>
        <v>206.07482413353287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5.2694698564712263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5.2694698564712263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60.405981172366637</v>
      </c>
      <c r="BJ125" s="62">
        <f t="shared" si="92"/>
        <v>231.98338207539112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6.0591975913148612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6.0591975913148612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86.882151759063618</v>
      </c>
      <c r="CE125" s="62">
        <f t="shared" si="94"/>
        <v>324.50087615827215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8.8965075498864969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8.8965075498864969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103.47556287227775</v>
      </c>
      <c r="T126" s="62">
        <f t="shared" si="88"/>
        <v>428.60115421158082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11.875409892158178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11.875409892158178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80.374567532152696</v>
      </c>
      <c r="AO126" s="62">
        <f t="shared" si="90"/>
        <v>206.07482413353287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5.1661387666450764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5.1661387666450764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60.405981172366637</v>
      </c>
      <c r="BJ126" s="62">
        <f t="shared" si="92"/>
        <v>231.98338207539112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5.9403804222947834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5.9403804222947834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86.882151759063618</v>
      </c>
      <c r="CE126" s="62">
        <f t="shared" si="94"/>
        <v>324.50087615827215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8.7220524631670227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8.7220524631670227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103.47556287227775</v>
      </c>
      <c r="T127" s="62">
        <f t="shared" si="88"/>
        <v>428.60115421158082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11.642540347457775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11.642540347457775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80.374567532152696</v>
      </c>
      <c r="AO127" s="62">
        <f t="shared" si="90"/>
        <v>206.07482413353287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5.0648339364646757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5.0648339364646757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60.405981172366637</v>
      </c>
      <c r="BJ127" s="62">
        <f t="shared" si="92"/>
        <v>231.98338207539112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5.8238931854878713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5.8238931854878713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86.882151759063618</v>
      </c>
      <c r="CE127" s="62">
        <f t="shared" si="94"/>
        <v>324.50087615827215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8.5510183342910207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8.5510183342910207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103.47556287227775</v>
      </c>
      <c r="T128" s="62">
        <f t="shared" si="88"/>
        <v>428.60115421158082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11.41423723249255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11.41423723249255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80.374567532152696</v>
      </c>
      <c r="AO128" s="62">
        <f t="shared" si="90"/>
        <v>206.07482413353287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4.9655156322142675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4.9655156322142675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60.405981172366637</v>
      </c>
      <c r="BJ128" s="62">
        <f t="shared" si="92"/>
        <v>231.98338207539112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5.709690192344544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5.709690192344544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86.882151759063618</v>
      </c>
      <c r="CE128" s="62">
        <f t="shared" si="94"/>
        <v>324.50087615827215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8.3833380803617601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8.3833380803617601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103.47556287227775</v>
      </c>
      <c r="T129" s="62">
        <f t="shared" si="88"/>
        <v>428.60115421158082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11.190411002360642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11.190411002360642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80.374567532152696</v>
      </c>
      <c r="AO129" s="62">
        <f t="shared" si="90"/>
        <v>206.07482413353287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4.8681448993320258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4.8681448993320258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60.405981172366637</v>
      </c>
      <c r="BJ129" s="62">
        <f t="shared" si="92"/>
        <v>231.98338207539112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5.5977266502398102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5.5977266502398102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86.882151759063618</v>
      </c>
      <c r="CE129" s="62">
        <f t="shared" si="94"/>
        <v>324.50087615827215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8.2189459339371957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8.2189459339371957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103.47556287227775</v>
      </c>
      <c r="T130" s="62">
        <f t="shared" si="88"/>
        <v>428.60115421158082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10.970973868081101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10.970973868081101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80.374567532152696</v>
      </c>
      <c r="AO130" s="62">
        <f t="shared" si="90"/>
        <v>206.07482413353287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4.7726835471313214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4.7726835471313214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60.405981172366637</v>
      </c>
      <c r="BJ130" s="62">
        <f t="shared" si="92"/>
        <v>231.98338207539112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5.4879586449047322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5.4879586449047322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86.882151759063618</v>
      </c>
      <c r="CE130" s="62">
        <f t="shared" si="94"/>
        <v>324.50087615827215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8.0577774172347088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8.0577774172347088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103.47556287227775</v>
      </c>
      <c r="T131" s="62">
        <f t="shared" si="88"/>
        <v>428.60115421158082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10.755839762161346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10.755839762161346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80.374567532152696</v>
      </c>
      <c r="AO131" s="62">
        <f t="shared" si="90"/>
        <v>206.07482413353287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4.6790941338215974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4.6790941338215974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60.405981172366637</v>
      </c>
      <c r="BJ131" s="62">
        <f t="shared" si="92"/>
        <v>231.98338207539112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5.3803431232024028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5.3803431232024028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86.882151759063618</v>
      </c>
      <c r="CE131" s="62">
        <f t="shared" si="94"/>
        <v>324.50087615827215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7.8997693168416685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7.8997693168416685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103.47556287227775</v>
      </c>
      <c r="T132" s="62">
        <f t="shared" si="88"/>
        <v>428.60115421158082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10.54492430483983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10.54492430483983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80.374567532152696</v>
      </c>
      <c r="AO132" s="62">
        <f t="shared" si="90"/>
        <v>206.07482413353287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4.5873399518229716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4.5873399518229716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60.405981172366637</v>
      </c>
      <c r="BJ132" s="62">
        <f t="shared" si="92"/>
        <v>231.98338207539112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5.2748378762416692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5.2748378762416692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86.882151759063618</v>
      </c>
      <c r="CE132" s="62">
        <f t="shared" si="94"/>
        <v>324.50087615827215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7.7448596589219107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7.7448596589219107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103.47556287227775</v>
      </c>
      <c r="T133" s="62">
        <f t="shared" ref="T133:T196" si="142">$T$3</f>
        <v>428.60115421158082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10.338144770990663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10.338144770990663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80.374567532152696</v>
      </c>
      <c r="AO133" s="62">
        <f t="shared" ref="AO133:AO196" si="144">$AO$3</f>
        <v>206.07482413353287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4.497385013368814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4.497385013368814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60.405981172366637</v>
      </c>
      <c r="BJ133" s="62">
        <f t="shared" ref="BJ133:BJ196" si="146">$BJ$3</f>
        <v>231.98338207539112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5.1714015228219896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5.1714015228219896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86.882151759063618</v>
      </c>
      <c r="CE133" s="62">
        <f t="shared" ref="CE133:CE196" si="148">$CE$3</f>
        <v>324.50087615827215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7.5929876849083975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7.5929876849083975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103.47556287227775</v>
      </c>
      <c r="T134" s="62">
        <f t="shared" si="142"/>
        <v>428.60115421158082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10.135420057677216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10.135420057677216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80.374567532152696</v>
      </c>
      <c r="AO134" s="62">
        <f t="shared" si="144"/>
        <v>206.07482413353287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4.4091940363906481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4.4091940363906481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60.405981172366637</v>
      </c>
      <c r="BJ134" s="62">
        <f t="shared" si="146"/>
        <v>231.98338207539112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5.069993493202924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5.069993493202924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86.882151759063618</v>
      </c>
      <c r="CE134" s="62">
        <f t="shared" si="148"/>
        <v>324.50087615827215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7.4440938276725319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7.4440938276725319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103.47556287227775</v>
      </c>
      <c r="T135" s="62">
        <f t="shared" si="142"/>
        <v>428.60115421158082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9.936670652341979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9.936670652341979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80.374567532152696</v>
      </c>
      <c r="AO135" s="62">
        <f t="shared" si="144"/>
        <v>206.07482413353287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4.3227324306798396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4.3227324306798396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60.405981172366637</v>
      </c>
      <c r="BJ135" s="62">
        <f t="shared" si="146"/>
        <v>231.98338207539112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4.9705740131918974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4.9705740131918974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86.882151759063618</v>
      </c>
      <c r="CE135" s="62">
        <f t="shared" si="148"/>
        <v>324.50087615827215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7.2981196881607762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7.2981196881607762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103.47556287227775</v>
      </c>
      <c r="T136" s="62">
        <f t="shared" si="142"/>
        <v>428.60115421158082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9.7418186016201993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9.7418186016201993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80.374567532152696</v>
      </c>
      <c r="AO136" s="62">
        <f t="shared" si="144"/>
        <v>206.07482413353287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4.2379662843206471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4.2379662843206471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60.405981172366637</v>
      </c>
      <c r="BJ136" s="62">
        <f t="shared" si="146"/>
        <v>231.98338207539112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4.8731040885439922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4.8731040885439922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86.882151759063618</v>
      </c>
      <c r="CE136" s="62">
        <f t="shared" si="148"/>
        <v>324.50087615827215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7.1550080124894126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7.1550080124894126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103.47556287227775</v>
      </c>
      <c r="T137" s="62">
        <f t="shared" si="142"/>
        <v>428.60115421158082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9.5507874807650577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9.5507874807650577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80.374567532152696</v>
      </c>
      <c r="AO137" s="62">
        <f t="shared" si="144"/>
        <v>206.07482413353287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4.1548623503893145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4.1548623503893145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60.405981172366637</v>
      </c>
      <c r="BJ137" s="62">
        <f t="shared" si="146"/>
        <v>231.98338207539112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4.7775454896676486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4.7775454896676486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86.882151759063618</v>
      </c>
      <c r="CE137" s="62">
        <f t="shared" si="148"/>
        <v>324.50087615827215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7.0147026694884618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7.0147026694884618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103.47556287227775</v>
      </c>
      <c r="T138" s="62">
        <f t="shared" si="142"/>
        <v>428.60115421158082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9.3635023636724064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9.3635023636724064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80.374567532152696</v>
      </c>
      <c r="AO138" s="62">
        <f t="shared" si="144"/>
        <v>206.07482413353287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4.0733880339139805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4.0733880339139805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60.405981172366637</v>
      </c>
      <c r="BJ138" s="62">
        <f t="shared" si="146"/>
        <v>231.98338207539112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4.6838607366302796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4.6838607366302796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86.882151759063618</v>
      </c>
      <c r="CE138" s="62">
        <f t="shared" si="148"/>
        <v>324.50087615827215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6.8771486286859504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6.8771486286859504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103.47556287227775</v>
      </c>
      <c r="T139" s="62">
        <f t="shared" si="142"/>
        <v>428.60115421158082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9.1798897934933006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9.1798897934933006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80.374567532152696</v>
      </c>
      <c r="AO139" s="62">
        <f t="shared" si="144"/>
        <v>206.07482413353287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3.9935113790903021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3.9935113790903021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60.405981172366637</v>
      </c>
      <c r="BJ139" s="62">
        <f t="shared" si="146"/>
        <v>231.98338207539112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4.5920130844579168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4.5920130844579168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86.882151759063618</v>
      </c>
      <c r="CE139" s="62">
        <f t="shared" si="148"/>
        <v>324.50087615827215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6.7422919387238958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6.7422919387238958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103.47556287227775</v>
      </c>
      <c r="T140" s="62">
        <f t="shared" si="142"/>
        <v>428.60115421158082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8.9998777538227976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8.9998777538227976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80.374567532152696</v>
      </c>
      <c r="AO140" s="62">
        <f t="shared" si="144"/>
        <v>206.07482413353287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3.9152010567477671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3.9152010567477671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60.405981172366637</v>
      </c>
      <c r="BJ140" s="62">
        <f t="shared" si="146"/>
        <v>231.98338207539112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4.5019665087231173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4.5019665087231173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86.882151759063618</v>
      </c>
      <c r="CE140" s="62">
        <f t="shared" si="148"/>
        <v>324.50087615827215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6.6100797061975376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6.6100797061975376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103.47556287227775</v>
      </c>
      <c r="T141" s="62">
        <f t="shared" si="142"/>
        <v>428.60115421158082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8.8233956404537306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8.8233956404537306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80.374567532152696</v>
      </c>
      <c r="AO141" s="62">
        <f t="shared" si="144"/>
        <v>206.07482413353287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3.8384263520617887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3.8384263520617887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60.405981172366637</v>
      </c>
      <c r="BJ141" s="62">
        <f t="shared" si="146"/>
        <v>231.98338207539112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4.4136856914154894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4.4136856914154894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86.882151759063618</v>
      </c>
      <c r="CE141" s="62">
        <f t="shared" si="148"/>
        <v>324.50087615827215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6.480460074909522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6.480460074909522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103.47556287227775</v>
      </c>
      <c r="T142" s="62">
        <f t="shared" si="142"/>
        <v>428.60115421158082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8.6503742336843708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8.6503742336843708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80.374567532152696</v>
      </c>
      <c r="AO142" s="62">
        <f t="shared" si="144"/>
        <v>206.07482413353287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3.7631571525067566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3.7631571525067566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60.405981172366637</v>
      </c>
      <c r="BJ142" s="62">
        <f t="shared" si="146"/>
        <v>231.98338207539112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4.3271360070892824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4.3271360070892824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86.882151759063618</v>
      </c>
      <c r="CE142" s="62">
        <f t="shared" si="148"/>
        <v>324.50087615827215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6.3533822055308962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6.3533822055308962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103.47556287227775</v>
      </c>
      <c r="T143" s="62">
        <f t="shared" si="142"/>
        <v>428.60115421158082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8.4807456711691209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8.4807456711691209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80.374567532152696</v>
      </c>
      <c r="AO143" s="62">
        <f t="shared" si="144"/>
        <v>206.07482413353287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3.6893639360453201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3.6893639360453201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60.405981172366637</v>
      </c>
      <c r="BJ143" s="62">
        <f t="shared" si="146"/>
        <v>231.98338207539112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4.2422835092826174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4.2422835092826174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86.882151759063618</v>
      </c>
      <c r="CE143" s="62">
        <f t="shared" si="148"/>
        <v>324.50087615827215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6.2287962556609386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6.2287962556609386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103.47556287227775</v>
      </c>
      <c r="T144" s="62">
        <f t="shared" si="142"/>
        <v>428.60115421158082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8.3144434213015881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8.3144434213015881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80.374567532152696</v>
      </c>
      <c r="AO144" s="62">
        <f t="shared" si="144"/>
        <v>206.07482413353287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3.6170177595492747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3.6170177595492747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60.405981172366637</v>
      </c>
      <c r="BJ144" s="62">
        <f t="shared" si="146"/>
        <v>231.98338207539112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4.1590949172030278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4.1590949172030278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86.882151759063618</v>
      </c>
      <c r="CE144" s="62">
        <f t="shared" si="148"/>
        <v>324.50087615827215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6.1066533602780044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6.1066533602780044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103.47556287227775</v>
      </c>
      <c r="T145" s="62">
        <f t="shared" si="142"/>
        <v>428.60115421158082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8.1514022571196012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8.1514022571196012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80.374567532152696</v>
      </c>
      <c r="AO145" s="62">
        <f t="shared" si="144"/>
        <v>206.07482413353287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3.5460902474475064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3.5460902474475064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60.405981172366637</v>
      </c>
      <c r="BJ145" s="62">
        <f t="shared" si="146"/>
        <v>231.98338207539112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4.0775376026740879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4.0775376026740879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86.882151759063618</v>
      </c>
      <c r="CE145" s="62">
        <f t="shared" si="148"/>
        <v>324.50087615827215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5.9869056125737199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5.9869056125737199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103.47556287227775</v>
      </c>
      <c r="T146" s="62">
        <f t="shared" si="142"/>
        <v>428.60115421158082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7.9915582307219317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7.9915582307219317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80.374567532152696</v>
      </c>
      <c r="AO146" s="62">
        <f t="shared" si="144"/>
        <v>206.07482413353287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3.4765535805965428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3.4765535805965428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60.405981172366637</v>
      </c>
      <c r="BJ146" s="62">
        <f t="shared" si="146"/>
        <v>231.98338207539112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3.9975795773380107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3.9975795773380107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86.882151759063618</v>
      </c>
      <c r="CE146" s="62">
        <f t="shared" si="148"/>
        <v>324.50087615827215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5.8695060451630026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5.8695060451630026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103.47556287227775</v>
      </c>
      <c r="T147" s="62">
        <f t="shared" si="142"/>
        <v>428.60115421158082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7.834848648186691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7.834848648186691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80.374567532152696</v>
      </c>
      <c r="AO147" s="62">
        <f t="shared" si="144"/>
        <v>206.07482413353287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3.408380485369348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3.408380485369348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60.405981172366637</v>
      </c>
      <c r="BJ147" s="62">
        <f t="shared" si="146"/>
        <v>231.98338207539112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3.919189480109194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3.919189480109194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86.882151759063618</v>
      </c>
      <c r="CE147" s="62">
        <f t="shared" si="148"/>
        <v>324.50087615827215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5.7544086116625435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5.7544086116625435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103.47556287227775</v>
      </c>
      <c r="T148" s="62">
        <f t="shared" si="142"/>
        <v>428.60115421158082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7.6812120449815593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7.6812120449815593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80.374567532152696</v>
      </c>
      <c r="AO148" s="62">
        <f t="shared" si="144"/>
        <v>206.07482413353287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3.3415442229580763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3.3415442229580763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60.405981172366637</v>
      </c>
      <c r="BJ148" s="62">
        <f t="shared" si="146"/>
        <v>231.98338207539112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3.8423365648737962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3.8423365648737962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86.882151759063618</v>
      </c>
      <c r="CE148" s="62">
        <f t="shared" si="148"/>
        <v>324.50087615827215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5.6415681686305259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5.6415681686305259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103.47556287227775</v>
      </c>
      <c r="T149" s="62">
        <f t="shared" si="142"/>
        <v>428.60115421158082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7.5305881618562056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7.5305881618562056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80.374567532152696</v>
      </c>
      <c r="AO149" s="62">
        <f t="shared" si="144"/>
        <v>206.07482413353287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3.2760185788865948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3.2760185788865948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60.405981172366637</v>
      </c>
      <c r="BJ149" s="62">
        <f t="shared" si="146"/>
        <v>231.98338207539112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3.7669906884305151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3.7669906884305151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86.882151759063618</v>
      </c>
      <c r="CE149" s="62">
        <f t="shared" si="148"/>
        <v>324.50087615827215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5.5309404578604919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5.5309404578604919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103.47556287227775</v>
      </c>
      <c r="T150" s="62">
        <f t="shared" si="142"/>
        <v>428.60115421158082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7.3829179212074427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7.3829179212074427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80.374567532152696</v>
      </c>
      <c r="AO150" s="62">
        <f t="shared" si="144"/>
        <v>206.07482413353287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3.2117778527286585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3.2117778527286585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60.405981172366637</v>
      </c>
      <c r="BJ150" s="62">
        <f t="shared" si="146"/>
        <v>231.98338207539112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3.6931222986678396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3.6931222986678396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86.882151759063618</v>
      </c>
      <c r="CE150" s="62">
        <f t="shared" si="148"/>
        <v>324.50087615827215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5.4224820890224175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5.4224820890224175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103.47556287227775</v>
      </c>
      <c r="T151" s="62">
        <f t="shared" si="142"/>
        <v>428.60115421158082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7.2381434039078494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7.2381434039078494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80.374567532152696</v>
      </c>
      <c r="AO151" s="62">
        <f t="shared" si="144"/>
        <v>206.07482413353287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3.1487968480277053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3.1487968480277053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60.405981172366637</v>
      </c>
      <c r="BJ151" s="62">
        <f t="shared" si="146"/>
        <v>231.98338207539112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3.6207024229731415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3.6207024229731415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86.882151759063618</v>
      </c>
      <c r="CE151" s="62">
        <f t="shared" si="148"/>
        <v>324.50087615827215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5.3161505226441852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5.3161505226441852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103.47556287227775</v>
      </c>
      <c r="T152" s="62">
        <f t="shared" si="142"/>
        <v>428.60115421158082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7.0962078265887643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7.0962078265887643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80.374567532152696</v>
      </c>
      <c r="AO152" s="62">
        <f t="shared" si="144"/>
        <v>206.07482413353287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3.0870508624143183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3.0870508624143183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60.405981172366637</v>
      </c>
      <c r="BJ152" s="62">
        <f t="shared" si="146"/>
        <v>231.98338207539112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3.5497026568690537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3.5497026568690537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86.882151759063618</v>
      </c>
      <c r="CE152" s="62">
        <f t="shared" si="148"/>
        <v>324.50087615827215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5.2119040534267782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5.2119040534267782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103.47556287227775</v>
      </c>
      <c r="T153" s="62">
        <f t="shared" si="142"/>
        <v>428.60115421158082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6.9570555193687529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6.9570555193687529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80.374567532152696</v>
      </c>
      <c r="AO153" s="62">
        <f t="shared" si="144"/>
        <v>206.07482413353287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3.0265156779174771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3.0265156779174771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60.405981172366637</v>
      </c>
      <c r="BJ153" s="62">
        <f t="shared" si="146"/>
        <v>231.98338207539112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3.480095152872686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3.480095152872686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86.882151759063618</v>
      </c>
      <c r="CE153" s="62">
        <f t="shared" si="148"/>
        <v>324.50087615827215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5.1097017938866562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5.1097017938866562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103.47556287227775</v>
      </c>
      <c r="T154" s="62">
        <f t="shared" si="142"/>
        <v>428.60115421158082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6.820631904018799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6.820631904018799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80.374567532152696</v>
      </c>
      <c r="AO154" s="62">
        <f t="shared" si="144"/>
        <v>206.07482413353287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2.9671675514658022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2.9671675514658022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60.405981172366637</v>
      </c>
      <c r="BJ154" s="62">
        <f t="shared" si="146"/>
        <v>231.98338207539112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3.4118526095733017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3.4118526095733017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86.882151759063618</v>
      </c>
      <c r="CE154" s="62">
        <f t="shared" si="148"/>
        <v>324.50087615827215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5.0095036583188932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5.0095036583188932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103.47556287227775</v>
      </c>
      <c r="T155" s="62">
        <f t="shared" si="142"/>
        <v>428.60115421158082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6.6868834725556683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6.6868834725556683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80.374567532152696</v>
      </c>
      <c r="AO155" s="62">
        <f t="shared" si="144"/>
        <v>206.07482413353287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2.908983205575062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2.908983205575062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60.405981172366637</v>
      </c>
      <c r="BJ155" s="62">
        <f t="shared" si="146"/>
        <v>231.98338207539112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3.344948260924177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3.344948260924177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86.882151759063618</v>
      </c>
      <c r="CE155" s="62">
        <f t="shared" si="148"/>
        <v>324.50087615827215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4.9112703470747858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4.9112703470747858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103.47556287227775</v>
      </c>
      <c r="T156" s="62">
        <f t="shared" si="142"/>
        <v>428.60115421158082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6.5557577662550424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6.5557577662550424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80.374567532152696</v>
      </c>
      <c r="AO156" s="62">
        <f t="shared" si="144"/>
        <v>206.07482413353287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2.8519398192182925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2.8519398192182925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60.405981172366637</v>
      </c>
      <c r="BJ156" s="62">
        <f t="shared" si="146"/>
        <v>231.98338207539112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3.2793558657444382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3.2793558657444382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86.882151759063618</v>
      </c>
      <c r="CE156" s="62">
        <f t="shared" si="148"/>
        <v>324.50087615827215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4.814963331147772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4.814963331147772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103.47556287227775</v>
      </c>
      <c r="T157" s="62">
        <f t="shared" si="142"/>
        <v>428.60115421158082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6.4272033550761876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6.4272033550761876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80.374567532152696</v>
      </c>
      <c r="AO157" s="62">
        <f t="shared" si="144"/>
        <v>206.07482413353287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2.7960150188749489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2.7960150188749489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60.405981172366637</v>
      </c>
      <c r="BJ157" s="62">
        <f t="shared" si="146"/>
        <v>231.98338207539112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3.2150496974267635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3.2150496974267635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86.882151759063618</v>
      </c>
      <c r="CE157" s="62">
        <f t="shared" si="148"/>
        <v>324.50087615827215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4.7205448370616079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4.7205448370616079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103.47556287227775</v>
      </c>
      <c r="T158" s="62">
        <f t="shared" si="142"/>
        <v>428.60115421158082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6.3011698174901021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6.3011698174901021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80.374567532152696</v>
      </c>
      <c r="AO158" s="62">
        <f t="shared" si="144"/>
        <v>206.07482413353287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2.7411868697555781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2.7411868697555781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60.405981172366637</v>
      </c>
      <c r="BJ158" s="62">
        <f t="shared" si="146"/>
        <v>231.98338207539112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3.1520045338469087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3.1520045338469087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86.882151759063618</v>
      </c>
      <c r="CE158" s="62">
        <f t="shared" si="148"/>
        <v>324.50087615827215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4.6279778320548779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4.6279778320548779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103.47556287227775</v>
      </c>
      <c r="T159" s="62">
        <f t="shared" si="142"/>
        <v>428.60115421158082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6.1776077207032118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6.1776077207032118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80.374567532152696</v>
      </c>
      <c r="AO159" s="62">
        <f t="shared" si="144"/>
        <v>206.07482413353287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2.6874338671985694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2.6874338671985694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60.405981172366637</v>
      </c>
      <c r="BJ159" s="62">
        <f t="shared" si="146"/>
        <v>231.98338207539112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3.0901956474711021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3.0901956474711021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86.882151759063618</v>
      </c>
      <c r="CE159" s="62">
        <f t="shared" si="148"/>
        <v>324.50087615827215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4.5372260095560319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4.5372260095560319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103.47556287227775</v>
      </c>
      <c r="T160" s="62">
        <f t="shared" si="142"/>
        <v>428.60115421158082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6.0564686012688753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6.0564686012688753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80.374567532152696</v>
      </c>
      <c r="AO160" s="62">
        <f t="shared" si="144"/>
        <v>206.07482413353287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2.6347349282356096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2.6347349282356096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60.405981172366637</v>
      </c>
      <c r="BJ160" s="62">
        <f t="shared" si="146"/>
        <v>231.98338207539112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3.0295987956574271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3.0295987956574271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86.882151759063618</v>
      </c>
      <c r="CE160" s="62">
        <f t="shared" si="148"/>
        <v>324.50087615827215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4.4482537749432423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4.4482537749432423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103.47556287227775</v>
      </c>
      <c r="T161" s="62">
        <f t="shared" si="142"/>
        <v>428.60115421158082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5.9377049460790792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5.9377049460790792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80.374567532152696</v>
      </c>
      <c r="AO161" s="62">
        <f t="shared" si="144"/>
        <v>206.07482413353287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2.5830693833225347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2.5830693833225347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60.405981172366637</v>
      </c>
      <c r="BJ161" s="62">
        <f t="shared" si="146"/>
        <v>231.98338207539112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2.9701902111473881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2.9701902111473881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86.882151759063618</v>
      </c>
      <c r="CE161" s="62">
        <f t="shared" si="148"/>
        <v>324.50087615827215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4.3610262315835051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4.3610262315835051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103.47556287227775</v>
      </c>
      <c r="T162" s="62">
        <f t="shared" si="142"/>
        <v>428.60115421158082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5.8212701737288777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5.8212701737288777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80.374567532152696</v>
      </c>
      <c r="AO162" s="62">
        <f t="shared" si="144"/>
        <v>206.07482413353287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2.5324169682323343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2.5324169682323343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60.405981172366637</v>
      </c>
      <c r="BJ162" s="62">
        <f t="shared" si="146"/>
        <v>231.98338207539112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2.9119465927439325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2.9119465927439325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86.882151759063618</v>
      </c>
      <c r="CE162" s="62">
        <f t="shared" si="148"/>
        <v>324.50087615827215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4.2755091671455041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4.2755091671455041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103.47556287227775</v>
      </c>
      <c r="T163" s="62">
        <f t="shared" si="142"/>
        <v>428.60115421158082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5.707118616246265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5.707118616246265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80.374567532152696</v>
      </c>
      <c r="AO163" s="62">
        <f t="shared" si="144"/>
        <v>206.07482413353287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2.4827578161071302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2.4827578161071302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60.405981172366637</v>
      </c>
      <c r="BJ163" s="62">
        <f t="shared" si="146"/>
        <v>231.98338207539112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2.8548450961722689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2.8548450961722689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86.882151759063618</v>
      </c>
      <c r="CE163" s="62">
        <f t="shared" si="148"/>
        <v>324.50087615827215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4.1916690401808738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4.1916690401808738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103.47556287227775</v>
      </c>
      <c r="T164" s="62">
        <f t="shared" si="142"/>
        <v>428.60115421158082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5.5952055011803115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5.5952055011803115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80.374567532152696</v>
      </c>
      <c r="AO164" s="62">
        <f t="shared" si="144"/>
        <v>206.07482413353287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2.4340724496660093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2.4340724496660093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60.405981172366637</v>
      </c>
      <c r="BJ164" s="62">
        <f t="shared" si="146"/>
        <v>231.98338207539112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2.798863325119902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2.798863325119902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86.882151759063618</v>
      </c>
      <c r="CE164" s="62">
        <f t="shared" si="148"/>
        <v>324.50087615827215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4.1094729669685917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4.1094729669685917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103.47556287227775</v>
      </c>
      <c r="T165" s="62">
        <f t="shared" si="142"/>
        <v>428.60115421158082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5.4854869340405417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5.4854869340405417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80.374567532152696</v>
      </c>
      <c r="AO165" s="62">
        <f t="shared" si="144"/>
        <v>206.07482413353287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2.3863417735656576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2.3863417735656576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60.405981172366637</v>
      </c>
      <c r="BJ165" s="62">
        <f t="shared" si="146"/>
        <v>231.98338207539112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2.743979322452363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2.743979322452363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86.882151759063618</v>
      </c>
      <c r="CE165" s="62">
        <f t="shared" si="148"/>
        <v>324.50087615827215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4.0288887086173482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4.0288887086173482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103.47556287227775</v>
      </c>
      <c r="T166" s="62">
        <f t="shared" si="142"/>
        <v>428.60115421158082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5.3779198810806648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5.3779198810806648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80.374567532152696</v>
      </c>
      <c r="AO166" s="62">
        <f t="shared" si="144"/>
        <v>206.07482413353287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2.3395470669107956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2.3395470669107956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60.405981172366637</v>
      </c>
      <c r="BJ166" s="62">
        <f t="shared" si="146"/>
        <v>231.98338207539112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2.6901715616011983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2.6901715616011983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86.882151759063618</v>
      </c>
      <c r="CE166" s="62">
        <f t="shared" si="148"/>
        <v>324.50087615827215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3.949884658420828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3.949884658420828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103.47556287227775</v>
      </c>
      <c r="T167" s="62">
        <f t="shared" si="142"/>
        <v>428.60115421158082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5.2724621524199069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5.2724621524199069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80.374567532152696</v>
      </c>
      <c r="AO167" s="62">
        <f t="shared" si="144"/>
        <v>206.07482413353287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2.2936699759114827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2.2936699759114827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60.405981172366637</v>
      </c>
      <c r="BJ167" s="62">
        <f t="shared" si="146"/>
        <v>231.98338207539112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2.6374189381208315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2.6374189381208315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86.882151759063618</v>
      </c>
      <c r="CE167" s="62">
        <f t="shared" si="148"/>
        <v>324.50087615827215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3.8724298294609492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3.8724298294609492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103.47556287227775</v>
      </c>
      <c r="T168" s="62">
        <f t="shared" si="142"/>
        <v>428.60115421158082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5.1690723854953236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5.1690723854953236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80.374567532152696</v>
      </c>
      <c r="AO168" s="62">
        <f t="shared" si="144"/>
        <v>206.07482413353287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2.2486925066844039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2.2486925066844039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60.405981172366637</v>
      </c>
      <c r="BJ168" s="62">
        <f t="shared" si="146"/>
        <v>231.98338207539112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2.5857007614109917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2.5857007614109917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86.882151759063618</v>
      </c>
      <c r="CE168" s="62">
        <f t="shared" si="148"/>
        <v>324.50087615827215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3.796493842454193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3.796493842454193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103.47556287227775</v>
      </c>
      <c r="T169" s="62">
        <f t="shared" si="142"/>
        <v>428.60115421158082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5.0677100288385999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5.0677100288385999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80.374567532152696</v>
      </c>
      <c r="AO169" s="62">
        <f t="shared" si="144"/>
        <v>206.07482413353287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2.2045970181953209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2.2045970181953209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60.405981172366637</v>
      </c>
      <c r="BJ169" s="62">
        <f t="shared" si="146"/>
        <v>231.98338207539112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2.5349967466014589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2.5349967466014589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86.882151759063618</v>
      </c>
      <c r="CE169" s="62">
        <f t="shared" si="148"/>
        <v>324.50087615827215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3.7220469138362606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3.7220469138362606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103.47556287227775</v>
      </c>
      <c r="T170" s="62">
        <f t="shared" si="142"/>
        <v>428.60115421158082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4.9683353261709815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4.9683353261709815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80.374567532152696</v>
      </c>
      <c r="AO170" s="62">
        <f t="shared" si="144"/>
        <v>206.07482413353287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2.1613662153399167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2.1613662153399167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60.405981172366637</v>
      </c>
      <c r="BJ170" s="62">
        <f t="shared" si="146"/>
        <v>231.98338207539112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2.4852870065959456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2.4852870065959456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86.882151759063618</v>
      </c>
      <c r="CE170" s="62">
        <f t="shared" si="148"/>
        <v>324.50087615827215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3.6490598440803828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3.6490598440803828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103.47556287227775</v>
      </c>
      <c r="T171" s="62">
        <f t="shared" si="142"/>
        <v>428.60115421158082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4.8709093008100917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4.8709093008100917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80.374567532152696</v>
      </c>
      <c r="AO171" s="62">
        <f t="shared" si="144"/>
        <v>206.07482413353287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2.1189831421603205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2.1189831421603205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60.405981172366637</v>
      </c>
      <c r="BJ171" s="62">
        <f t="shared" si="146"/>
        <v>231.98338207539112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2.436552044271993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2.436552044271993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86.882151759063618</v>
      </c>
      <c r="CE171" s="62">
        <f t="shared" si="148"/>
        <v>324.50087615827215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3.577504006244701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3.577504006244701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103.47556287227775</v>
      </c>
      <c r="T172" s="62">
        <f t="shared" si="142"/>
        <v>428.60115421158082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4.7753937403825208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4.7753937403825208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80.374567532152696</v>
      </c>
      <c r="AO172" s="62">
        <f t="shared" si="144"/>
        <v>206.07482413353287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2.0774311751946541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2.0774311751946541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60.405981172366637</v>
      </c>
      <c r="BJ172" s="62">
        <f t="shared" si="146"/>
        <v>231.98338207539112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2.3887727448338212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2.3887727448338212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86.882151759063618</v>
      </c>
      <c r="CE172" s="62">
        <f t="shared" si="148"/>
        <v>324.50087615827215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3.5073513347442256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3.5073513347442256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103.47556287227775</v>
      </c>
      <c r="T173" s="62">
        <f t="shared" si="142"/>
        <v>428.60115421158082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4.6817511818361961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4.6817511818361961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80.374567532152696</v>
      </c>
      <c r="AO173" s="62">
        <f t="shared" si="144"/>
        <v>206.07482413353287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2.0366940169569872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2.0366940169569872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60.405981172366637</v>
      </c>
      <c r="BJ173" s="62">
        <f t="shared" si="146"/>
        <v>231.98338207539112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2.3419303683151367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2.3419303683151367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86.882151759063618</v>
      </c>
      <c r="CE173" s="62">
        <f t="shared" si="148"/>
        <v>324.50087615827215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3.4385743143429699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3.4385743143429699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103.47556287227775</v>
      </c>
      <c r="T174" s="62">
        <f t="shared" si="142"/>
        <v>428.60115421158082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4.5899448967466432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4.5899448967466432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80.374567532152696</v>
      </c>
      <c r="AO174" s="62">
        <f t="shared" si="144"/>
        <v>206.07482413353287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1.9967556895451479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1.9967556895451479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60.405981172366637</v>
      </c>
      <c r="BJ174" s="62">
        <f t="shared" si="146"/>
        <v>231.98338207539112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2.2960065422289553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2.2960065422289553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86.882151759063618</v>
      </c>
      <c r="CE174" s="62">
        <f t="shared" si="148"/>
        <v>324.50087615827215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3.3711459693619426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3.3711459693619426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103.47556287227775</v>
      </c>
      <c r="T175" s="62">
        <f t="shared" si="142"/>
        <v>428.60115421158082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4.4999388769113917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4.4999388769113917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80.374567532152696</v>
      </c>
      <c r="AO175" s="62">
        <f t="shared" si="144"/>
        <v>206.07482413353287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1.9576005283738804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1.9576005283738804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60.405981172366637</v>
      </c>
      <c r="BJ175" s="62">
        <f t="shared" si="146"/>
        <v>231.98338207539112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2.2509832543615556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2.2509832543615556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86.882151759063618</v>
      </c>
      <c r="CE175" s="62">
        <f t="shared" si="148"/>
        <v>324.50087615827215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3.3050398530987635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3.3050398530987635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103.47556287227775</v>
      </c>
      <c r="T176" s="62">
        <f t="shared" si="142"/>
        <v>428.60115421158082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4.4116978202268582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4.4116978202268582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80.374567532152696</v>
      </c>
      <c r="AO176" s="62">
        <f t="shared" si="144"/>
        <v>206.07482413353287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1.9192131760308915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1.9192131760308915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60.405981172366637</v>
      </c>
      <c r="BJ176" s="62">
        <f t="shared" si="146"/>
        <v>231.98338207539112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2.2068428457077416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2.2068428457077416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86.882151759063618</v>
      </c>
      <c r="CE176" s="62">
        <f t="shared" si="148"/>
        <v>324.50087615827215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3.2402300374547561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3.2402300374547561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103.47556287227775</v>
      </c>
      <c r="T177" s="62">
        <f t="shared" si="142"/>
        <v>428.60115421158082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4.3251871168421783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4.3251871168421783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80.374567532152696</v>
      </c>
      <c r="AO177" s="62">
        <f t="shared" si="144"/>
        <v>206.07482413353287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1.8815785762533754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1.8815785762533754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60.405981172366637</v>
      </c>
      <c r="BJ177" s="62">
        <f t="shared" si="146"/>
        <v>231.98338207539112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2.1635680035446381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2.1635680035446381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86.882151759063618</v>
      </c>
      <c r="CE177" s="62">
        <f t="shared" si="148"/>
        <v>324.50087615827215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3.1766911027654432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3.1766911027654432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103.47556287227775</v>
      </c>
      <c r="T178" s="62">
        <f t="shared" si="142"/>
        <v>428.60115421158082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4.2403728355845534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4.2403728355845534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80.374567532152696</v>
      </c>
      <c r="AO178" s="62">
        <f t="shared" si="144"/>
        <v>206.07482413353287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1.8446819680226572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1.8446819680226572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60.405981172366637</v>
      </c>
      <c r="BJ178" s="62">
        <f t="shared" si="146"/>
        <v>231.98338207539112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2.1211417546413056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2.1211417546413056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86.882151759063618</v>
      </c>
      <c r="CE178" s="62">
        <f t="shared" si="148"/>
        <v>324.50087615827215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3.1143981278304644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3.1143981278304644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103.47556287227775</v>
      </c>
      <c r="T179" s="62">
        <f t="shared" si="142"/>
        <v>428.60115421158082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4.1572217106507869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4.1572217106507869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80.374567532152696</v>
      </c>
      <c r="AO179" s="62">
        <f t="shared" si="144"/>
        <v>206.07482413353287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1.8085088797746345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1.8085088797746345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60.405981172366637</v>
      </c>
      <c r="BJ179" s="62">
        <f t="shared" si="146"/>
        <v>231.98338207539112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2.0795474586015108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2.0795474586015108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86.882151759063618</v>
      </c>
      <c r="CE179" s="62">
        <f t="shared" si="148"/>
        <v>324.50087615827215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3.0533266801389973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3.0533266801389973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103.47556287227775</v>
      </c>
      <c r="T180" s="62">
        <f t="shared" si="142"/>
        <v>428.60115421158082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4.0757011285597935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4.0757011285597935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80.374567532152696</v>
      </c>
      <c r="AO180" s="62">
        <f t="shared" si="144"/>
        <v>206.07482413353287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1.7730451237237503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1.7730451237237503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60.405981172366637</v>
      </c>
      <c r="BJ180" s="62">
        <f t="shared" si="146"/>
        <v>231.98338207539112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2.0387688013370409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2.0387688013370409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86.882151759063618</v>
      </c>
      <c r="CE180" s="62">
        <f t="shared" si="148"/>
        <v>324.50087615827215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2.9934528062868551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2.9934528062868551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103.47556287227775</v>
      </c>
      <c r="T181" s="62">
        <f t="shared" si="142"/>
        <v>428.60115421158082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3.9957791153609588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3.9957791153609588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80.374567532152696</v>
      </c>
      <c r="AO181" s="62">
        <f t="shared" si="144"/>
        <v>206.07482413353287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1.7382767902982688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1.7382767902982688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60.405981172366637</v>
      </c>
      <c r="BJ181" s="62">
        <f t="shared" si="146"/>
        <v>231.98338207539112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1.9987897886690023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1.9987897886690023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86.882151759063618</v>
      </c>
      <c r="CE181" s="62">
        <f t="shared" si="148"/>
        <v>324.50087615827215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2.9347530225814964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2.9347530225814964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103.47556287227775</v>
      </c>
      <c r="T182" s="62">
        <f t="shared" si="142"/>
        <v>428.60115421158082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3.9174243240933388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3.9174243240933388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80.374567532152696</v>
      </c>
      <c r="AO182" s="62">
        <f t="shared" si="144"/>
        <v>206.07482413353287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1.7041902426846713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1.7041902426846713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60.405981172366637</v>
      </c>
      <c r="BJ182" s="62">
        <f t="shared" si="146"/>
        <v>231.98338207539112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1.9595947400545939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1.9595947400545939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86.882151759063618</v>
      </c>
      <c r="CE182" s="62">
        <f t="shared" si="148"/>
        <v>324.50087615827215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2.8772043058312669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2.8772043058312669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103.47556287227775</v>
      </c>
      <c r="T183" s="62">
        <f t="shared" si="142"/>
        <v>428.60115421158082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3.8406060224907734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3.8406060224907734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80.374567532152696</v>
      </c>
      <c r="AO183" s="62">
        <f t="shared" si="144"/>
        <v>206.07482413353287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1.6707721114790355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1.6707721114790355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60.405981172366637</v>
      </c>
      <c r="BJ183" s="62">
        <f t="shared" si="146"/>
        <v>231.98338207539112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1.9211682824368952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1.9211682824368952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86.882151759063618</v>
      </c>
      <c r="CE183" s="62">
        <f t="shared" si="148"/>
        <v>324.50087615827215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2.8207840843152581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2.8207840843152581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103.47556287227775</v>
      </c>
      <c r="T184" s="62">
        <f t="shared" si="142"/>
        <v>428.60115421158082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3.7652940809280966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3.7652940809280966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80.374567532152696</v>
      </c>
      <c r="AO184" s="62">
        <f t="shared" si="144"/>
        <v>206.07482413353287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1.6380092894432947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1.6380092894432947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60.405981172366637</v>
      </c>
      <c r="BJ184" s="62">
        <f t="shared" si="146"/>
        <v>231.98338207539112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1.8834953442152547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1.8834953442152547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86.882151759063618</v>
      </c>
      <c r="CE184" s="62">
        <f t="shared" si="148"/>
        <v>324.50087615827215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2.7654702289302411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2.7654702289302411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103.47556287227775</v>
      </c>
      <c r="T185" s="62">
        <f t="shared" si="142"/>
        <v>428.60115421158082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3.6914589606037151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3.6914589606037151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80.374567532152696</v>
      </c>
      <c r="AO185" s="62">
        <f t="shared" si="144"/>
        <v>206.07482413353287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1.6058889263643266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1.6058889263643266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60.405981172366637</v>
      </c>
      <c r="BJ185" s="62">
        <f t="shared" si="146"/>
        <v>231.98338207539112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1.8465611493339171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1.8465611493339171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86.882151759063618</v>
      </c>
      <c r="CE185" s="62">
        <f t="shared" si="148"/>
        <v>324.50087615827215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2.7112410445112038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2.7112410445112038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103.47556287227775</v>
      </c>
      <c r="T186" s="62">
        <f t="shared" si="142"/>
        <v>428.60115421158082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3.6190717019539185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3.6190717019539185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80.374567532152696</v>
      </c>
      <c r="AO186" s="62">
        <f t="shared" si="144"/>
        <v>206.07482413353287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1.57439842401385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1.57439842401385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60.405981172366637</v>
      </c>
      <c r="BJ186" s="62">
        <f t="shared" si="146"/>
        <v>231.98338207539112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1.8103512114865681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1.8103512114865681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86.882151759063618</v>
      </c>
      <c r="CE186" s="62">
        <f t="shared" si="148"/>
        <v>324.50087615827215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2.6580752613220877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2.6580752613220877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103.47556287227775</v>
      </c>
      <c r="T187" s="62">
        <f t="shared" si="142"/>
        <v>428.60115421158082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3.5481039132943759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3.5481039132943759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80.374567532152696</v>
      </c>
      <c r="AO187" s="62">
        <f t="shared" si="144"/>
        <v>206.07482413353287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1.5435254312071565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1.5435254312071565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60.405981172366637</v>
      </c>
      <c r="BJ187" s="62">
        <f t="shared" si="146"/>
        <v>231.98338207539112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1.7748513284345242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1.7748513284345242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86.882151759063618</v>
      </c>
      <c r="CE187" s="62">
        <f t="shared" si="148"/>
        <v>324.50087615827215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2.6059520267133842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2.6059520267133842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103.47556287227775</v>
      </c>
      <c r="T188" s="62">
        <f t="shared" si="142"/>
        <v>428.60115421158082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3.4785277596843702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3.4785277596843702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80.374567532152696</v>
      </c>
      <c r="AO188" s="62">
        <f t="shared" si="144"/>
        <v>206.07482413353287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1.5132578389587359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1.5132578389587359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60.405981172366637</v>
      </c>
      <c r="BJ188" s="62">
        <f t="shared" si="146"/>
        <v>231.98338207539112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1.7400475764363403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1.7400475764363403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86.882151759063618</v>
      </c>
      <c r="CE188" s="62">
        <f t="shared" si="148"/>
        <v>324.50087615827215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2.5548508969433237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2.5548508969433237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103.47556287227775</v>
      </c>
      <c r="T189" s="62">
        <f t="shared" si="142"/>
        <v>428.60115421158082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3.4103159520093933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3.4103159520093933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80.374567532152696</v>
      </c>
      <c r="AO189" s="62">
        <f t="shared" si="144"/>
        <v>206.07482413353287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1.4835837757328985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1.4835837757328985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60.405981172366637</v>
      </c>
      <c r="BJ189" s="62">
        <f t="shared" si="146"/>
        <v>231.98338207539112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1.7059263047866482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1.7059263047866482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86.882151759063618</v>
      </c>
      <c r="CE189" s="62">
        <f t="shared" si="148"/>
        <v>324.50087615827215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2.5047518291594422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2.5047518291594422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103.47556287227775</v>
      </c>
      <c r="T190" s="62">
        <f t="shared" si="142"/>
        <v>428.60115421158082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3.3434417362778284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3.3434417362778284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80.374567532152696</v>
      </c>
      <c r="AO190" s="62">
        <f t="shared" si="144"/>
        <v>206.07482413353287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1.4544916027875283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1.4544916027875283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60.405981172366637</v>
      </c>
      <c r="BJ190" s="62">
        <f t="shared" si="146"/>
        <v>231.98338207539112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1.6724741304620858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1.6724741304620858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86.882151759063618</v>
      </c>
      <c r="CE190" s="62">
        <f t="shared" si="148"/>
        <v>324.50087615827215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2.4556351735373889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2.4556351735373889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103.47556287227775</v>
      </c>
      <c r="T191" s="62">
        <f t="shared" si="142"/>
        <v>428.60115421158082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3.2778788831275154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3.2778788831275154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80.374567532152696</v>
      </c>
      <c r="AO191" s="62">
        <f t="shared" si="144"/>
        <v>206.07482413353287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1.4259699096091436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1.4259699096091436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60.405981172366637</v>
      </c>
      <c r="BJ191" s="62">
        <f t="shared" si="146"/>
        <v>231.98338207539112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1.6396779328722166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1.6396779328722166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86.882151759063618</v>
      </c>
      <c r="CE191" s="62">
        <f t="shared" si="148"/>
        <v>324.50087615827215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2.407481665573882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2.407481665573882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103.47556287227775</v>
      </c>
      <c r="T192" s="62">
        <f t="shared" si="142"/>
        <v>428.60115421158082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3.213601677538088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3.213601677538088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80.374567532152696</v>
      </c>
      <c r="AO192" s="62">
        <f t="shared" si="144"/>
        <v>206.07482413353287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1.398007509437472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1.398007509437472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60.405981172366637</v>
      </c>
      <c r="BJ192" s="62">
        <f t="shared" si="146"/>
        <v>231.98338207539112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1.6075248487133793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1.6075248487133793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86.882151759063618</v>
      </c>
      <c r="CE192" s="62">
        <f t="shared" si="148"/>
        <v>324.50087615827215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2.3602724185307999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2.3602724185307999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103.47556287227775</v>
      </c>
      <c r="T193" s="62">
        <f t="shared" si="142"/>
        <v>428.60115421158082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3.1505849087450453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3.1505849087450453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80.374567532152696</v>
      </c>
      <c r="AO193" s="62">
        <f t="shared" si="144"/>
        <v>206.07482413353287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1.3705934348777868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1.3705934348777868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60.405981172366637</v>
      </c>
      <c r="BJ193" s="62">
        <f t="shared" si="146"/>
        <v>231.98338207539112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1.5760022669234519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1.5760022669234519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86.882151759063618</v>
      </c>
      <c r="CE193" s="62">
        <f t="shared" si="148"/>
        <v>324.50087615827215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2.3139889160274354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2.3139889160274354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103.47556287227775</v>
      </c>
      <c r="T194" s="62">
        <f t="shared" si="142"/>
        <v>428.60115421158082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3.0888038603516006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3.0888038603516006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80.374567532152696</v>
      </c>
      <c r="AO194" s="62">
        <f t="shared" si="144"/>
        <v>206.07482413353287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1.3437169335992827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1.3437169335992827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60.405981172366637</v>
      </c>
      <c r="BJ194" s="62">
        <f t="shared" si="146"/>
        <v>231.98338207539112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1.5450978237355486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1.5450978237355486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86.882151759063618</v>
      </c>
      <c r="CE194" s="62">
        <f t="shared" si="148"/>
        <v>324.50087615827215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2.2686130047780124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2.2686130047780124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103.47556287227775</v>
      </c>
      <c r="T195" s="62">
        <f t="shared" si="142"/>
        <v>428.60115421158082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3.0282343006344323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3.0282343006344323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80.374567532152696</v>
      </c>
      <c r="AO195" s="62">
        <f t="shared" si="144"/>
        <v>206.07482413353287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1.3173674641178028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1.3173674641178028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60.405981172366637</v>
      </c>
      <c r="BJ195" s="62">
        <f t="shared" si="146"/>
        <v>231.98338207539112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1.5147993978287111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1.5147993978287111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86.882151759063618</v>
      </c>
      <c r="CE195" s="62">
        <f t="shared" si="148"/>
        <v>324.50087615827215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2.2241268874716176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2.2241268874716176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103.47556287227775</v>
      </c>
      <c r="T196" s="62">
        <f t="shared" si="142"/>
        <v>428.60115421158082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2.9688524730395343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2.9688524730395343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80.374567532152696</v>
      </c>
      <c r="AO196" s="62">
        <f t="shared" si="144"/>
        <v>206.07482413353287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1.2915346916612653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1.2915346916612653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60.405981172366637</v>
      </c>
      <c r="BJ196" s="62">
        <f t="shared" si="146"/>
        <v>231.98338207539112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1.4850951055736916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1.4850951055736916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86.882151759063618</v>
      </c>
      <c r="CE196" s="62">
        <f t="shared" si="148"/>
        <v>324.50087615827215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2.180513115791749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2.180513115791749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103.47556287227775</v>
      </c>
      <c r="T197" s="62">
        <f t="shared" ref="T197:T203" si="204">$T$3</f>
        <v>428.60115421158082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2.910635086864434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2.910635086864434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80.374567532152696</v>
      </c>
      <c r="AO197" s="62">
        <f t="shared" ref="AO197:AO203" si="205">$AO$3</f>
        <v>206.07482413353287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1.2662084841161652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1.2662084841161652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60.405981172366637</v>
      </c>
      <c r="BJ197" s="62">
        <f t="shared" ref="BJ197:BJ203" si="206">$BJ$3</f>
        <v>231.98338207539112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1.4559732963719638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1.4559732963719638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86.882151759063618</v>
      </c>
      <c r="CE197" s="62">
        <f t="shared" ref="CE197:CE203" si="207">$CE$3</f>
        <v>324.50087615827215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2.1377545835727485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2.1377545835727485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103.47556287227775</v>
      </c>
      <c r="T198" s="62">
        <f t="shared" si="204"/>
        <v>428.60115421158082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2.8535593081231281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2.8535593081231281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80.374567532152696</v>
      </c>
      <c r="AO198" s="62">
        <f t="shared" si="205"/>
        <v>206.07482413353287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1.2413789080535631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1.2413789080535631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60.405981172366637</v>
      </c>
      <c r="BJ198" s="62">
        <f t="shared" si="206"/>
        <v>231.98338207539112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1.4274225480861322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1.4274225480861322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86.882151759063618</v>
      </c>
      <c r="CE198" s="62">
        <f t="shared" si="207"/>
        <v>324.50087615827215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2.0958345200904334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2.0958345200904334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103.47556287227775</v>
      </c>
      <c r="T199" s="62">
        <f t="shared" si="204"/>
        <v>428.60115421158082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2.7976027505901513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2.7976027505901513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80.374567532152696</v>
      </c>
      <c r="AO199" s="62">
        <f t="shared" si="205"/>
        <v>206.07482413353287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1.2170362248330027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1.2170362248330027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60.405981172366637</v>
      </c>
      <c r="BJ199" s="62">
        <f t="shared" si="206"/>
        <v>231.98338207539112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1.3994316625599488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1.3994316625599488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86.882151759063618</v>
      </c>
      <c r="CE199" s="62">
        <f t="shared" si="207"/>
        <v>324.50087615827215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2.0547364834842923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2.0547364834842923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103.47556287227775</v>
      </c>
      <c r="T200" s="62">
        <f t="shared" si="204"/>
        <v>428.60115421158082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2.7427434670202664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2.7427434670202664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80.374567532152696</v>
      </c>
      <c r="AO200" s="62">
        <f t="shared" si="205"/>
        <v>206.07482413353287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1.1931708867828268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1.1931708867828268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60.405981172366637</v>
      </c>
      <c r="BJ200" s="62">
        <f t="shared" si="206"/>
        <v>231.98338207539112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1.3719896612261795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1.3719896612261795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86.882151759063618</v>
      </c>
      <c r="CE200" s="62">
        <f t="shared" si="207"/>
        <v>324.50087615827215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2.0144443543086705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2.0144443543086705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103.47556287227775</v>
      </c>
      <c r="T201" s="62">
        <f t="shared" si="204"/>
        <v>428.60115421158082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2.6889599405403279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2.6889599405403279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80.374567532152696</v>
      </c>
      <c r="AO201" s="62">
        <f t="shared" si="205"/>
        <v>206.07482413353287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1.169773533455396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1.169773533455396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60.405981172366637</v>
      </c>
      <c r="BJ201" s="62">
        <f t="shared" si="206"/>
        <v>231.98338207539112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1.3450857808005972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1.3450857808005972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86.882151759063618</v>
      </c>
      <c r="CE201" s="62">
        <f t="shared" si="207"/>
        <v>324.50087615827215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1.9749423292104107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1.9749423292104107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103.47556287227775</v>
      </c>
      <c r="T202" s="62">
        <f t="shared" si="204"/>
        <v>428.60115421158082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2.636231076209949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2.636231076209949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80.374567532152696</v>
      </c>
      <c r="AO202" s="62">
        <f t="shared" si="205"/>
        <v>206.07482413353287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1.1468349879557398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1.1468349879557398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60.405981172366637</v>
      </c>
      <c r="BJ202" s="62">
        <f t="shared" si="206"/>
        <v>231.98338207539112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1.3187094690604138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1.3187094690604138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86.882151759063618</v>
      </c>
      <c r="CE202" s="62">
        <f t="shared" si="207"/>
        <v>324.50087615827215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1.9362149147304715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1.9362149147304715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103.47556287227775</v>
      </c>
      <c r="T203" s="62">
        <f t="shared" si="204"/>
        <v>428.60115421158082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2.5845361927476573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2.5845361927476573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80.374567532152696</v>
      </c>
      <c r="AO203" s="62">
        <f t="shared" si="205"/>
        <v>206.07482413353287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1.1243462533422004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1.1243462533422004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60.405981172366637</v>
      </c>
      <c r="BJ203" s="62">
        <f t="shared" si="206"/>
        <v>231.98338207539112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1.2928503807054939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1.2928503807054939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86.882151759063618</v>
      </c>
      <c r="CE203" s="62">
        <f t="shared" si="207"/>
        <v>324.50087615827215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1.8982469212270934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1.8982469212270934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1.093210441104935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1.1261727847346514</v>
      </c>
      <c r="BA205" s="88">
        <f>EXP(LN('Données projet'!B88)/'Données projet'!A88)</f>
        <v>1.2229728750004543</v>
      </c>
      <c r="BV205" s="88">
        <f>EXP(LN('Données projet'!B114)/'Données projet'!A114)</f>
        <v>1.3208837640453637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36" workbookViewId="0">
      <selection activeCell="C49" sqref="C49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Koster</v>
      </c>
      <c r="B6" s="155">
        <f>'Données projet'!D9</f>
        <v>2.0832000000000002</v>
      </c>
      <c r="C6" s="156">
        <f ca="1">IF(OR('Données projet'!B9="",'Données projet'!C9="",'Données projet'!C9=0%),0,Calculateur!S3)</f>
        <v>103.47556287227775</v>
      </c>
      <c r="D6" s="156">
        <f>IF(OR('Données projet'!B9="",'Données projet'!C9="",'Données projet'!C9=0%),0,Calculateur!T3)</f>
        <v>428.60115421158082</v>
      </c>
      <c r="E6" s="156">
        <f ca="1">MIN(C6,D6)</f>
        <v>103.47556287227775</v>
      </c>
      <c r="F6" s="156">
        <f ca="1">E6*B6</f>
        <v>215.56029257552902</v>
      </c>
      <c r="G6" s="156">
        <f ca="1">F6*(100%-'Données projet'!$C$24)*(100%-'Données projet'!$C$25)*(100%-'Données projet'!$C$26)*(100%-'Données projet'!$C$27)</f>
        <v>184.30405015207731</v>
      </c>
      <c r="H6" s="157">
        <f>IF(OR('Données projet'!B9="",'Données projet'!C9="",'Données projet'!C9=0%),0,AVERAGE(Calculateur!$AC$3:$AC$33)*B6)</f>
        <v>73.89886174896661</v>
      </c>
      <c r="I6" s="158">
        <f>H6*(100%-'Données projet'!$C$24)*(100%-'Données projet'!$C$25)*(100%-'Données projet'!$C$26)*(100%-'Données projet'!$C$27)</f>
        <v>63.183526795366447</v>
      </c>
      <c r="J6" s="159">
        <f>IF(OR('Données projet'!B9="",'Données projet'!C9="",'Données projet'!C9=0%),0,SUM(Calculateur!$V$3:$V$33)*VLOOKUP('Données projet'!$B$9,Paramètres!$A$1:$I$89,9,0)*B6)</f>
        <v>774.76791168</v>
      </c>
      <c r="K6" s="160">
        <f>J6*(100%-'Données projet'!$C$24)*(100%-'Données projet'!$C$25)*(100%-'Données projet'!$C$26)*(100%-'Données projet'!$C$27)</f>
        <v>662.42656448640003</v>
      </c>
      <c r="L6" s="161">
        <f ca="1">G6+I6+K6</f>
        <v>909.91414143384372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Koster</v>
      </c>
      <c r="B7" s="163">
        <f>'Données projet'!D10</f>
        <v>2.3808000000000002</v>
      </c>
      <c r="C7" s="156">
        <f ca="1">IF(OR('Données projet'!B10="",'Données projet'!C10="",'Données projet'!C10=0%),0,Calculateur!AN3)</f>
        <v>80.374567532152696</v>
      </c>
      <c r="D7" s="156">
        <f>IF(OR('Données projet'!B10="",'Données projet'!C10="",'Données projet'!C10=0%),0,Calculateur!AO3)</f>
        <v>206.07482413353287</v>
      </c>
      <c r="E7" s="156">
        <f t="shared" ref="E7:E15" ca="1" si="0">MIN(C7,D7)</f>
        <v>80.374567532152696</v>
      </c>
      <c r="F7" s="156">
        <f t="shared" ref="F7:F15" ca="1" si="1">E7*B7</f>
        <v>191.35577038054916</v>
      </c>
      <c r="G7" s="156">
        <f ca="1">F7*(100%-'Données projet'!$C$24)*(100%-'Données projet'!$C$25)*(100%-'Données projet'!$C$26)*(100%-'Données projet'!$C$27)</f>
        <v>163.60918367536951</v>
      </c>
      <c r="H7" s="164">
        <f>IF(OR('Données projet'!B10="",'Données projet'!C10="",'Données projet'!C10=0%),0,AVERAGE(Calculateur!$AX$3:$AX$33)*B7)</f>
        <v>36.740677027734804</v>
      </c>
      <c r="I7" s="158">
        <f>H7*(100%-'Données projet'!$C$24)*(100%-'Données projet'!$C$25)*(100%-'Données projet'!$C$26)*(100%-'Données projet'!$C$27)</f>
        <v>31.413278858713259</v>
      </c>
      <c r="J7" s="159">
        <f>IF(OR('Données projet'!B10="",'Données projet'!C10="",'Données projet'!C10=0%),0,SUM(Calculateur!$AQ$3:$AQ$33)*VLOOKUP('Données projet'!$B$10,Paramètres!$A$1:$I$89,9,0)*B7)</f>
        <v>385.19534592000008</v>
      </c>
      <c r="K7" s="160">
        <f>J7*(100%-'Données projet'!$C$24)*(100%-'Données projet'!$C$25)*(100%-'Données projet'!$C$26)*(100%-'Données projet'!$C$27)</f>
        <v>329.34202076160005</v>
      </c>
      <c r="L7" s="161">
        <f t="shared" ref="L7:L15" ca="1" si="2">G7+I7+K7</f>
        <v>524.36448329568282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Peuplier I-45/51</v>
      </c>
      <c r="B8" s="163">
        <f>'Données projet'!D11</f>
        <v>1.4136000000000002</v>
      </c>
      <c r="C8" s="156">
        <f ca="1">IF(OR('Données projet'!B11="",'Données projet'!C11="",'Données projet'!C11=0%),0,Calculateur!BI3)</f>
        <v>60.405981172366637</v>
      </c>
      <c r="D8" s="156">
        <f>IF(OR('Données projet'!B11="",'Données projet'!C11="",'Données projet'!C11=0%),0,Calculateur!BJ3)</f>
        <v>231.98338207539112</v>
      </c>
      <c r="E8" s="156">
        <f t="shared" ca="1" si="0"/>
        <v>60.405981172366637</v>
      </c>
      <c r="F8" s="156">
        <f t="shared" ca="1" si="1"/>
        <v>85.389894985257484</v>
      </c>
      <c r="G8" s="156">
        <f ca="1">F8*(100%-'Données projet'!$C$24)*(100%-'Données projet'!$C$25)*(100%-'Données projet'!$C$26)*(100%-'Données projet'!$C$27)</f>
        <v>73.008360212395147</v>
      </c>
      <c r="H8" s="164">
        <f>IF(OR('Données projet'!B11="",'Données projet'!C11="",'Données projet'!C11=0%),0,AVERAGE(Calculateur!$BS$3:$BS$33)*B8)</f>
        <v>25.084125683265047</v>
      </c>
      <c r="I8" s="158">
        <f>H8*(100%-'Données projet'!$C$24)*(100%-'Données projet'!$C$25)*(100%-'Données projet'!$C$26)*(100%-'Données projet'!$C$27)</f>
        <v>21.446927459191613</v>
      </c>
      <c r="J8" s="159">
        <f>IF(OR('Données projet'!B11="",'Données projet'!C11="",'Données projet'!C11=0%),0,SUM(Calculateur!$BL$3:$BL$33)*VLOOKUP('Données projet'!$B$11,Paramètres!$A$1:$I$89,9,0)*B8)</f>
        <v>261.38255616000009</v>
      </c>
      <c r="K8" s="160">
        <f>J8*(100%-'Données projet'!$C$24)*(100%-'Données projet'!$C$25)*(100%-'Données projet'!$C$26)*(100%-'Données projet'!$C$27)</f>
        <v>223.48208551680005</v>
      </c>
      <c r="L8" s="161">
        <f t="shared" ca="1" si="2"/>
        <v>317.9373731883868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Peuplier Koster</v>
      </c>
      <c r="B9" s="163">
        <f>'Données projet'!D12</f>
        <v>1.4136000000000002</v>
      </c>
      <c r="C9" s="156">
        <f ca="1">IF(OR('Données projet'!B12="",'Données projet'!C12="",'Données projet'!C12=0%),0,Calculateur!CD3)</f>
        <v>86.882151759063618</v>
      </c>
      <c r="D9" s="156">
        <f>IF(OR('Données projet'!B12="",'Données projet'!C12="",'Données projet'!C12=0%),0,Calculateur!CE3)</f>
        <v>324.50087615827215</v>
      </c>
      <c r="E9" s="156">
        <f t="shared" ca="1" si="0"/>
        <v>86.882151759063618</v>
      </c>
      <c r="F9" s="156">
        <f t="shared" ca="1" si="1"/>
        <v>122.81660972661234</v>
      </c>
      <c r="G9" s="156">
        <f ca="1">F9*(100%-'Données projet'!$C$24)*(100%-'Données projet'!$C$25)*(100%-'Données projet'!$C$26)*(100%-'Données projet'!$C$27)</f>
        <v>105.00820131625355</v>
      </c>
      <c r="H9" s="164">
        <f>IF(OR('Données projet'!B12="",'Données projet'!C12="",'Données projet'!C12=0%),0,AVERAGE(Calculateur!$CN$3:$CN$33)*B9)</f>
        <v>36.830142962055589</v>
      </c>
      <c r="I9" s="158">
        <f>H9*(100%-'Données projet'!$C$24)*(100%-'Données projet'!$C$25)*(100%-'Données projet'!$C$26)*(100%-'Données projet'!$C$27)</f>
        <v>31.489772232557531</v>
      </c>
      <c r="J9" s="159">
        <f>IF(OR('Données projet'!B12="",'Données projet'!C12="",'Données projet'!C12=0%),0,SUM(Calculateur!$CG$3:$CG$33)*VLOOKUP('Données projet'!$B$12,Paramètres!$A$1:$I$89,9,0)*B9)</f>
        <v>386.13332160000004</v>
      </c>
      <c r="K9" s="160">
        <f>J9*(100%-'Données projet'!$C$24)*(100%-'Données projet'!$C$25)*(100%-'Données projet'!$C$26)*(100%-'Données projet'!$C$27)</f>
        <v>330.14398996800003</v>
      </c>
      <c r="L9" s="161">
        <f t="shared" ca="1" si="2"/>
        <v>466.64196351681107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615.12256766794803</v>
      </c>
      <c r="G16" s="175">
        <f t="shared" ca="1" si="3"/>
        <v>525.9297953560955</v>
      </c>
      <c r="H16" s="176">
        <f t="shared" si="3"/>
        <v>172.55380742202206</v>
      </c>
      <c r="I16" s="176">
        <f t="shared" si="3"/>
        <v>147.53350534582884</v>
      </c>
      <c r="J16" s="177">
        <f t="shared" si="3"/>
        <v>1807.4791353600003</v>
      </c>
      <c r="K16" s="177">
        <f t="shared" si="3"/>
        <v>1545.3946607328003</v>
      </c>
      <c r="L16" s="178">
        <f t="shared" ca="1" si="3"/>
        <v>2218.8579614347245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Peuplier I-45/51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Peuplier Koster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G7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6539.8862873318321</v>
      </c>
      <c r="U10" s="190">
        <f>'Données projet'!D9</f>
        <v>2.0832000000000002</v>
      </c>
      <c r="V10" s="189">
        <f>U10*T10</f>
        <v>13623.891113769674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Koster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2845.0352775398369</v>
      </c>
      <c r="U11" s="190">
        <f>'Données projet'!D10</f>
        <v>2.3808000000000002</v>
      </c>
      <c r="V11" s="189">
        <f t="shared" ref="V11" si="0">U11*T11</f>
        <v>6773.4599887668446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I-45/51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3251.4688886169565</v>
      </c>
      <c r="U12" s="190">
        <f>'Données projet'!D11</f>
        <v>1.4136000000000002</v>
      </c>
      <c r="V12" s="189">
        <f t="shared" ref="V12:V19" si="1">U12*T12</f>
        <v>4596.2764209489305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Peuplier Koster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4803.3063127295945</v>
      </c>
      <c r="U13" s="190">
        <f>'Données projet'!D12</f>
        <v>1.4136000000000002</v>
      </c>
      <c r="V13" s="189">
        <f t="shared" si="1"/>
        <v>6789.9538036745562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>
        <v>0</v>
      </c>
      <c r="I15" s="204">
        <v>500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2407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8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17595.501327160004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9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224410.49702762088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2292</v>
      </c>
      <c r="Q25" s="265"/>
      <c r="R25" s="25"/>
      <c r="S25" s="198" t="s">
        <v>266</v>
      </c>
      <c r="T25" s="342">
        <f ca="1">T23-T24</f>
        <v>-206814.99570046086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11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12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13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14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15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30162.701213389901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16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17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18</v>
      </c>
      <c r="B33" s="193">
        <f>'Données projet'!D46</f>
        <v>361.08</v>
      </c>
      <c r="C33" s="206">
        <v>40</v>
      </c>
      <c r="D33" s="194">
        <f>B33*C33</f>
        <v>14443.199999999999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2292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>B34*C34</f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2193.3014354066986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2098.8530482360757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2008.4718164938522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1921.9825995156486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1839.2177985795679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1760.0170321335584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1684.2268250081897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1611.7003110126223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1542.2969483374375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1475.8822472128593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1412.3275092946021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1351.5095782723467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1293.3106012175567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1237.6178002081886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1184.32325378774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1133.3236878351584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1084.5202754403431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1037.8184453974577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6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7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8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9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11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12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13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14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15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16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17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18</v>
      </c>
      <c r="B66" s="193">
        <f>'Données projet'!D74</f>
        <v>157.08000000000001</v>
      </c>
      <c r="C66" s="204">
        <v>40</v>
      </c>
      <c r="D66" s="191">
        <f t="shared" si="4"/>
        <v>6283.2000000000007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Peuplier I-45/51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9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10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11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12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13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14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15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16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17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18</v>
      </c>
      <c r="B94" s="193">
        <f>'Données projet'!D97</f>
        <v>179.52</v>
      </c>
      <c r="C94" s="204">
        <v>40</v>
      </c>
      <c r="D94" s="191">
        <f t="shared" si="6"/>
        <v>7180.8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Peuplier Koster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9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10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11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12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13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14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15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16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17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18</v>
      </c>
      <c r="B125" s="193">
        <f>'Données projet'!D123</f>
        <v>265.2</v>
      </c>
      <c r="C125" s="204">
        <v>40</v>
      </c>
      <c r="D125" s="191">
        <f t="shared" si="8"/>
        <v>10608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2024-05-14T09:43:31Z</dcterms:modified>
</cp:coreProperties>
</file>