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 JJL_Avremesnil (76)\Dossier d'instruction\"/>
    </mc:Choice>
  </mc:AlternateContent>
  <xr:revisionPtr revIDLastSave="0" documentId="13_ncr:1_{866BDD63-A280-4427-8DFD-E4BC9494B68D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D200" i="2" l="1"/>
  <c r="EY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D201" i="2"/>
  <c r="EY201" i="2"/>
  <c r="EW202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CS66" i="2" a="1"/>
  <c r="CS66" i="2" s="1"/>
  <c r="CS52" i="2" a="1"/>
  <c r="CS52" i="2" s="1"/>
  <c r="CS129" i="2" a="1"/>
  <c r="CS129" i="2" s="1"/>
  <c r="DN115" i="2" a="1"/>
  <c r="DN115" i="2" s="1"/>
  <c r="CS116" i="2" a="1"/>
  <c r="CS116" i="2" s="1"/>
  <c r="CS137" i="2" a="1"/>
  <c r="CS137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CS185" i="2" a="1"/>
  <c r="CS185" i="2" s="1"/>
  <c r="CS56" i="2" a="1"/>
  <c r="CS56" i="2" s="1"/>
  <c r="CS114" i="2" a="1"/>
  <c r="CS114" i="2" s="1"/>
  <c r="DN55" i="2" a="1"/>
  <c r="DN55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BC32" i="2" l="1" a="1"/>
  <c r="BC32" i="2" s="1"/>
  <c r="BC55" i="2" a="1"/>
  <c r="BC55" i="2" s="1"/>
  <c r="DN30" i="2" a="1"/>
  <c r="DN30" i="2" s="1"/>
  <c r="DN16" i="2" a="1"/>
  <c r="DN16" i="2" s="1"/>
  <c r="DN80" i="2" a="1"/>
  <c r="DN80" i="2" s="1"/>
  <c r="DN123" i="2" a="1"/>
  <c r="DN123" i="2" s="1"/>
  <c r="DN50" i="2" a="1"/>
  <c r="DN50" i="2" s="1"/>
  <c r="DN45" i="2" a="1"/>
  <c r="DN45" i="2" s="1"/>
  <c r="DN152" i="2" a="1"/>
  <c r="DN152" i="2" s="1"/>
  <c r="DN124" i="2" a="1"/>
  <c r="DN124" i="2" s="1"/>
  <c r="DN135" i="2" a="1"/>
  <c r="DN135" i="2" s="1"/>
  <c r="DN190" i="2" a="1"/>
  <c r="DN190" i="2" s="1"/>
  <c r="DN66" i="2" a="1"/>
  <c r="DN66" i="2" s="1"/>
  <c r="DN186" i="2" a="1"/>
  <c r="DN186" i="2" s="1"/>
  <c r="DN133" i="2" a="1"/>
  <c r="DN133" i="2" s="1"/>
  <c r="DN162" i="2" a="1"/>
  <c r="DN162" i="2" s="1"/>
  <c r="DN38" i="2" a="1"/>
  <c r="DN38" i="2" s="1"/>
  <c r="DN114" i="2" a="1"/>
  <c r="DN114" i="2" s="1"/>
  <c r="DN188" i="2" a="1"/>
  <c r="DN188" i="2" s="1"/>
  <c r="DN153" i="2" a="1"/>
  <c r="DN153" i="2" s="1"/>
  <c r="DN113" i="2" a="1"/>
  <c r="DN113" i="2" s="1"/>
  <c r="DN29" i="2" a="1"/>
  <c r="DN29" i="2" s="1"/>
  <c r="DN137" i="2" a="1"/>
  <c r="DN137" i="2" s="1"/>
  <c r="DN56" i="2" a="1"/>
  <c r="DN56" i="2" s="1"/>
  <c r="DN187" i="2" a="1"/>
  <c r="DN187" i="2" s="1"/>
  <c r="DN31" i="2" a="1"/>
  <c r="DN31" i="2" s="1"/>
  <c r="DN49" i="2" a="1"/>
  <c r="DN49" i="2" s="1"/>
  <c r="DN168" i="2" a="1"/>
  <c r="DN168" i="2" s="1"/>
  <c r="DN63" i="2" a="1"/>
  <c r="DN63" i="2" s="1"/>
  <c r="DN103" i="2" a="1"/>
  <c r="DN103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55" i="2" a="1"/>
  <c r="DN155" i="2" s="1"/>
  <c r="DN46" i="2" a="1"/>
  <c r="DN46" i="2" s="1"/>
  <c r="DN110" i="2" a="1"/>
  <c r="DN110" i="2" s="1"/>
  <c r="DN65" i="2" a="1"/>
  <c r="DN65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EI165" i="2" a="1"/>
  <c r="EI165" i="2" s="1"/>
  <c r="EI139" i="2" a="1"/>
  <c r="EI139" i="2" s="1"/>
  <c r="EI71" i="2" a="1"/>
  <c r="EI71" i="2" s="1"/>
  <c r="EI67" i="2" a="1"/>
  <c r="EI67" i="2" s="1"/>
  <c r="EI109" i="2" a="1"/>
  <c r="EI109" i="2" s="1"/>
  <c r="EI113" i="2" a="1"/>
  <c r="EI113" i="2" s="1"/>
  <c r="EI178" i="2" a="1"/>
  <c r="EI178" i="2" s="1"/>
  <c r="EI128" i="2" a="1"/>
  <c r="EI128" i="2" s="1"/>
  <c r="EI195" i="2" a="1"/>
  <c r="EI195" i="2" s="1"/>
  <c r="EI29" i="2" a="1"/>
  <c r="EI29" i="2" s="1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45" i="2" a="1"/>
  <c r="EI145" i="2" s="1"/>
  <c r="EI106" i="2" a="1"/>
  <c r="EI106" i="2" s="1"/>
  <c r="EI35" i="2" a="1"/>
  <c r="EI35" i="2" s="1"/>
  <c r="EI16" i="2" a="1"/>
  <c r="EI16" i="2" s="1"/>
  <c r="EI34" i="2" a="1"/>
  <c r="EI34" i="2" s="1"/>
  <c r="EI36" i="2" a="1"/>
  <c r="EI36" i="2" s="1"/>
  <c r="EI162" i="2" a="1"/>
  <c r="EI162" i="2" s="1"/>
  <c r="EI153" i="2" a="1"/>
  <c r="EI153" i="2" s="1"/>
  <c r="EI87" i="2" a="1"/>
  <c r="EI87" i="2" s="1"/>
  <c r="EI142" i="2" a="1"/>
  <c r="EI142" i="2" s="1"/>
  <c r="EI150" i="2" a="1"/>
  <c r="EI150" i="2" s="1"/>
  <c r="EI166" i="2" a="1"/>
  <c r="EI1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T203" i="2"/>
  <c r="EY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D60" i="2" l="1"/>
  <c r="CD9" i="2"/>
  <c r="CD94" i="2"/>
  <c r="CD66" i="2"/>
  <c r="CD68" i="2"/>
  <c r="CD38" i="2"/>
  <c r="CD172" i="2"/>
  <c r="CD160" i="2"/>
  <c r="CD103" i="2"/>
  <c r="CD170" i="2"/>
  <c r="CD132" i="2"/>
  <c r="CD183" i="2"/>
  <c r="CD101" i="2"/>
  <c r="CD30" i="2"/>
  <c r="CD96" i="2"/>
  <c r="CD137" i="2"/>
  <c r="CD123" i="2"/>
  <c r="CD201" i="2"/>
  <c r="CD130" i="2"/>
  <c r="CD192" i="2"/>
  <c r="CD12" i="2"/>
  <c r="CD34" i="2"/>
  <c r="CD74" i="2"/>
  <c r="CD174" i="2"/>
  <c r="CD141" i="2"/>
  <c r="CD61" i="2"/>
  <c r="CD185" i="2"/>
  <c r="CD142" i="2"/>
  <c r="CD11" i="2"/>
  <c r="CD127" i="2"/>
  <c r="CD151" i="2"/>
  <c r="CD135" i="2"/>
  <c r="CD188" i="2"/>
  <c r="CD140" i="2"/>
  <c r="CD33" i="2"/>
  <c r="CD171" i="2"/>
  <c r="CD69" i="2"/>
  <c r="CD37" i="2"/>
  <c r="CD80" i="2"/>
  <c r="CD118" i="2"/>
  <c r="CD82" i="2"/>
  <c r="CD178" i="2"/>
  <c r="CD108" i="2"/>
  <c r="CD78" i="2"/>
  <c r="CD117" i="2"/>
  <c r="CD131" i="2"/>
  <c r="CD86" i="2"/>
  <c r="CD76" i="2"/>
  <c r="CD187" i="2"/>
  <c r="CD95" i="2"/>
  <c r="CD40" i="2"/>
  <c r="CD73" i="2"/>
  <c r="CD23" i="2"/>
  <c r="CD77" i="2"/>
  <c r="CD124" i="2"/>
  <c r="CD62" i="2"/>
  <c r="CD47" i="2"/>
  <c r="CD190" i="2"/>
  <c r="CD162" i="2"/>
  <c r="CD91" i="2"/>
  <c r="CD114" i="2"/>
  <c r="CD71" i="2"/>
  <c r="CD6" i="2"/>
  <c r="CD13" i="2"/>
  <c r="CD43" i="2"/>
  <c r="CD56" i="2"/>
  <c r="CD84" i="2"/>
  <c r="CD93" i="2"/>
  <c r="CD55" i="2"/>
  <c r="CD64" i="2"/>
  <c r="CD25" i="2"/>
  <c r="CD87" i="2"/>
  <c r="CD145" i="2"/>
  <c r="CD59" i="2"/>
  <c r="CD159" i="2"/>
  <c r="CD65" i="2"/>
  <c r="CD49" i="2"/>
  <c r="CD195" i="2"/>
  <c r="CD92" i="2"/>
  <c r="CD85" i="2"/>
  <c r="CD166" i="2"/>
  <c r="CD191" i="2"/>
  <c r="CD5" i="2"/>
  <c r="CD63" i="2"/>
  <c r="CD67" i="2"/>
  <c r="CD3" i="2"/>
  <c r="C9" i="4" s="1"/>
  <c r="E9" i="4" s="1"/>
  <c r="F9" i="4" s="1"/>
  <c r="G9" i="4" s="1"/>
  <c r="L9" i="4" s="1"/>
  <c r="CD202" i="2"/>
  <c r="CD41" i="2"/>
  <c r="CD53" i="2"/>
  <c r="CD48" i="2"/>
  <c r="CD97" i="2"/>
  <c r="CD136" i="2"/>
  <c r="CD115" i="2"/>
  <c r="CD179" i="2"/>
  <c r="CD113" i="2"/>
  <c r="CD26" i="2"/>
  <c r="CD51" i="2"/>
  <c r="CD58" i="2"/>
  <c r="CD194" i="2"/>
  <c r="CD119" i="2"/>
  <c r="CD57" i="2"/>
  <c r="CD4" i="2"/>
  <c r="CD120" i="2"/>
  <c r="CD29" i="2"/>
  <c r="CD44" i="2"/>
  <c r="CD16" i="2"/>
  <c r="CD100" i="2"/>
  <c r="CD52" i="2"/>
  <c r="CD150" i="2"/>
  <c r="CD112" i="2"/>
  <c r="CD125" i="2"/>
  <c r="CD105" i="2"/>
  <c r="CD126" i="2"/>
  <c r="CD193" i="2"/>
  <c r="CD54" i="2"/>
  <c r="CD199" i="2"/>
  <c r="CD14" i="2"/>
  <c r="CD17" i="2"/>
  <c r="CD154" i="2"/>
  <c r="CD98" i="2"/>
  <c r="CD27" i="2"/>
  <c r="CD186" i="2"/>
  <c r="CD138" i="2"/>
  <c r="CD81" i="2"/>
  <c r="CD22" i="2"/>
  <c r="CD128" i="2"/>
  <c r="CD90" i="2"/>
  <c r="CD7" i="2"/>
  <c r="CD8" i="2"/>
  <c r="CD20" i="2"/>
  <c r="CD175" i="2"/>
  <c r="CD173" i="2"/>
  <c r="CD153" i="2"/>
  <c r="CD182" i="2"/>
  <c r="CD89" i="2"/>
  <c r="CD50" i="2"/>
  <c r="CD158" i="2"/>
  <c r="CD19" i="2"/>
  <c r="CD99" i="2"/>
  <c r="CD42" i="2"/>
  <c r="CD79" i="2"/>
  <c r="CD147" i="2"/>
  <c r="CD169" i="2"/>
  <c r="CD155" i="2"/>
  <c r="CD196" i="2"/>
  <c r="CD109" i="2"/>
  <c r="CD28" i="2"/>
  <c r="CD133" i="2"/>
  <c r="CD111" i="2"/>
  <c r="CD10" i="2"/>
  <c r="CD156" i="2"/>
  <c r="CD129" i="2"/>
  <c r="CD157" i="2"/>
  <c r="CD168" i="2"/>
  <c r="CD102" i="2"/>
  <c r="CD45" i="2"/>
  <c r="CD15" i="2"/>
  <c r="CD106" i="2"/>
  <c r="CD184" i="2"/>
  <c r="CD36" i="2"/>
  <c r="CD75" i="2"/>
  <c r="CD83" i="2"/>
  <c r="CD104" i="2"/>
  <c r="CD21" i="2"/>
  <c r="CD165" i="2"/>
  <c r="CD198" i="2"/>
  <c r="CD18" i="2"/>
  <c r="CD121" i="2"/>
  <c r="CD24" i="2"/>
  <c r="CD161" i="2"/>
  <c r="CD35" i="2"/>
  <c r="CD146" i="2"/>
  <c r="CD88" i="2"/>
  <c r="CD167" i="2"/>
  <c r="CD32" i="2"/>
  <c r="CD107" i="2"/>
  <c r="CD139" i="2"/>
  <c r="CD110" i="2"/>
  <c r="CD152" i="2"/>
  <c r="CD197" i="2"/>
  <c r="CD180" i="2"/>
  <c r="CD122" i="2"/>
  <c r="CD144" i="2"/>
  <c r="CD70" i="2"/>
  <c r="CD189" i="2"/>
  <c r="CD31" i="2"/>
  <c r="CD164" i="2"/>
  <c r="CD116" i="2"/>
  <c r="CD143" i="2"/>
  <c r="CD39" i="2"/>
  <c r="CD200" i="2"/>
  <c r="CD46" i="2"/>
  <c r="CD163" i="2"/>
  <c r="CD203" i="2"/>
  <c r="CD148" i="2"/>
  <c r="CD72" i="2"/>
  <c r="CD181" i="2"/>
  <c r="CD134" i="2"/>
  <c r="CD176" i="2"/>
  <c r="CD177" i="2"/>
  <c r="CD149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<sst xmlns="http://schemas.openxmlformats.org/spreadsheetml/2006/main" count="1183" uniqueCount="325">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</sst>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274.15159613622387</c:v>
                </c:pt>
                <c:pt idx="32">
                  <c:v>304.95175006239322</c:v>
                </c:pt>
                <c:pt idx="33">
                  <c:v>335.68272446221619</c:v>
                </c:pt>
                <c:pt idx="34">
                  <c:v>366.35173714465219</c:v>
                </c:pt>
                <c:pt idx="35">
                  <c:v>396.96469882146312</c:v>
                </c:pt>
                <c:pt idx="36">
                  <c:v>287.36027167965722</c:v>
                </c:pt>
                <c:pt idx="37">
                  <c:v>312.28499675107349</c:v>
                </c:pt>
                <c:pt idx="38">
                  <c:v>337.16559898912197</c:v>
                </c:pt>
                <c:pt idx="39">
                  <c:v>362.00578971990859</c:v>
                </c:pt>
                <c:pt idx="40">
                  <c:v>386.8087295122084</c:v>
                </c:pt>
                <c:pt idx="41">
                  <c:v>411.57714071757056</c:v>
                </c:pt>
                <c:pt idx="42">
                  <c:v>345.34910174995292</c:v>
                </c:pt>
                <c:pt idx="43">
                  <c:v>370.55926373756284</c:v>
                </c:pt>
                <c:pt idx="44">
                  <c:v>395.73202966467738</c:v>
                </c:pt>
                <c:pt idx="45">
                  <c:v>420.87011059114275</c:v>
                </c:pt>
                <c:pt idx="46">
                  <c:v>445.97586750283381</c:v>
                </c:pt>
                <c:pt idx="47">
                  <c:v>471.05137407996995</c:v>
                </c:pt>
                <c:pt idx="48">
                  <c:v>496.09846540196463</c:v>
                </c:pt>
                <c:pt idx="49">
                  <c:v>402.26313463210448</c:v>
                </c:pt>
                <c:pt idx="50">
                  <c:v>425.87619549343572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496.55301706749265</c:v>
                </c:pt>
                <c:pt idx="54">
                  <c:v>520.06287264987645</c:v>
                </c:pt>
                <c:pt idx="55">
                  <c:v>543.55032717690449</c:v>
                </c:pt>
                <c:pt idx="56">
                  <c:v>454.24481650463161</c:v>
                </c:pt>
                <c:pt idx="57">
                  <c:v>476.59634202129263</c:v>
                </c:pt>
                <c:pt idx="58">
                  <c:v>498.92557909267936</c:v>
                </c:pt>
                <c:pt idx="59">
                  <c:v>521.233664652828</c:v>
                </c:pt>
                <c:pt idx="60">
                  <c:v>543.52163046495309</c:v>
                </c:pt>
                <c:pt idx="61">
                  <c:v>565.79041685083462</c:v>
                </c:pt>
                <c:pt idx="62">
                  <c:v>588.04088414741102</c:v>
                </c:pt>
                <c:pt idx="63">
                  <c:v>610.27382234025083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571.42160804713808</c:v>
                </c:pt>
                <c:pt idx="67">
                  <c:v>592.98726902778128</c:v>
                </c:pt>
                <c:pt idx="68">
                  <c:v>614.53661422900689</c:v>
                </c:pt>
                <c:pt idx="69">
                  <c:v>636.07029571344913</c:v>
                </c:pt>
                <c:pt idx="70">
                  <c:v>657.58891783971956</c:v>
                </c:pt>
                <c:pt idx="71">
                  <c:v>679.09304223054426</c:v>
                </c:pt>
                <c:pt idx="72">
                  <c:v>600.80615581089239</c:v>
                </c:pt>
                <c:pt idx="73">
                  <c:v>621.81796471134885</c:v>
                </c:pt>
                <c:pt idx="74">
                  <c:v>642.81507325128075</c:v>
                </c:pt>
                <c:pt idx="75">
                  <c:v>663.79802870135347</c:v>
                </c:pt>
                <c:pt idx="76">
                  <c:v>684.76734094880157</c:v>
                </c:pt>
                <c:pt idx="77">
                  <c:v>705.7234861406215</c:v>
                </c:pt>
                <c:pt idx="78">
                  <c:v>726.66690987194772</c:v>
                </c:pt>
                <c:pt idx="79">
                  <c:v>747.59802998811347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714.6464205142546</c:v>
                </c:pt>
                <c:pt idx="84">
                  <c:v>734.44382712262222</c:v>
                </c:pt>
                <c:pt idx="85">
                  <c:v>754.23036766119492</c:v>
                </c:pt>
                <c:pt idx="86">
                  <c:v>774.00636701258611</c:v>
                </c:pt>
                <c:pt idx="87">
                  <c:v>793.77213212336176</c:v>
                </c:pt>
                <c:pt idx="88">
                  <c:v>813.52795342520051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748.59390688021494</c:v>
                </c:pt>
                <c:pt idx="92">
                  <c:v>767.49340042346319</c:v>
                </c:pt>
                <c:pt idx="93">
                  <c:v>786.38345937215036</c:v>
                </c:pt>
                <c:pt idx="94">
                  <c:v>805.26434202452185</c:v>
                </c:pt>
                <c:pt idx="95">
                  <c:v>824.13629359258368</c:v>
                </c:pt>
                <c:pt idx="96">
                  <c:v>842.99954715561842</c:v>
                </c:pt>
                <c:pt idx="97">
                  <c:v>861.85432452401585</c:v>
                </c:pt>
                <c:pt idx="98">
                  <c:v>880.70083702367674</c:v>
                </c:pt>
                <c:pt idx="99">
                  <c:v>899.53928620986301</c:v>
                </c:pt>
                <c:pt idx="100">
                  <c:v>798.6332412457042</c:v>
                </c:pt>
                <c:pt idx="101">
                  <c:v>817.06058045885254</c:v>
                </c:pt>
                <c:pt idx="102">
                  <c:v>835.47954754465525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890.6882712536576</c:v>
                </c:pt>
                <c:pt idx="106">
                  <c:v>909.07575862089141</c:v>
                </c:pt>
                <c:pt idx="107">
                  <c:v>927.45583393990819</c:v>
                </c:pt>
                <c:pt idx="108">
                  <c:v>945.82866460402113</c:v>
                </c:pt>
                <c:pt idx="109">
                  <c:v>964.1944109815671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581.22970611825792</c:v>
                </c:pt>
                <c:pt idx="62">
                  <c:v>604.04686109166141</c:v>
                </c:pt>
                <c:pt idx="63">
                  <c:v>626.84611947019459</c:v>
                </c:pt>
                <c:pt idx="64">
                  <c:v>649.62822304472218</c:v>
                </c:pt>
                <c:pt idx="65">
                  <c:v>672.39385739452041</c:v>
                </c:pt>
                <c:pt idx="66">
                  <c:v>630.10173942049835</c:v>
                </c:pt>
                <c:pt idx="67">
                  <c:v>651.07414284203026</c:v>
                </c:pt>
                <c:pt idx="68">
                  <c:v>672.03262340860624</c:v>
                </c:pt>
                <c:pt idx="69">
                  <c:v>692.97767598566679</c:v>
                </c:pt>
                <c:pt idx="70">
                  <c:v>713.90976311819725</c:v>
                </c:pt>
                <c:pt idx="71">
                  <c:v>670.58764753168236</c:v>
                </c:pt>
                <c:pt idx="72">
                  <c:v>690.45052166725316</c:v>
                </c:pt>
                <c:pt idx="73">
                  <c:v>710.3016883971892</c:v>
                </c:pt>
                <c:pt idx="74">
                  <c:v>730.1415206368207</c:v>
                </c:pt>
                <c:pt idx="75">
                  <c:v>749.97036940508963</c:v>
                </c:pt>
                <c:pt idx="76">
                  <c:v>705.61063085360013</c:v>
                </c:pt>
                <c:pt idx="77">
                  <c:v>724.37108110022984</c:v>
                </c:pt>
                <c:pt idx="78">
                  <c:v>743.12162419643892</c:v>
                </c:pt>
                <c:pt idx="79">
                  <c:v>761.86254506494288</c:v>
                </c:pt>
                <c:pt idx="80">
                  <c:v>780.5941134830756</c:v>
                </c:pt>
                <c:pt idx="81">
                  <c:v>736.63215463033009</c:v>
                </c:pt>
                <c:pt idx="82">
                  <c:v>753.93485060091427</c:v>
                </c:pt>
                <c:pt idx="83">
                  <c:v>771.22948202840132</c:v>
                </c:pt>
                <c:pt idx="84">
                  <c:v>788.51625505255117</c:v>
                </c:pt>
                <c:pt idx="85">
                  <c:v>805.79536604695249</c:v>
                </c:pt>
                <c:pt idx="86">
                  <c:v>762.94346417722738</c:v>
                </c:pt>
                <c:pt idx="87">
                  <c:v>779.51369572854662</c:v>
                </c:pt>
                <c:pt idx="88">
                  <c:v>796.07679765726959</c:v>
                </c:pt>
                <c:pt idx="89">
                  <c:v>812.6329390527917</c:v>
                </c:pt>
                <c:pt idx="90">
                  <c:v>829.18228155985844</c:v>
                </c:pt>
                <c:pt idx="91">
                  <c:v>788.87631401648412</c:v>
                </c:pt>
                <c:pt idx="92">
                  <c:v>804.3557281501412</c:v>
                </c:pt>
                <c:pt idx="93">
                  <c:v>819.82913151766832</c:v>
                </c:pt>
                <c:pt idx="94">
                  <c:v>835.29665344180148</c:v>
                </c:pt>
                <c:pt idx="95">
                  <c:v>850.75841807001746</c:v>
                </c:pt>
                <c:pt idx="96">
                  <c:v>811.55339965696749</c:v>
                </c:pt>
                <c:pt idx="97">
                  <c:v>826.30461657658509</c:v>
                </c:pt>
                <c:pt idx="98">
                  <c:v>841.05053427827136</c:v>
                </c:pt>
                <c:pt idx="99">
                  <c:v>855.79125867604716</c:v>
                </c:pt>
                <c:pt idx="100">
                  <c:v>870.52689174128739</c:v>
                </c:pt>
                <c:pt idx="101">
                  <c:v>832.41941451556841</c:v>
                </c:pt>
                <c:pt idx="102">
                  <c:v>846.44407919593243</c:v>
                </c:pt>
                <c:pt idx="103">
                  <c:v>860.46407906531829</c:v>
                </c:pt>
                <c:pt idx="104">
                  <c:v>874.47950077026132</c:v>
                </c:pt>
                <c:pt idx="105">
                  <c:v>888.490427956075</c:v>
                </c:pt>
                <c:pt idx="106">
                  <c:v>851.4774317939133</c:v>
                </c:pt>
                <c:pt idx="107">
                  <c:v>864.77700018720088</c:v>
                </c:pt>
                <c:pt idx="108">
                  <c:v>878.07247139987203</c:v>
                </c:pt>
                <c:pt idx="109">
                  <c:v>891.36391615659443</c:v>
                </c:pt>
                <c:pt idx="110">
                  <c:v>904.65140290281352</c:v>
                </c:pt>
                <c:pt idx="111">
                  <c:v>868.73013257971604</c:v>
                </c:pt>
                <c:pt idx="112">
                  <c:v>881.30589346878003</c:v>
                </c:pt>
                <c:pt idx="113">
                  <c:v>893.87806652905977</c:v>
                </c:pt>
                <c:pt idx="114">
                  <c:v>906.44670928964024</c:v>
                </c:pt>
                <c:pt idx="115">
                  <c:v>919.0118775555884</c:v>
                </c:pt>
                <c:pt idx="116">
                  <c:v>872.32357664941526</c:v>
                </c:pt>
                <c:pt idx="117">
                  <c:v>872.32357664941526</c:v>
                </c:pt>
                <c:pt idx="118">
                  <c:v>872.32357664941526</c:v>
                </c:pt>
                <c:pt idx="119">
                  <c:v>872.32357664941526</c:v>
                </c:pt>
                <c:pt idx="120">
                  <c:v>872.32357664941526</c:v>
                </c:pt>
                <c:pt idx="121">
                  <c:v>872.32357664941526</c:v>
                </c:pt>
                <c:pt idx="122">
                  <c:v>872.32357664941526</c:v>
                </c:pt>
                <c:pt idx="123">
                  <c:v>872.32357664941526</c:v>
                </c:pt>
                <c:pt idx="124">
                  <c:v>872.32357664941526</c:v>
                </c:pt>
                <c:pt idx="125">
                  <c:v>872.32357664941526</c:v>
                </c:pt>
                <c:pt idx="126">
                  <c:v>872.32357664941526</c:v>
                </c:pt>
                <c:pt idx="127">
                  <c:v>872.32357664941526</c:v>
                </c:pt>
                <c:pt idx="128">
                  <c:v>872.32357664941526</c:v>
                </c:pt>
                <c:pt idx="129">
                  <c:v>872.32357664941526</c:v>
                </c:pt>
                <c:pt idx="130">
                  <c:v>872.32357664941526</c:v>
                </c:pt>
                <c:pt idx="131">
                  <c:v>872.32357664941526</c:v>
                </c:pt>
                <c:pt idx="132">
                  <c:v>872.32357664941526</c:v>
                </c:pt>
                <c:pt idx="133">
                  <c:v>872.32357664941526</c:v>
                </c:pt>
                <c:pt idx="134">
                  <c:v>872.32357664941526</c:v>
                </c:pt>
                <c:pt idx="135">
                  <c:v>872.32357664941526</c:v>
                </c:pt>
                <c:pt idx="136">
                  <c:v>872.32357664941526</c:v>
                </c:pt>
                <c:pt idx="137">
                  <c:v>872.32357664941526</c:v>
                </c:pt>
                <c:pt idx="138">
                  <c:v>872.32357664941526</c:v>
                </c:pt>
                <c:pt idx="139">
                  <c:v>872.32357664941526</c:v>
                </c:pt>
                <c:pt idx="140">
                  <c:v>872.32357664941526</c:v>
                </c:pt>
                <c:pt idx="141">
                  <c:v>872.32357664941526</c:v>
                </c:pt>
                <c:pt idx="142">
                  <c:v>872.32357664941526</c:v>
                </c:pt>
                <c:pt idx="143">
                  <c:v>872.32357664941526</c:v>
                </c:pt>
                <c:pt idx="144">
                  <c:v>872.32357664941526</c:v>
                </c:pt>
                <c:pt idx="145">
                  <c:v>872.32357664941526</c:v>
                </c:pt>
                <c:pt idx="146">
                  <c:v>872.32357664941526</c:v>
                </c:pt>
                <c:pt idx="147">
                  <c:v>872.32357664941526</c:v>
                </c:pt>
                <c:pt idx="148">
                  <c:v>872.32357664941526</c:v>
                </c:pt>
                <c:pt idx="149">
                  <c:v>872.32357664941526</c:v>
                </c:pt>
                <c:pt idx="150">
                  <c:v>872.32357664941526</c:v>
                </c:pt>
                <c:pt idx="151">
                  <c:v>872.32357664941526</c:v>
                </c:pt>
                <c:pt idx="152">
                  <c:v>872.32357664941526</c:v>
                </c:pt>
                <c:pt idx="153">
                  <c:v>872.32357664941526</c:v>
                </c:pt>
                <c:pt idx="154">
                  <c:v>872.32357664941526</c:v>
                </c:pt>
                <c:pt idx="155">
                  <c:v>872.32357664941526</c:v>
                </c:pt>
                <c:pt idx="156">
                  <c:v>872.32357664941526</c:v>
                </c:pt>
                <c:pt idx="157">
                  <c:v>872.32357664941526</c:v>
                </c:pt>
                <c:pt idx="158">
                  <c:v>872.32357664941526</c:v>
                </c:pt>
                <c:pt idx="159">
                  <c:v>872.32357664941526</c:v>
                </c:pt>
                <c:pt idx="160">
                  <c:v>872.32357664941526</c:v>
                </c:pt>
                <c:pt idx="161">
                  <c:v>872.32357664941526</c:v>
                </c:pt>
                <c:pt idx="162">
                  <c:v>872.32357664941526</c:v>
                </c:pt>
                <c:pt idx="163">
                  <c:v>872.32357664941526</c:v>
                </c:pt>
                <c:pt idx="164">
                  <c:v>872.32357664941526</c:v>
                </c:pt>
                <c:pt idx="165">
                  <c:v>872.32357664941526</c:v>
                </c:pt>
                <c:pt idx="166">
                  <c:v>872.32357664941526</c:v>
                </c:pt>
                <c:pt idx="167">
                  <c:v>872.32357664941526</c:v>
                </c:pt>
                <c:pt idx="168">
                  <c:v>872.32357664941526</c:v>
                </c:pt>
                <c:pt idx="169">
                  <c:v>872.32357664941526</c:v>
                </c:pt>
                <c:pt idx="170">
                  <c:v>872.32357664941526</c:v>
                </c:pt>
                <c:pt idx="171">
                  <c:v>872.32357664941526</c:v>
                </c:pt>
                <c:pt idx="172">
                  <c:v>872.32357664941526</c:v>
                </c:pt>
                <c:pt idx="173">
                  <c:v>872.32357664941526</c:v>
                </c:pt>
                <c:pt idx="174">
                  <c:v>872.32357664941526</c:v>
                </c:pt>
                <c:pt idx="175">
                  <c:v>872.32357664941526</c:v>
                </c:pt>
                <c:pt idx="176">
                  <c:v>872.32357664941526</c:v>
                </c:pt>
                <c:pt idx="177">
                  <c:v>872.32357664941526</c:v>
                </c:pt>
                <c:pt idx="178">
                  <c:v>872.32357664941526</c:v>
                </c:pt>
                <c:pt idx="179">
                  <c:v>872.32357664941526</c:v>
                </c:pt>
                <c:pt idx="180">
                  <c:v>872.32357664941526</c:v>
                </c:pt>
                <c:pt idx="181">
                  <c:v>872.32357664941526</c:v>
                </c:pt>
                <c:pt idx="182">
                  <c:v>872.32357664941526</c:v>
                </c:pt>
                <c:pt idx="183">
                  <c:v>872.32357664941526</c:v>
                </c:pt>
                <c:pt idx="184">
                  <c:v>872.32357664941526</c:v>
                </c:pt>
                <c:pt idx="185">
                  <c:v>872.32357664941526</c:v>
                </c:pt>
                <c:pt idx="186">
                  <c:v>872.32357664941526</c:v>
                </c:pt>
                <c:pt idx="187">
                  <c:v>872.32357664941526</c:v>
                </c:pt>
                <c:pt idx="188">
                  <c:v>872.32357664941526</c:v>
                </c:pt>
                <c:pt idx="189">
                  <c:v>872.32357664941526</c:v>
                </c:pt>
                <c:pt idx="190">
                  <c:v>872.32357664941526</c:v>
                </c:pt>
                <c:pt idx="191">
                  <c:v>872.32357664941526</c:v>
                </c:pt>
                <c:pt idx="192">
                  <c:v>872.32357664941526</c:v>
                </c:pt>
                <c:pt idx="193">
                  <c:v>872.32357664941526</c:v>
                </c:pt>
                <c:pt idx="194">
                  <c:v>872.32357664941526</c:v>
                </c:pt>
                <c:pt idx="195">
                  <c:v>872.32357664941526</c:v>
                </c:pt>
                <c:pt idx="196">
                  <c:v>872.32357664941526</c:v>
                </c:pt>
                <c:pt idx="197">
                  <c:v>872.32357664941526</c:v>
                </c:pt>
                <c:pt idx="198">
                  <c:v>872.32357664941526</c:v>
                </c:pt>
                <c:pt idx="199">
                  <c:v>872.32357664941526</c:v>
                </c:pt>
                <c:pt idx="200">
                  <c:v>872.32357664941526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2.5147186587462147</c:v>
                </c:pt>
                <c:pt idx="2">
                  <c:v>2.9320458204300039</c:v>
                </c:pt>
                <c:pt idx="3">
                  <c:v>3.4188824234421809</c:v>
                </c:pt>
                <c:pt idx="4">
                  <c:v>3.9868455957673476</c:v>
                </c:pt>
                <c:pt idx="5">
                  <c:v>4.6495002696677679</c:v>
                </c:pt>
                <c:pt idx="6">
                  <c:v>5.422686737318287</c:v>
                </c:pt>
                <c:pt idx="7">
                  <c:v>6.324903442097848</c:v>
                </c:pt>
                <c:pt idx="8">
                  <c:v>7.3777543434881103</c:v>
                </c:pt>
                <c:pt idx="9">
                  <c:v>8.6064717758229676</c:v>
                </c:pt>
                <c:pt idx="10">
                  <c:v>10.040527572105615</c:v>
                </c:pt>
                <c:pt idx="11">
                  <c:v>11.714347389472957</c:v>
                </c:pt>
                <c:pt idx="12">
                  <c:v>13.668145706139628</c:v>
                </c:pt>
                <c:pt idx="13">
                  <c:v>15.94890192341582</c:v>
                </c:pt>
                <c:pt idx="14">
                  <c:v>18.611501473959652</c:v>
                </c:pt>
                <c:pt idx="15">
                  <c:v>21.720069894591763</c:v>
                </c:pt>
                <c:pt idx="16">
                  <c:v>25.349532569195986</c:v>
                </c:pt>
                <c:pt idx="17">
                  <c:v>29.587438402019249</c:v>
                </c:pt>
                <c:pt idx="18">
                  <c:v>34.53609218169084</c:v>
                </c:pt>
                <c:pt idx="19">
                  <c:v>40.315048002619221</c:v>
                </c:pt>
                <c:pt idx="20">
                  <c:v>47.064025011713824</c:v>
                </c:pt>
                <c:pt idx="21">
                  <c:v>54.946317165442274</c:v>
                </c:pt>
                <c:pt idx="22">
                  <c:v>64.152780873607881</c:v>
                </c:pt>
                <c:pt idx="23">
                  <c:v>74.906498674616856</c:v>
                </c:pt>
                <c:pt idx="24">
                  <c:v>87.46823378681114</c:v>
                </c:pt>
                <c:pt idx="25">
                  <c:v>102.1428099266476</c:v>
                </c:pt>
                <c:pt idx="26">
                  <c:v>119.28657366300263</c:v>
                </c:pt>
                <c:pt idx="27">
                  <c:v>139.31612335663408</c:v>
                </c:pt>
                <c:pt idx="28">
                  <c:v>162.71852008106734</c:v>
                </c:pt>
                <c:pt idx="29">
                  <c:v>190.06323261605641</c:v>
                </c:pt>
                <c:pt idx="30">
                  <c:v>222.01611156088691</c:v>
                </c:pt>
                <c:pt idx="31">
                  <c:v>281.92195353046623</c:v>
                </c:pt>
                <c:pt idx="32">
                  <c:v>189.48680735842365</c:v>
                </c:pt>
                <c:pt idx="33">
                  <c:v>212.48890906626988</c:v>
                </c:pt>
                <c:pt idx="34">
                  <c:v>235.43361754001435</c:v>
                </c:pt>
                <c:pt idx="35">
                  <c:v>258.32731247116993</c:v>
                </c:pt>
                <c:pt idx="36">
                  <c:v>281.17514934741024</c:v>
                </c:pt>
                <c:pt idx="37">
                  <c:v>303.9813769502631</c:v>
                </c:pt>
                <c:pt idx="38">
                  <c:v>254.1387370465701</c:v>
                </c:pt>
                <c:pt idx="39">
                  <c:v>278.74170389407175</c:v>
                </c:pt>
                <c:pt idx="40">
                  <c:v>303.29595629959118</c:v>
                </c:pt>
                <c:pt idx="41">
                  <c:v>327.80599026121445</c:v>
                </c:pt>
                <c:pt idx="42">
                  <c:v>352.27557454354252</c:v>
                </c:pt>
                <c:pt idx="43">
                  <c:v>376.70791171830462</c:v>
                </c:pt>
                <c:pt idx="44">
                  <c:v>401.10575519534763</c:v>
                </c:pt>
                <c:pt idx="45">
                  <c:v>331.98040853554852</c:v>
                </c:pt>
                <c:pt idx="46">
                  <c:v>356.440862370655</c:v>
                </c:pt>
                <c:pt idx="47">
                  <c:v>380.86457497199081</c:v>
                </c:pt>
                <c:pt idx="48">
                  <c:v>405.25423174440584</c:v>
                </c:pt>
                <c:pt idx="49">
                  <c:v>429.61216866264232</c:v>
                </c:pt>
                <c:pt idx="50">
                  <c:v>453.94043537897068</c:v>
                </c:pt>
                <c:pt idx="51">
                  <c:v>478.24084409423403</c:v>
                </c:pt>
                <c:pt idx="52">
                  <c:v>411.72863330997967</c:v>
                </c:pt>
                <c:pt idx="53">
                  <c:v>435.80751120287476</c:v>
                </c:pt>
                <c:pt idx="54">
                  <c:v>459.85784786782165</c:v>
                </c:pt>
                <c:pt idx="55">
                  <c:v>483.88134448149884</c:v>
                </c:pt>
                <c:pt idx="56">
                  <c:v>507.87951966706237</c:v>
                </c:pt>
                <c:pt idx="57">
                  <c:v>531.85373695820283</c:v>
                </c:pt>
                <c:pt idx="58">
                  <c:v>555.8052270551816</c:v>
                </c:pt>
                <c:pt idx="59">
                  <c:v>492.15461753504678</c:v>
                </c:pt>
                <c:pt idx="60">
                  <c:v>515.53048050714631</c:v>
                </c:pt>
                <c:pt idx="61">
                  <c:v>538.88398275204452</c:v>
                </c:pt>
                <c:pt idx="62">
                  <c:v>562.21622862986351</c:v>
                </c:pt>
                <c:pt idx="63">
                  <c:v>585.5282234549619</c:v>
                </c:pt>
                <c:pt idx="64">
                  <c:v>608.82088604769058</c:v>
                </c:pt>
                <c:pt idx="65">
                  <c:v>632.09505926670761</c:v>
                </c:pt>
                <c:pt idx="66">
                  <c:v>563.97828589030587</c:v>
                </c:pt>
                <c:pt idx="67">
                  <c:v>586.30817010771511</c:v>
                </c:pt>
                <c:pt idx="68">
                  <c:v>608.62034247275642</c:v>
                </c:pt>
                <c:pt idx="69">
                  <c:v>630.91554298740778</c:v>
                </c:pt>
                <c:pt idx="70">
                  <c:v>653.19445514535653</c:v>
                </c:pt>
                <c:pt idx="71">
                  <c:v>675.45771206588552</c:v>
                </c:pt>
                <c:pt idx="72">
                  <c:v>697.70590177773647</c:v>
                </c:pt>
                <c:pt idx="73">
                  <c:v>614.23335388511839</c:v>
                </c:pt>
                <c:pt idx="74">
                  <c:v>635.39154504453484</c:v>
                </c:pt>
                <c:pt idx="75">
                  <c:v>656.53518030495661</c:v>
                </c:pt>
                <c:pt idx="76">
                  <c:v>677.66479392431336</c:v>
                </c:pt>
                <c:pt idx="77">
                  <c:v>698.78088416394974</c:v>
                </c:pt>
                <c:pt idx="78">
                  <c:v>719.88391675026003</c:v>
                </c:pt>
                <c:pt idx="79">
                  <c:v>740.97432790971845</c:v>
                </c:pt>
                <c:pt idx="80">
                  <c:v>762.05252704075747</c:v>
                </c:pt>
                <c:pt idx="81">
                  <c:v>783.11889907498062</c:v>
                </c:pt>
                <c:pt idx="82">
                  <c:v>665.11914671205125</c:v>
                </c:pt>
                <c:pt idx="83">
                  <c:v>684.26771059401108</c:v>
                </c:pt>
                <c:pt idx="84">
                  <c:v>703.40528563700525</c:v>
                </c:pt>
                <c:pt idx="85">
                  <c:v>722.53221261370061</c:v>
                </c:pt>
                <c:pt idx="86">
                  <c:v>741.64881280252359</c:v>
                </c:pt>
                <c:pt idx="87">
                  <c:v>760.75538958673053</c:v>
                </c:pt>
                <c:pt idx="88">
                  <c:v>779.85222988464545</c:v>
                </c:pt>
                <c:pt idx="89">
                  <c:v>798.93960543266974</c:v>
                </c:pt>
                <c:pt idx="90">
                  <c:v>818.01777393944485</c:v>
                </c:pt>
                <c:pt idx="91">
                  <c:v>697.22746464887598</c:v>
                </c:pt>
                <c:pt idx="92">
                  <c:v>715.0491812220165</c:v>
                </c:pt>
                <c:pt idx="93">
                  <c:v>732.86182883316712</c:v>
                </c:pt>
                <c:pt idx="94">
                  <c:v>750.66565874172318</c:v>
                </c:pt>
                <c:pt idx="95">
                  <c:v>768.46090932877325</c:v>
                </c:pt>
                <c:pt idx="96">
                  <c:v>786.24780704616751</c:v>
                </c:pt>
                <c:pt idx="97">
                  <c:v>804.02656727532349</c:v>
                </c:pt>
                <c:pt idx="98">
                  <c:v>821.79739510620573</c:v>
                </c:pt>
                <c:pt idx="99">
                  <c:v>839.56048604549733</c:v>
                </c:pt>
                <c:pt idx="100">
                  <c:v>474.65069912253784</c:v>
                </c:pt>
                <c:pt idx="101">
                  <c:v>462.60785555115808</c:v>
                </c:pt>
                <c:pt idx="102">
                  <c:v>332.16299671401367</c:v>
                </c:pt>
                <c:pt idx="103">
                  <c:v>331.85696738542373</c:v>
                </c:pt>
                <c:pt idx="104">
                  <c:v>240.86847989331147</c:v>
                </c:pt>
                <c:pt idx="105">
                  <c:v>242.56667629567787</c:v>
                </c:pt>
                <c:pt idx="106">
                  <c:v>244.26460221870903</c:v>
                </c:pt>
                <c:pt idx="107">
                  <c:v>32.897588886077138</c:v>
                </c:pt>
                <c:pt idx="108">
                  <c:v>32.897588886077138</c:v>
                </c:pt>
                <c:pt idx="109">
                  <c:v>32.897588886077138</c:v>
                </c:pt>
                <c:pt idx="110">
                  <c:v>32.897588886077138</c:v>
                </c:pt>
                <c:pt idx="111">
                  <c:v>32.897588886077138</c:v>
                </c:pt>
                <c:pt idx="112">
                  <c:v>32.897588886077138</c:v>
                </c:pt>
                <c:pt idx="113">
                  <c:v>32.897588886077138</c:v>
                </c:pt>
                <c:pt idx="114">
                  <c:v>32.897588886077138</c:v>
                </c:pt>
                <c:pt idx="115">
                  <c:v>32.897588886077138</c:v>
                </c:pt>
                <c:pt idx="116">
                  <c:v>32.897588886077138</c:v>
                </c:pt>
                <c:pt idx="117">
                  <c:v>32.897588886077138</c:v>
                </c:pt>
                <c:pt idx="118">
                  <c:v>32.897588886077138</c:v>
                </c:pt>
                <c:pt idx="119">
                  <c:v>32.897588886077138</c:v>
                </c:pt>
                <c:pt idx="120">
                  <c:v>32.897588886077138</c:v>
                </c:pt>
                <c:pt idx="121">
                  <c:v>32.897588886077138</c:v>
                </c:pt>
                <c:pt idx="122">
                  <c:v>32.897588886077138</c:v>
                </c:pt>
                <c:pt idx="123">
                  <c:v>32.897588886077138</c:v>
                </c:pt>
                <c:pt idx="124">
                  <c:v>32.897588886077138</c:v>
                </c:pt>
                <c:pt idx="125">
                  <c:v>32.897588886077138</c:v>
                </c:pt>
                <c:pt idx="126">
                  <c:v>32.897588886077138</c:v>
                </c:pt>
                <c:pt idx="127">
                  <c:v>32.897588886077138</c:v>
                </c:pt>
                <c:pt idx="128">
                  <c:v>32.897588886077138</c:v>
                </c:pt>
                <c:pt idx="129">
                  <c:v>32.897588886077138</c:v>
                </c:pt>
                <c:pt idx="130">
                  <c:v>32.897588886077138</c:v>
                </c:pt>
                <c:pt idx="131">
                  <c:v>32.897588886077138</c:v>
                </c:pt>
                <c:pt idx="132">
                  <c:v>32.897588886077138</c:v>
                </c:pt>
                <c:pt idx="133">
                  <c:v>32.897588886077138</c:v>
                </c:pt>
                <c:pt idx="134">
                  <c:v>32.897588886077138</c:v>
                </c:pt>
                <c:pt idx="135">
                  <c:v>32.897588886077138</c:v>
                </c:pt>
                <c:pt idx="136">
                  <c:v>32.897588886077138</c:v>
                </c:pt>
                <c:pt idx="137">
                  <c:v>32.897588886077138</c:v>
                </c:pt>
                <c:pt idx="138">
                  <c:v>32.897588886077138</c:v>
                </c:pt>
                <c:pt idx="139">
                  <c:v>32.897588886077138</c:v>
                </c:pt>
                <c:pt idx="140">
                  <c:v>32.897588886077138</c:v>
                </c:pt>
                <c:pt idx="141">
                  <c:v>32.897588886077138</c:v>
                </c:pt>
                <c:pt idx="142">
                  <c:v>32.897588886077138</c:v>
                </c:pt>
                <c:pt idx="143">
                  <c:v>32.897588886077138</c:v>
                </c:pt>
                <c:pt idx="144">
                  <c:v>32.897588886077138</c:v>
                </c:pt>
                <c:pt idx="145">
                  <c:v>32.897588886077138</c:v>
                </c:pt>
                <c:pt idx="146">
                  <c:v>32.897588886077138</c:v>
                </c:pt>
                <c:pt idx="147">
                  <c:v>32.897588886077138</c:v>
                </c:pt>
                <c:pt idx="148">
                  <c:v>32.897588886077138</c:v>
                </c:pt>
                <c:pt idx="149">
                  <c:v>32.897588886077138</c:v>
                </c:pt>
                <c:pt idx="150">
                  <c:v>32.897588886077138</c:v>
                </c:pt>
                <c:pt idx="151">
                  <c:v>32.897588886077138</c:v>
                </c:pt>
                <c:pt idx="152">
                  <c:v>32.897588886077138</c:v>
                </c:pt>
                <c:pt idx="153">
                  <c:v>32.897588886077138</c:v>
                </c:pt>
                <c:pt idx="154">
                  <c:v>32.897588886077138</c:v>
                </c:pt>
                <c:pt idx="155">
                  <c:v>32.897588886077138</c:v>
                </c:pt>
                <c:pt idx="156">
                  <c:v>32.897588886077138</c:v>
                </c:pt>
                <c:pt idx="157">
                  <c:v>32.897588886077138</c:v>
                </c:pt>
                <c:pt idx="158">
                  <c:v>32.897588886077138</c:v>
                </c:pt>
                <c:pt idx="159">
                  <c:v>32.897588886077138</c:v>
                </c:pt>
                <c:pt idx="160">
                  <c:v>32.897588886077138</c:v>
                </c:pt>
                <c:pt idx="161">
                  <c:v>32.897588886077138</c:v>
                </c:pt>
                <c:pt idx="162">
                  <c:v>32.897588886077138</c:v>
                </c:pt>
                <c:pt idx="163">
                  <c:v>32.897588886077138</c:v>
                </c:pt>
                <c:pt idx="164">
                  <c:v>32.897588886077138</c:v>
                </c:pt>
                <c:pt idx="165">
                  <c:v>32.897588886077138</c:v>
                </c:pt>
                <c:pt idx="166">
                  <c:v>32.897588886077138</c:v>
                </c:pt>
                <c:pt idx="167">
                  <c:v>32.897588886077138</c:v>
                </c:pt>
                <c:pt idx="168">
                  <c:v>32.897588886077138</c:v>
                </c:pt>
                <c:pt idx="169">
                  <c:v>32.897588886077138</c:v>
                </c:pt>
                <c:pt idx="170">
                  <c:v>32.897588886077138</c:v>
                </c:pt>
                <c:pt idx="171">
                  <c:v>32.897588886077138</c:v>
                </c:pt>
                <c:pt idx="172">
                  <c:v>32.897588886077138</c:v>
                </c:pt>
                <c:pt idx="173">
                  <c:v>32.897588886077138</c:v>
                </c:pt>
                <c:pt idx="174">
                  <c:v>32.897588886077138</c:v>
                </c:pt>
                <c:pt idx="175">
                  <c:v>32.897588886077138</c:v>
                </c:pt>
                <c:pt idx="176">
                  <c:v>32.897588886077138</c:v>
                </c:pt>
                <c:pt idx="177">
                  <c:v>32.897588886077138</c:v>
                </c:pt>
                <c:pt idx="178">
                  <c:v>32.897588886077138</c:v>
                </c:pt>
                <c:pt idx="179">
                  <c:v>32.897588886077138</c:v>
                </c:pt>
                <c:pt idx="180">
                  <c:v>32.897588886077138</c:v>
                </c:pt>
                <c:pt idx="181">
                  <c:v>32.897588886077138</c:v>
                </c:pt>
                <c:pt idx="182">
                  <c:v>32.897588886077138</c:v>
                </c:pt>
                <c:pt idx="183">
                  <c:v>32.897588886077138</c:v>
                </c:pt>
                <c:pt idx="184">
                  <c:v>32.897588886077138</c:v>
                </c:pt>
                <c:pt idx="185">
                  <c:v>32.897588886077138</c:v>
                </c:pt>
                <c:pt idx="186">
                  <c:v>32.897588886077138</c:v>
                </c:pt>
                <c:pt idx="187">
                  <c:v>32.897588886077138</c:v>
                </c:pt>
                <c:pt idx="188">
                  <c:v>32.897588886077138</c:v>
                </c:pt>
                <c:pt idx="189">
                  <c:v>32.897588886077138</c:v>
                </c:pt>
                <c:pt idx="190">
                  <c:v>32.897588886077138</c:v>
                </c:pt>
                <c:pt idx="191">
                  <c:v>32.897588886077138</c:v>
                </c:pt>
                <c:pt idx="192">
                  <c:v>32.897588886077138</c:v>
                </c:pt>
                <c:pt idx="193">
                  <c:v>32.897588886077138</c:v>
                </c:pt>
                <c:pt idx="194">
                  <c:v>32.897588886077138</c:v>
                </c:pt>
                <c:pt idx="195">
                  <c:v>32.897588886077138</c:v>
                </c:pt>
                <c:pt idx="196">
                  <c:v>32.897588886077138</c:v>
                </c:pt>
                <c:pt idx="197">
                  <c:v>32.897588886077138</c:v>
                </c:pt>
                <c:pt idx="198">
                  <c:v>32.897588886077138</c:v>
                </c:pt>
                <c:pt idx="199">
                  <c:v>32.897588886077138</c:v>
                </c:pt>
                <c:pt idx="200">
                  <c:v>32.897588886077138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2.8300887377079711</c:v>
                </c:pt>
                <c:pt idx="2">
                  <c:v>3.3023042337395179</c:v>
                </c:pt>
                <c:pt idx="3">
                  <c:v>3.8535970165131981</c:v>
                </c:pt>
                <c:pt idx="4">
                  <c:v>4.4972545440769327</c:v>
                </c:pt>
                <c:pt idx="5">
                  <c:v>5.2488040989672156</c:v>
                </c:pt>
                <c:pt idx="6">
                  <c:v>6.1263914656658001</c:v>
                </c:pt>
                <c:pt idx="7">
                  <c:v>7.1512238043191303</c:v>
                </c:pt>
                <c:pt idx="8">
                  <c:v>8.3480876310517598</c:v>
                </c:pt>
                <c:pt idx="9">
                  <c:v>9.7459546736940528</c:v>
                </c:pt>
                <c:pt idx="10">
                  <c:v>11.378690547472175</c:v>
                </c:pt>
                <c:pt idx="11">
                  <c:v>13.285883742428437</c:v>
                </c:pt>
                <c:pt idx="12">
                  <c:v>15.513815396600551</c:v>
                </c:pt>
                <c:pt idx="13">
                  <c:v>18.116593820726411</c:v>
                </c:pt>
                <c:pt idx="14">
                  <c:v>21.15748182865056</c:v>
                </c:pt>
                <c:pt idx="15">
                  <c:v>24.710449714832063</c:v>
                </c:pt>
                <c:pt idx="16">
                  <c:v>28.861992326044312</c:v>
                </c:pt>
                <c:pt idx="17">
                  <c:v>33.713255238692668</c:v>
                </c:pt>
                <c:pt idx="18">
                  <c:v>39.382522740372629</c:v>
                </c:pt>
                <c:pt idx="19">
                  <c:v>46.008129316747045</c:v>
                </c:pt>
                <c:pt idx="20">
                  <c:v>53.751866887941766</c:v>
                </c:pt>
                <c:pt idx="21">
                  <c:v>62.802972386545882</c:v>
                </c:pt>
                <c:pt idx="22">
                  <c:v>73.382794731387975</c:v>
                </c:pt>
                <c:pt idx="23">
                  <c:v>85.75025719011127</c:v>
                </c:pt>
                <c:pt idx="24">
                  <c:v>100.20825096401774</c:v>
                </c:pt>
                <c:pt idx="25">
                  <c:v>117.11111906849764</c:v>
                </c:pt>
                <c:pt idx="26">
                  <c:v>136.87341680492963</c:v>
                </c:pt>
                <c:pt idx="27">
                  <c:v>159.98016700878466</c:v>
                </c:pt>
                <c:pt idx="28">
                  <c:v>186.99886561482674</c:v>
                </c:pt>
                <c:pt idx="29">
                  <c:v>218.59353684249234</c:v>
                </c:pt>
                <c:pt idx="30">
                  <c:v>255.54118857285985</c:v>
                </c:pt>
                <c:pt idx="31">
                  <c:v>287.98065547327218</c:v>
                </c:pt>
                <c:pt idx="32">
                  <c:v>320.33837905864272</c:v>
                </c:pt>
                <c:pt idx="33">
                  <c:v>352.62377071435316</c:v>
                </c:pt>
                <c:pt idx="34">
                  <c:v>384.84437715367989</c:v>
                </c:pt>
                <c:pt idx="35">
                  <c:v>417.00637843031797</c:v>
                </c:pt>
                <c:pt idx="36">
                  <c:v>301.85725124126549</c:v>
                </c:pt>
                <c:pt idx="37">
                  <c:v>328.04252199714483</c:v>
                </c:pt>
                <c:pt idx="38">
                  <c:v>354.18165931083257</c:v>
                </c:pt>
                <c:pt idx="39">
                  <c:v>380.27854362778663</c:v>
                </c:pt>
                <c:pt idx="40">
                  <c:v>406.336479538981</c:v>
                </c:pt>
                <c:pt idx="41">
                  <c:v>432.35831344928664</c:v>
                </c:pt>
                <c:pt idx="42">
                  <c:v>362.77915322530544</c:v>
                </c:pt>
                <c:pt idx="43">
                  <c:v>389.26479174838067</c:v>
                </c:pt>
                <c:pt idx="44">
                  <c:v>415.71133013070335</c:v>
                </c:pt>
                <c:pt idx="45">
                  <c:v>442.12160297089622</c:v>
                </c:pt>
                <c:pt idx="46">
                  <c:v>468.49807884128541</c:v>
                </c:pt>
                <c:pt idx="47">
                  <c:v>494.8429259164688</c:v>
                </c:pt>
                <c:pt idx="48">
                  <c:v>521.15806289757211</c:v>
                </c:pt>
                <c:pt idx="49">
                  <c:v>422.57294598110116</c:v>
                </c:pt>
                <c:pt idx="50">
                  <c:v>447.38105641848318</c:v>
                </c:pt>
                <c:pt idx="51">
                  <c:v>472.15973159082063</c:v>
                </c:pt>
                <c:pt idx="52">
                  <c:v>496.91073188695265</c:v>
                </c:pt>
                <c:pt idx="53">
                  <c:v>521.63562818224045</c:v>
                </c:pt>
                <c:pt idx="54">
                  <c:v>546.335830436788</c:v>
                </c:pt>
                <c:pt idx="55">
                  <c:v>571.0126108547621</c:v>
                </c:pt>
                <c:pt idx="56">
                  <c:v>477.18559168482119</c:v>
                </c:pt>
                <c:pt idx="57">
                  <c:v>500.66860389728407</c:v>
                </c:pt>
                <c:pt idx="58">
                  <c:v>524.1283120147209</c:v>
                </c:pt>
                <c:pt idx="59">
                  <c:v>547.56590477948214</c:v>
                </c:pt>
                <c:pt idx="60">
                  <c:v>570.98246097062588</c:v>
                </c:pt>
                <c:pt idx="61">
                  <c:v>594.37896375893126</c:v>
                </c:pt>
                <c:pt idx="62">
                  <c:v>617.75631268555173</c:v>
                </c:pt>
                <c:pt idx="63">
                  <c:v>641.11533373446866</c:v>
                </c:pt>
                <c:pt idx="64">
                  <c:v>554.92538579248924</c:v>
                </c:pt>
                <c:pt idx="65">
                  <c:v>577.61966152160358</c:v>
                </c:pt>
                <c:pt idx="66">
                  <c:v>600.29533970808632</c:v>
                </c:pt>
                <c:pt idx="67">
                  <c:v>622.95322095327685</c:v>
                </c:pt>
                <c:pt idx="68">
                  <c:v>645.59404293438308</c:v>
                </c:pt>
                <c:pt idx="69">
                  <c:v>668.21848742751797</c:v>
                </c:pt>
                <c:pt idx="70">
                  <c:v>690.82718633097465</c:v>
                </c:pt>
                <c:pt idx="71">
                  <c:v>713.42072685975165</c:v>
                </c:pt>
                <c:pt idx="72">
                  <c:v>631.16812583573221</c:v>
                </c:pt>
                <c:pt idx="73">
                  <c:v>653.24421280565764</c:v>
                </c:pt>
                <c:pt idx="74">
                  <c:v>675.3049295425152</c:v>
                </c:pt>
                <c:pt idx="75">
                  <c:v>697.35084825524393</c:v>
                </c:pt>
                <c:pt idx="76">
                  <c:v>719.38250206584382</c:v>
                </c:pt>
                <c:pt idx="77">
                  <c:v>741.40038881858982</c:v>
                </c:pt>
                <c:pt idx="78">
                  <c:v>763.40497441369291</c:v>
                </c:pt>
                <c:pt idx="79">
                  <c:v>785.39669573704725</c:v>
                </c:pt>
                <c:pt idx="80">
                  <c:v>807.37596324515698</c:v>
                </c:pt>
                <c:pt idx="81">
                  <c:v>709.13882459911702</c:v>
                </c:pt>
                <c:pt idx="82">
                  <c:v>729.96317555896394</c:v>
                </c:pt>
                <c:pt idx="83">
                  <c:v>750.77542282677223</c:v>
                </c:pt>
                <c:pt idx="84">
                  <c:v>771.57594877489225</c:v>
                </c:pt>
                <c:pt idx="85">
                  <c:v>792.36511350333376</c:v>
                </c:pt>
                <c:pt idx="86">
                  <c:v>813.14325669910465</c:v>
                </c:pt>
                <c:pt idx="87">
                  <c:v>833.9106992958483</c:v>
                </c:pt>
                <c:pt idx="88">
                  <c:v>854.66774495976222</c:v>
                </c:pt>
                <c:pt idx="89">
                  <c:v>875.4146814238444</c:v>
                </c:pt>
                <c:pt idx="90">
                  <c:v>766.57568184411605</c:v>
                </c:pt>
                <c:pt idx="91">
                  <c:v>786.44303625759721</c:v>
                </c:pt>
                <c:pt idx="92">
                  <c:v>806.30024130253378</c:v>
                </c:pt>
                <c:pt idx="93">
                  <c:v>826.14758183312381</c:v>
                </c:pt>
                <c:pt idx="94">
                  <c:v>845.98532791786045</c:v>
                </c:pt>
                <c:pt idx="95">
                  <c:v>865.81373594268018</c:v>
                </c:pt>
                <c:pt idx="96">
                  <c:v>885.63304960792505</c:v>
                </c:pt>
                <c:pt idx="97">
                  <c:v>905.44350083153915</c:v>
                </c:pt>
                <c:pt idx="98">
                  <c:v>925.24531056921569</c:v>
                </c:pt>
                <c:pt idx="99">
                  <c:v>945.03868956077565</c:v>
                </c:pt>
                <c:pt idx="100">
                  <c:v>839.01816460713133</c:v>
                </c:pt>
                <c:pt idx="101">
                  <c:v>858.37941066310839</c:v>
                </c:pt>
                <c:pt idx="102">
                  <c:v>877.73190308693063</c:v>
                </c:pt>
                <c:pt idx="103">
                  <c:v>897.07586181987017</c:v>
                </c:pt>
                <c:pt idx="104">
                  <c:v>916.41149655682364</c:v>
                </c:pt>
                <c:pt idx="105">
                  <c:v>935.73900743411639</c:v>
                </c:pt>
                <c:pt idx="106">
                  <c:v>955.05858565760354</c:v>
                </c:pt>
                <c:pt idx="107">
                  <c:v>974.37041407737581</c:v>
                </c:pt>
                <c:pt idx="108">
                  <c:v>993.67466771459976</c:v>
                </c:pt>
                <c:pt idx="109">
                  <c:v>1012.971514245346</c:v>
                </c:pt>
                <c:pt idx="110">
                  <c:v>898.48783549856989</c:v>
                </c:pt>
                <c:pt idx="111">
                  <c:v>917.20975424343681</c:v>
                </c:pt>
                <c:pt idx="112">
                  <c:v>935.92406388700135</c:v>
                </c:pt>
                <c:pt idx="113">
                  <c:v>954.63093780956694</c:v>
                </c:pt>
                <c:pt idx="114">
                  <c:v>973.3305420514298</c:v>
                </c:pt>
                <c:pt idx="115">
                  <c:v>992.02303576149086</c:v>
                </c:pt>
                <c:pt idx="116">
                  <c:v>1010.7085716103497</c:v>
                </c:pt>
                <c:pt idx="117">
                  <c:v>1029.3872961713043</c:v>
                </c:pt>
                <c:pt idx="118">
                  <c:v>1048.0593502722984</c:v>
                </c:pt>
                <c:pt idx="119">
                  <c:v>1066.7248693215251</c:v>
                </c:pt>
                <c:pt idx="120">
                  <c:v>674.41858222026156</c:v>
                </c:pt>
                <c:pt idx="121">
                  <c:v>673.67242948113892</c:v>
                </c:pt>
                <c:pt idx="122">
                  <c:v>672.92625976010697</c:v>
                </c:pt>
                <c:pt idx="123">
                  <c:v>672.18007303566412</c:v>
                </c:pt>
                <c:pt idx="124">
                  <c:v>470.34988425072794</c:v>
                </c:pt>
                <c:pt idx="125">
                  <c:v>470.74848142732253</c:v>
                </c:pt>
                <c:pt idx="126">
                  <c:v>471.14707141491613</c:v>
                </c:pt>
                <c:pt idx="127">
                  <c:v>471.54565422045795</c:v>
                </c:pt>
                <c:pt idx="128">
                  <c:v>340.08785846318278</c:v>
                </c:pt>
                <c:pt idx="129">
                  <c:v>340.28602122419534</c:v>
                </c:pt>
                <c:pt idx="130">
                  <c:v>340.48418144622576</c:v>
                </c:pt>
                <c:pt idx="131">
                  <c:v>340.68233913096401</c:v>
                </c:pt>
                <c:pt idx="132">
                  <c:v>43.582452684375909</c:v>
                </c:pt>
                <c:pt idx="133">
                  <c:v>43.582452684375909</c:v>
                </c:pt>
                <c:pt idx="134">
                  <c:v>43.582452684375909</c:v>
                </c:pt>
                <c:pt idx="135">
                  <c:v>43.582452684375909</c:v>
                </c:pt>
                <c:pt idx="136">
                  <c:v>43.582452684375909</c:v>
                </c:pt>
                <c:pt idx="137">
                  <c:v>43.582452684375909</c:v>
                </c:pt>
                <c:pt idx="138">
                  <c:v>43.582452684375909</c:v>
                </c:pt>
                <c:pt idx="139">
                  <c:v>43.582452684375909</c:v>
                </c:pt>
                <c:pt idx="140">
                  <c:v>43.582452684375909</c:v>
                </c:pt>
                <c:pt idx="141">
                  <c:v>43.582452684375909</c:v>
                </c:pt>
                <c:pt idx="142">
                  <c:v>43.582452684375909</c:v>
                </c:pt>
                <c:pt idx="143">
                  <c:v>43.582452684375909</c:v>
                </c:pt>
                <c:pt idx="144">
                  <c:v>43.582452684375909</c:v>
                </c:pt>
                <c:pt idx="145">
                  <c:v>43.582452684375909</c:v>
                </c:pt>
                <c:pt idx="146">
                  <c:v>43.582452684375909</c:v>
                </c:pt>
                <c:pt idx="147">
                  <c:v>43.582452684375909</c:v>
                </c:pt>
                <c:pt idx="148">
                  <c:v>43.582452684375909</c:v>
                </c:pt>
                <c:pt idx="149">
                  <c:v>43.582452684375909</c:v>
                </c:pt>
                <c:pt idx="150">
                  <c:v>43.582452684375909</c:v>
                </c:pt>
                <c:pt idx="151">
                  <c:v>43.582452684375909</c:v>
                </c:pt>
                <c:pt idx="152">
                  <c:v>43.582452684375909</c:v>
                </c:pt>
                <c:pt idx="153">
                  <c:v>43.582452684375909</c:v>
                </c:pt>
                <c:pt idx="154">
                  <c:v>43.582452684375909</c:v>
                </c:pt>
                <c:pt idx="155">
                  <c:v>43.582452684375909</c:v>
                </c:pt>
                <c:pt idx="156">
                  <c:v>43.582452684375909</c:v>
                </c:pt>
                <c:pt idx="157">
                  <c:v>43.582452684375909</c:v>
                </c:pt>
                <c:pt idx="158">
                  <c:v>43.582452684375909</c:v>
                </c:pt>
                <c:pt idx="159">
                  <c:v>43.582452684375909</c:v>
                </c:pt>
                <c:pt idx="160">
                  <c:v>43.582452684375909</c:v>
                </c:pt>
                <c:pt idx="161">
                  <c:v>43.582452684375909</c:v>
                </c:pt>
                <c:pt idx="162">
                  <c:v>43.582452684375909</c:v>
                </c:pt>
                <c:pt idx="163">
                  <c:v>43.582452684375909</c:v>
                </c:pt>
                <c:pt idx="164">
                  <c:v>43.582452684375909</c:v>
                </c:pt>
                <c:pt idx="165">
                  <c:v>43.582452684375909</c:v>
                </c:pt>
                <c:pt idx="166">
                  <c:v>43.582452684375909</c:v>
                </c:pt>
                <c:pt idx="167">
                  <c:v>43.582452684375909</c:v>
                </c:pt>
                <c:pt idx="168">
                  <c:v>43.582452684375909</c:v>
                </c:pt>
                <c:pt idx="169">
                  <c:v>43.582452684375909</c:v>
                </c:pt>
                <c:pt idx="170">
                  <c:v>43.582452684375909</c:v>
                </c:pt>
                <c:pt idx="171">
                  <c:v>43.582452684375909</c:v>
                </c:pt>
                <c:pt idx="172">
                  <c:v>43.582452684375909</c:v>
                </c:pt>
                <c:pt idx="173">
                  <c:v>43.582452684375909</c:v>
                </c:pt>
                <c:pt idx="174">
                  <c:v>43.582452684375909</c:v>
                </c:pt>
                <c:pt idx="175">
                  <c:v>43.582452684375909</c:v>
                </c:pt>
                <c:pt idx="176">
                  <c:v>43.582452684375909</c:v>
                </c:pt>
                <c:pt idx="177">
                  <c:v>43.582452684375909</c:v>
                </c:pt>
                <c:pt idx="178">
                  <c:v>43.582452684375909</c:v>
                </c:pt>
                <c:pt idx="179">
                  <c:v>43.582452684375909</c:v>
                </c:pt>
                <c:pt idx="180">
                  <c:v>43.582452684375909</c:v>
                </c:pt>
                <c:pt idx="181">
                  <c:v>43.582452684375909</c:v>
                </c:pt>
                <c:pt idx="182">
                  <c:v>43.582452684375909</c:v>
                </c:pt>
                <c:pt idx="183">
                  <c:v>43.582452684375909</c:v>
                </c:pt>
                <c:pt idx="184">
                  <c:v>43.582452684375909</c:v>
                </c:pt>
                <c:pt idx="185">
                  <c:v>43.582452684375909</c:v>
                </c:pt>
                <c:pt idx="186">
                  <c:v>43.582452684375909</c:v>
                </c:pt>
                <c:pt idx="187">
                  <c:v>43.582452684375909</c:v>
                </c:pt>
                <c:pt idx="188">
                  <c:v>43.582452684375909</c:v>
                </c:pt>
                <c:pt idx="189">
                  <c:v>43.582452684375909</c:v>
                </c:pt>
                <c:pt idx="190">
                  <c:v>43.582452684375909</c:v>
                </c:pt>
                <c:pt idx="191">
                  <c:v>43.582452684375909</c:v>
                </c:pt>
                <c:pt idx="192">
                  <c:v>43.582452684375909</c:v>
                </c:pt>
                <c:pt idx="193">
                  <c:v>43.582452684375909</c:v>
                </c:pt>
                <c:pt idx="194">
                  <c:v>43.582452684375909</c:v>
                </c:pt>
                <c:pt idx="195">
                  <c:v>43.582452684375909</c:v>
                </c:pt>
                <c:pt idx="196">
                  <c:v>43.582452684375909</c:v>
                </c:pt>
                <c:pt idx="197">
                  <c:v>43.582452684375909</c:v>
                </c:pt>
                <c:pt idx="198">
                  <c:v>43.582452684375909</c:v>
                </c:pt>
                <c:pt idx="199">
                  <c:v>43.582452684375909</c:v>
                </c:pt>
                <c:pt idx="200">
                  <c:v>43.582452684375909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1.9458220534450461</c:v>
                </c:pt>
                <c:pt idx="2">
                  <c:v>2.6052688850930608</c:v>
                </c:pt>
                <c:pt idx="3">
                  <c:v>3.4891415557971848</c:v>
                </c:pt>
                <c:pt idx="4">
                  <c:v>4.6741181602470476</c:v>
                </c:pt>
                <c:pt idx="5">
                  <c:v>6.2631708985707881</c:v>
                </c:pt>
                <c:pt idx="6">
                  <c:v>8.3946132843882353</c:v>
                </c:pt>
                <c:pt idx="7">
                  <c:v>11.254269980071941</c:v>
                </c:pt>
                <c:pt idx="8">
                  <c:v>15.091850089369855</c:v>
                </c:pt>
                <c:pt idx="9">
                  <c:v>20.242979807927657</c:v>
                </c:pt>
                <c:pt idx="10">
                  <c:v>27.158855862714148</c:v>
                </c:pt>
                <c:pt idx="11">
                  <c:v>36.446162634511545</c:v>
                </c:pt>
                <c:pt idx="12">
                  <c:v>48.920814605502024</c:v>
                </c:pt>
                <c:pt idx="13">
                  <c:v>65.680324592462512</c:v>
                </c:pt>
                <c:pt idx="14">
                  <c:v>88.201268835208964</c:v>
                </c:pt>
                <c:pt idx="15">
                  <c:v>118.47057319245452</c:v>
                </c:pt>
                <c:pt idx="16">
                  <c:v>159.16238397770385</c:v>
                </c:pt>
                <c:pt idx="17">
                  <c:v>213.87638708828857</c:v>
                </c:pt>
                <c:pt idx="18">
                  <c:v>249.45083193351374</c:v>
                </c:pt>
                <c:pt idx="19">
                  <c:v>191.70629212824224</c:v>
                </c:pt>
                <c:pt idx="20">
                  <c:v>224.21412124760153</c:v>
                </c:pt>
                <c:pt idx="21">
                  <c:v>256.61377815964903</c:v>
                </c:pt>
                <c:pt idx="22">
                  <c:v>288.92084404193173</c:v>
                </c:pt>
                <c:pt idx="23">
                  <c:v>321.14712390710332</c:v>
                </c:pt>
                <c:pt idx="24">
                  <c:v>353.30185772822512</c:v>
                </c:pt>
                <c:pt idx="25">
                  <c:v>326.3543163378294</c:v>
                </c:pt>
                <c:pt idx="26">
                  <c:v>360.75594324759282</c:v>
                </c:pt>
                <c:pt idx="27">
                  <c:v>395.08583028956542</c:v>
                </c:pt>
                <c:pt idx="28">
                  <c:v>429.35107936368263</c:v>
                </c:pt>
                <c:pt idx="29">
                  <c:v>463.55756684766487</c:v>
                </c:pt>
                <c:pt idx="30">
                  <c:v>497.71023178052701</c:v>
                </c:pt>
                <c:pt idx="31">
                  <c:v>435.68351151059488</c:v>
                </c:pt>
                <c:pt idx="32">
                  <c:v>469.69197316489391</c:v>
                </c:pt>
                <c:pt idx="33">
                  <c:v>503.64799795470162</c:v>
                </c:pt>
                <c:pt idx="34">
                  <c:v>537.55561252775112</c:v>
                </c:pt>
                <c:pt idx="35">
                  <c:v>571.41829472308314</c:v>
                </c:pt>
                <c:pt idx="36">
                  <c:v>605.23907710876153</c:v>
                </c:pt>
                <c:pt idx="37">
                  <c:v>537.00784127826716</c:v>
                </c:pt>
                <c:pt idx="38">
                  <c:v>570.20016327230462</c:v>
                </c:pt>
                <c:pt idx="39">
                  <c:v>603.35213343256157</c:v>
                </c:pt>
                <c:pt idx="40">
                  <c:v>636.46627691773801</c:v>
                </c:pt>
                <c:pt idx="41">
                  <c:v>669.54483509592194</c:v>
                </c:pt>
                <c:pt idx="42">
                  <c:v>702.58981015801282</c:v>
                </c:pt>
                <c:pt idx="43">
                  <c:v>627.08345171628036</c:v>
                </c:pt>
                <c:pt idx="44">
                  <c:v>659.00252576221885</c:v>
                </c:pt>
                <c:pt idx="45">
                  <c:v>690.88977874756938</c:v>
                </c:pt>
                <c:pt idx="46">
                  <c:v>722.74688334869063</c:v>
                </c:pt>
                <c:pt idx="47">
                  <c:v>754.57535300520556</c:v>
                </c:pt>
                <c:pt idx="48">
                  <c:v>786.3765632872063</c:v>
                </c:pt>
                <c:pt idx="49">
                  <c:v>697.55164646215064</c:v>
                </c:pt>
                <c:pt idx="50">
                  <c:v>727.76378638109611</c:v>
                </c:pt>
                <c:pt idx="51">
                  <c:v>757.95036730683603</c:v>
                </c:pt>
                <c:pt idx="52">
                  <c:v>788.11254862353928</c:v>
                </c:pt>
                <c:pt idx="53">
                  <c:v>818.25139388662035</c:v>
                </c:pt>
                <c:pt idx="54">
                  <c:v>848.36788205009941</c:v>
                </c:pt>
                <c:pt idx="55">
                  <c:v>1.2574858937744013</c:v>
                </c:pt>
                <c:pt idx="56">
                  <c:v>1.2574858937744013</c:v>
                </c:pt>
                <c:pt idx="57">
                  <c:v>1.2574858937744013</c:v>
                </c:pt>
                <c:pt idx="58">
                  <c:v>1.2574858937744013</c:v>
                </c:pt>
                <c:pt idx="59">
                  <c:v>1.2574858937744013</c:v>
                </c:pt>
                <c:pt idx="60">
                  <c:v>1.2574858937744013</c:v>
                </c:pt>
                <c:pt idx="61">
                  <c:v>1.2574858937744013</c:v>
                </c:pt>
                <c:pt idx="62">
                  <c:v>1.2574858937744013</c:v>
                </c:pt>
                <c:pt idx="63">
                  <c:v>1.2574858937744013</c:v>
                </c:pt>
                <c:pt idx="64">
                  <c:v>1.2574858937744013</c:v>
                </c:pt>
                <c:pt idx="65">
                  <c:v>1.2574858937744013</c:v>
                </c:pt>
                <c:pt idx="66">
                  <c:v>1.2574858937744013</c:v>
                </c:pt>
                <c:pt idx="67">
                  <c:v>1.2574858937744013</c:v>
                </c:pt>
                <c:pt idx="68">
                  <c:v>1.2574858937744013</c:v>
                </c:pt>
                <c:pt idx="69">
                  <c:v>1.2574858937744013</c:v>
                </c:pt>
                <c:pt idx="70">
                  <c:v>1.2574858937744013</c:v>
                </c:pt>
                <c:pt idx="71">
                  <c:v>1.2574858937744013</c:v>
                </c:pt>
                <c:pt idx="72">
                  <c:v>1.2574858937744013</c:v>
                </c:pt>
                <c:pt idx="73">
                  <c:v>1.2574858937744013</c:v>
                </c:pt>
                <c:pt idx="74">
                  <c:v>1.2574858937744013</c:v>
                </c:pt>
                <c:pt idx="75">
                  <c:v>1.2574858937744013</c:v>
                </c:pt>
                <c:pt idx="76">
                  <c:v>1.2574858937744013</c:v>
                </c:pt>
                <c:pt idx="77">
                  <c:v>1.2574858937744013</c:v>
                </c:pt>
                <c:pt idx="78">
                  <c:v>1.2574858937744013</c:v>
                </c:pt>
                <c:pt idx="79">
                  <c:v>1.2574858937744013</c:v>
                </c:pt>
                <c:pt idx="80">
                  <c:v>1.2574858937744013</c:v>
                </c:pt>
                <c:pt idx="81">
                  <c:v>1.2574858937744013</c:v>
                </c:pt>
                <c:pt idx="82">
                  <c:v>1.2574858937744013</c:v>
                </c:pt>
                <c:pt idx="83">
                  <c:v>1.2574858937744013</c:v>
                </c:pt>
                <c:pt idx="84">
                  <c:v>1.2574858937744013</c:v>
                </c:pt>
                <c:pt idx="85">
                  <c:v>1.2574858937744013</c:v>
                </c:pt>
                <c:pt idx="86">
                  <c:v>1.2574858937744013</c:v>
                </c:pt>
                <c:pt idx="87">
                  <c:v>1.2574858937744013</c:v>
                </c:pt>
                <c:pt idx="88">
                  <c:v>1.2574858937744013</c:v>
                </c:pt>
                <c:pt idx="89">
                  <c:v>1.2574858937744013</c:v>
                </c:pt>
                <c:pt idx="90">
                  <c:v>1.2574858937744013</c:v>
                </c:pt>
                <c:pt idx="91">
                  <c:v>1.2574858937744013</c:v>
                </c:pt>
                <c:pt idx="92">
                  <c:v>1.2574858937744013</c:v>
                </c:pt>
                <c:pt idx="93">
                  <c:v>1.2574858937744013</c:v>
                </c:pt>
                <c:pt idx="94">
                  <c:v>1.2574858937744013</c:v>
                </c:pt>
                <c:pt idx="95">
                  <c:v>1.2574858937744013</c:v>
                </c:pt>
                <c:pt idx="96">
                  <c:v>1.2574858937744013</c:v>
                </c:pt>
                <c:pt idx="97">
                  <c:v>1.2574858937744013</c:v>
                </c:pt>
                <c:pt idx="98">
                  <c:v>1.2574858937744013</c:v>
                </c:pt>
                <c:pt idx="99">
                  <c:v>1.2574858937744013</c:v>
                </c:pt>
                <c:pt idx="100">
                  <c:v>1.2574858937744013</c:v>
                </c:pt>
                <c:pt idx="101">
                  <c:v>1.2574858937744013</c:v>
                </c:pt>
                <c:pt idx="102">
                  <c:v>1.2574858937744013</c:v>
                </c:pt>
                <c:pt idx="103">
                  <c:v>1.2574858937744013</c:v>
                </c:pt>
                <c:pt idx="104">
                  <c:v>1.2574858937744013</c:v>
                </c:pt>
                <c:pt idx="105">
                  <c:v>1.2574858937744013</c:v>
                </c:pt>
                <c:pt idx="106">
                  <c:v>1.2574858937744013</c:v>
                </c:pt>
                <c:pt idx="107">
                  <c:v>1.2574858937744013</c:v>
                </c:pt>
                <c:pt idx="108">
                  <c:v>1.2574858937744013</c:v>
                </c:pt>
                <c:pt idx="109">
                  <c:v>1.2574858937744013</c:v>
                </c:pt>
                <c:pt idx="110">
                  <c:v>1.2574858937744013</c:v>
                </c:pt>
                <c:pt idx="111">
                  <c:v>1.2574858937744013</c:v>
                </c:pt>
                <c:pt idx="112">
                  <c:v>1.2574858937744013</c:v>
                </c:pt>
                <c:pt idx="113">
                  <c:v>1.2574858937744013</c:v>
                </c:pt>
                <c:pt idx="114">
                  <c:v>1.2574858937744013</c:v>
                </c:pt>
                <c:pt idx="115">
                  <c:v>1.2574858937744013</c:v>
                </c:pt>
                <c:pt idx="116">
                  <c:v>1.2574858937744013</c:v>
                </c:pt>
                <c:pt idx="117">
                  <c:v>1.2574858937744013</c:v>
                </c:pt>
                <c:pt idx="118">
                  <c:v>1.2574858937744013</c:v>
                </c:pt>
                <c:pt idx="119">
                  <c:v>1.2574858937744013</c:v>
                </c:pt>
                <c:pt idx="120">
                  <c:v>1.2574858937744013</c:v>
                </c:pt>
                <c:pt idx="121">
                  <c:v>1.2574858937744013</c:v>
                </c:pt>
                <c:pt idx="122">
                  <c:v>1.2574858937744013</c:v>
                </c:pt>
                <c:pt idx="123">
                  <c:v>1.2574858937744013</c:v>
                </c:pt>
                <c:pt idx="124">
                  <c:v>1.2574858937744013</c:v>
                </c:pt>
                <c:pt idx="125">
                  <c:v>1.2574858937744013</c:v>
                </c:pt>
                <c:pt idx="126">
                  <c:v>1.2574858937744013</c:v>
                </c:pt>
                <c:pt idx="127">
                  <c:v>1.2574858937744013</c:v>
                </c:pt>
                <c:pt idx="128">
                  <c:v>1.2574858937744013</c:v>
                </c:pt>
                <c:pt idx="129">
                  <c:v>1.2574858937744013</c:v>
                </c:pt>
                <c:pt idx="130">
                  <c:v>1.2574858937744013</c:v>
                </c:pt>
                <c:pt idx="131">
                  <c:v>1.2574858937744013</c:v>
                </c:pt>
                <c:pt idx="132">
                  <c:v>1.2574858937744013</c:v>
                </c:pt>
                <c:pt idx="133">
                  <c:v>1.2574858937744013</c:v>
                </c:pt>
                <c:pt idx="134">
                  <c:v>1.2574858937744013</c:v>
                </c:pt>
                <c:pt idx="135">
                  <c:v>1.2574858937744013</c:v>
                </c:pt>
                <c:pt idx="136">
                  <c:v>1.2574858937744013</c:v>
                </c:pt>
                <c:pt idx="137">
                  <c:v>1.2574858937744013</c:v>
                </c:pt>
                <c:pt idx="138">
                  <c:v>1.2574858937744013</c:v>
                </c:pt>
                <c:pt idx="139">
                  <c:v>1.2574858937744013</c:v>
                </c:pt>
                <c:pt idx="140">
                  <c:v>1.2574858937744013</c:v>
                </c:pt>
                <c:pt idx="141">
                  <c:v>1.2574858937744013</c:v>
                </c:pt>
                <c:pt idx="142">
                  <c:v>1.2574858937744013</c:v>
                </c:pt>
                <c:pt idx="143">
                  <c:v>1.2574858937744013</c:v>
                </c:pt>
                <c:pt idx="144">
                  <c:v>1.2574858937744013</c:v>
                </c:pt>
                <c:pt idx="145">
                  <c:v>1.2574858937744013</c:v>
                </c:pt>
                <c:pt idx="146">
                  <c:v>1.2574858937744013</c:v>
                </c:pt>
                <c:pt idx="147">
                  <c:v>1.2574858937744013</c:v>
                </c:pt>
                <c:pt idx="148">
                  <c:v>1.2574858937744013</c:v>
                </c:pt>
                <c:pt idx="149">
                  <c:v>1.2574858937744013</c:v>
                </c:pt>
                <c:pt idx="150">
                  <c:v>1.2574858937744013</c:v>
                </c:pt>
                <c:pt idx="151">
                  <c:v>1.2574858937744013</c:v>
                </c:pt>
                <c:pt idx="152">
                  <c:v>1.2574858937744013</c:v>
                </c:pt>
                <c:pt idx="153">
                  <c:v>1.2574858937744013</c:v>
                </c:pt>
                <c:pt idx="154">
                  <c:v>1.2574858937744013</c:v>
                </c:pt>
                <c:pt idx="155">
                  <c:v>1.2574858937744013</c:v>
                </c:pt>
                <c:pt idx="156">
                  <c:v>1.2574858937744013</c:v>
                </c:pt>
                <c:pt idx="157">
                  <c:v>1.2574858937744013</c:v>
                </c:pt>
                <c:pt idx="158">
                  <c:v>1.2574858937744013</c:v>
                </c:pt>
                <c:pt idx="159">
                  <c:v>1.2574858937744013</c:v>
                </c:pt>
                <c:pt idx="160">
                  <c:v>1.2574858937744013</c:v>
                </c:pt>
                <c:pt idx="161">
                  <c:v>1.2574858937744013</c:v>
                </c:pt>
                <c:pt idx="162">
                  <c:v>1.2574858937744013</c:v>
                </c:pt>
                <c:pt idx="163">
                  <c:v>1.2574858937744013</c:v>
                </c:pt>
                <c:pt idx="164">
                  <c:v>1.2574858937744013</c:v>
                </c:pt>
                <c:pt idx="165">
                  <c:v>1.2574858937744013</c:v>
                </c:pt>
                <c:pt idx="166">
                  <c:v>1.2574858937744013</c:v>
                </c:pt>
                <c:pt idx="167">
                  <c:v>1.2574858937744013</c:v>
                </c:pt>
                <c:pt idx="168">
                  <c:v>1.2574858937744013</c:v>
                </c:pt>
                <c:pt idx="169">
                  <c:v>1.2574858937744013</c:v>
                </c:pt>
                <c:pt idx="170">
                  <c:v>1.2574858937744013</c:v>
                </c:pt>
                <c:pt idx="171">
                  <c:v>1.2574858937744013</c:v>
                </c:pt>
                <c:pt idx="172">
                  <c:v>1.2574858937744013</c:v>
                </c:pt>
                <c:pt idx="173">
                  <c:v>1.2574858937744013</c:v>
                </c:pt>
                <c:pt idx="174">
                  <c:v>1.2574858937744013</c:v>
                </c:pt>
                <c:pt idx="175">
                  <c:v>1.2574858937744013</c:v>
                </c:pt>
                <c:pt idx="176">
                  <c:v>1.2574858937744013</c:v>
                </c:pt>
                <c:pt idx="177">
                  <c:v>1.2574858937744013</c:v>
                </c:pt>
                <c:pt idx="178">
                  <c:v>1.2574858937744013</c:v>
                </c:pt>
                <c:pt idx="179">
                  <c:v>1.2574858937744013</c:v>
                </c:pt>
                <c:pt idx="180">
                  <c:v>1.2574858937744013</c:v>
                </c:pt>
                <c:pt idx="181">
                  <c:v>1.2574858937744013</c:v>
                </c:pt>
                <c:pt idx="182">
                  <c:v>1.2574858937744013</c:v>
                </c:pt>
                <c:pt idx="183">
                  <c:v>1.2574858937744013</c:v>
                </c:pt>
                <c:pt idx="184">
                  <c:v>1.2574858937744013</c:v>
                </c:pt>
                <c:pt idx="185">
                  <c:v>1.2574858937744013</c:v>
                </c:pt>
                <c:pt idx="186">
                  <c:v>1.2574858937744013</c:v>
                </c:pt>
                <c:pt idx="187">
                  <c:v>1.2574858937744013</c:v>
                </c:pt>
                <c:pt idx="188">
                  <c:v>1.2574858937744013</c:v>
                </c:pt>
                <c:pt idx="189">
                  <c:v>1.2574858937744013</c:v>
                </c:pt>
                <c:pt idx="190">
                  <c:v>1.2574858937744013</c:v>
                </c:pt>
                <c:pt idx="191">
                  <c:v>1.2574858937744013</c:v>
                </c:pt>
                <c:pt idx="192">
                  <c:v>1.2574858937744013</c:v>
                </c:pt>
                <c:pt idx="193">
                  <c:v>1.2574858937744013</c:v>
                </c:pt>
                <c:pt idx="194">
                  <c:v>1.2574858937744013</c:v>
                </c:pt>
                <c:pt idx="195">
                  <c:v>1.2574858937744013</c:v>
                </c:pt>
                <c:pt idx="196">
                  <c:v>1.2574858937744013</c:v>
                </c:pt>
                <c:pt idx="197">
                  <c:v>1.2574858937744013</c:v>
                </c:pt>
                <c:pt idx="198">
                  <c:v>1.2574858937744013</c:v>
                </c:pt>
                <c:pt idx="199">
                  <c:v>1.2574858937744013</c:v>
                </c:pt>
                <c:pt idx="200">
                  <c:v>1.2574858937744013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3.1869916933335189</c:v>
                </c:pt>
                <c:pt idx="2">
                  <c:v>3.7189706865056689</c:v>
                </c:pt>
                <c:pt idx="3">
                  <c:v>4.3400685470721152</c:v>
                </c:pt>
                <c:pt idx="4">
                  <c:v>5.0652653229643461</c:v>
                </c:pt>
                <c:pt idx="5">
                  <c:v>5.9120670317881361</c:v>
                </c:pt>
                <c:pt idx="6">
                  <c:v>6.9009328456386783</c:v>
                </c:pt>
                <c:pt idx="7">
                  <c:v>8.0557747158050663</c:v>
                </c:pt>
                <c:pt idx="8">
                  <c:v>9.4045417518806484</c:v>
                </c:pt>
                <c:pt idx="9">
                  <c:v>10.979903767967294</c:v>
                </c:pt>
                <c:pt idx="10">
                  <c:v>12.820050865060374</c:v>
                </c:pt>
                <c:pt idx="11">
                  <c:v>14.969628794603414</c:v>
                </c:pt>
                <c:pt idx="12">
                  <c:v>17.480833215380692</c:v>
                </c:pt>
                <c:pt idx="13">
                  <c:v>20.414689898447865</c:v>
                </c:pt>
                <c:pt idx="14">
                  <c:v>23.842552551171647</c:v>
                </c:pt>
                <c:pt idx="15">
                  <c:v>27.847855337031476</c:v>
                </c:pt>
                <c:pt idx="16">
                  <c:v>32.528163497787233</c:v>
                </c:pt>
                <c:pt idx="17">
                  <c:v>37.997572897276264</c:v>
                </c:pt>
                <c:pt idx="18">
                  <c:v>44.389517986975818</c:v>
                </c:pt>
                <c:pt idx="19">
                  <c:v>51.860057859889174</c:v>
                </c:pt>
                <c:pt idx="20">
                  <c:v>60.591721965921806</c:v>
                </c:pt>
                <c:pt idx="21">
                  <c:v>70.798011007057156</c:v>
                </c:pt>
                <c:pt idx="22">
                  <c:v>82.728664863891794</c:v>
                </c:pt>
                <c:pt idx="23">
                  <c:v>96.67582853605127</c:v>
                </c:pt>
                <c:pt idx="24">
                  <c:v>112.98126948764094</c:v>
                </c:pt>
                <c:pt idx="25">
                  <c:v>132.04482603759354</c:v>
                </c:pt>
                <c:pt idx="26">
                  <c:v>154.33429718261061</c:v>
                </c:pt>
                <c:pt idx="27">
                  <c:v>180.39702025965281</c:v>
                </c:pt>
                <c:pt idx="28">
                  <c:v>210.87342505066601</c:v>
                </c:pt>
                <c:pt idx="29">
                  <c:v>246.51290236507396</c:v>
                </c:pt>
                <c:pt idx="30">
                  <c:v>288.19238304852763</c:v>
                </c:pt>
                <c:pt idx="31">
                  <c:v>324.78763683236224</c:v>
                </c:pt>
                <c:pt idx="32">
                  <c:v>361.29174372497897</c:v>
                </c:pt>
                <c:pt idx="33">
                  <c:v>397.71519777740974</c:v>
                </c:pt>
                <c:pt idx="34">
                  <c:v>434.06641386069003</c:v>
                </c:pt>
                <c:pt idx="35">
                  <c:v>470.35228296867712</c:v>
                </c:pt>
                <c:pt idx="36">
                  <c:v>340.44228397319483</c:v>
                </c:pt>
                <c:pt idx="37">
                  <c:v>369.98325491582222</c:v>
                </c:pt>
                <c:pt idx="38">
                  <c:v>399.47278532371189</c:v>
                </c:pt>
                <c:pt idx="39">
                  <c:v>428.9152020404706</c:v>
                </c:pt>
                <c:pt idx="40">
                  <c:v>458.31418981015162</c:v>
                </c:pt>
                <c:pt idx="41">
                  <c:v>487.67292248195616</c:v>
                </c:pt>
                <c:pt idx="42">
                  <c:v>409.17238978011102</c:v>
                </c:pt>
                <c:pt idx="43">
                  <c:v>439.05357759592624</c:v>
                </c:pt>
                <c:pt idx="44">
                  <c:v>468.89116727440188</c:v>
                </c:pt>
                <c:pt idx="45">
                  <c:v>498.68831950032535</c:v>
                </c:pt>
                <c:pt idx="46">
                  <c:v>528.44778682530432</c:v>
                </c:pt>
                <c:pt idx="47">
                  <c:v>558.17198684610696</c:v>
                </c:pt>
                <c:pt idx="48">
                  <c:v>587.86305898713351</c:v>
                </c:pt>
                <c:pt idx="49">
                  <c:v>476.63267886268164</c:v>
                </c:pt>
                <c:pt idx="50">
                  <c:v>504.62230472895391</c:v>
                </c:pt>
                <c:pt idx="51">
                  <c:v>532.57910916023013</c:v>
                </c:pt>
                <c:pt idx="52">
                  <c:v>560.50505505671811</c:v>
                </c:pt>
                <c:pt idx="53">
                  <c:v>588.40189400392057</c:v>
                </c:pt>
                <c:pt idx="54">
                  <c:v>616.27119816073753</c:v>
                </c:pt>
                <c:pt idx="55">
                  <c:v>644.11438608298317</c:v>
                </c:pt>
                <c:pt idx="56">
                  <c:v>538.24963477481742</c:v>
                </c:pt>
                <c:pt idx="57">
                  <c:v>564.74500049541484</c:v>
                </c:pt>
                <c:pt idx="58">
                  <c:v>591.21438126772421</c:v>
                </c:pt>
                <c:pt idx="59">
                  <c:v>617.65910258447366</c:v>
                </c:pt>
                <c:pt idx="60">
                  <c:v>644.08036732515791</c:v>
                </c:pt>
                <c:pt idx="61">
                  <c:v>670.4792717624199</c:v>
                </c:pt>
                <c:pt idx="62">
                  <c:v>696.85681891870456</c:v>
                </c:pt>
                <c:pt idx="63">
                  <c:v>723.21392979742359</c:v>
                </c:pt>
                <c:pt idx="64">
                  <c:v>625.96289008080839</c:v>
                </c:pt>
                <c:pt idx="65">
                  <c:v>651.56927299173105</c:v>
                </c:pt>
                <c:pt idx="66">
                  <c:v>677.15491893848332</c:v>
                </c:pt>
                <c:pt idx="67">
                  <c:v>702.72072062187135</c:v>
                </c:pt>
                <c:pt idx="68">
                  <c:v>728.26750057991148</c:v>
                </c:pt>
                <c:pt idx="69">
                  <c:v>753.79601901878277</c:v>
                </c:pt>
                <c:pt idx="70">
                  <c:v>779.30698052900698</c:v>
                </c:pt>
                <c:pt idx="71">
                  <c:v>804.80103987754046</c:v>
                </c:pt>
                <c:pt idx="72">
                  <c:v>711.9899858642076</c:v>
                </c:pt>
                <c:pt idx="73">
                  <c:v>736.89962236180736</c:v>
                </c:pt>
                <c:pt idx="74">
                  <c:v>761.79212046759221</c:v>
                </c:pt>
                <c:pt idx="75">
                  <c:v>786.66811821619331</c:v>
                </c:pt>
                <c:pt idx="76">
                  <c:v>811.52821005882743</c:v>
                </c:pt>
                <c:pt idx="77">
                  <c:v>836.37295111070887</c:v>
                </c:pt>
                <c:pt idx="78">
                  <c:v>861.20286086821272</c:v>
                </c:pt>
                <c:pt idx="79">
                  <c:v>886.01842647565343</c:v>
                </c:pt>
                <c:pt idx="80">
                  <c:v>910.82010560757226</c:v>
                </c:pt>
                <c:pt idx="81">
                  <c:v>799.96941938059365</c:v>
                </c:pt>
                <c:pt idx="82">
                  <c:v>823.46730301459195</c:v>
                </c:pt>
                <c:pt idx="83">
                  <c:v>846.95169057370049</c:v>
                </c:pt>
                <c:pt idx="84">
                  <c:v>870.42300841756662</c:v>
                </c:pt>
                <c:pt idx="85">
                  <c:v>893.88165807133498</c:v>
                </c:pt>
                <c:pt idx="86">
                  <c:v>917.32801829888115</c:v>
                </c:pt>
                <c:pt idx="87">
                  <c:v>940.76244695336857</c:v>
                </c:pt>
                <c:pt idx="88">
                  <c:v>964.18528263410451</c:v>
                </c:pt>
                <c:pt idx="89">
                  <c:v>987.59684617427536</c:v>
                </c:pt>
                <c:pt idx="90">
                  <c:v>864.78069212410321</c:v>
                </c:pt>
                <c:pt idx="91">
                  <c:v>887.19912641466624</c:v>
                </c:pt>
                <c:pt idx="92">
                  <c:v>909.60624377502927</c:v>
                </c:pt>
                <c:pt idx="93">
                  <c:v>932.00236182840763</c:v>
                </c:pt>
                <c:pt idx="94">
                  <c:v>954.38778171139745</c:v>
                </c:pt>
                <c:pt idx="95">
                  <c:v>976.76278930402384</c:v>
                </c:pt>
                <c:pt idx="96">
                  <c:v>999.12765634139578</c:v>
                </c:pt>
                <c:pt idx="97">
                  <c:v>1021.482641420802</c:v>
                </c:pt>
                <c:pt idx="98">
                  <c:v>1043.8279909162054</c:v>
                </c:pt>
                <c:pt idx="99">
                  <c:v>1066.163939810486</c:v>
                </c:pt>
                <c:pt idx="100">
                  <c:v>946.52584208236158</c:v>
                </c:pt>
                <c:pt idx="101">
                  <c:v>968.37364526317651</c:v>
                </c:pt>
                <c:pt idx="102">
                  <c:v>990.21168781271115</c:v>
                </c:pt>
                <c:pt idx="103">
                  <c:v>1012.0402149738106</c:v>
                </c:pt>
                <c:pt idx="104">
                  <c:v>1033.8594605642245</c:v>
                </c:pt>
                <c:pt idx="105">
                  <c:v>1055.669647743533</c:v>
                </c:pt>
                <c:pt idx="106">
                  <c:v>1077.470989713504</c:v>
                </c:pt>
                <c:pt idx="107">
                  <c:v>1099.2636903589116</c:v>
                </c:pt>
                <c:pt idx="108">
                  <c:v>1121.0479448349831</c:v>
                </c:pt>
                <c:pt idx="109">
                  <c:v>1142.8239401068863</c:v>
                </c:pt>
                <c:pt idx="110">
                  <c:v>1013.633549172001</c:v>
                </c:pt>
                <c:pt idx="111">
                  <c:v>1034.7602546875614</c:v>
                </c:pt>
                <c:pt idx="112">
                  <c:v>1055.8784757670749</c:v>
                </c:pt>
                <c:pt idx="113">
                  <c:v>1076.9884057361455</c:v>
                </c:pt>
                <c:pt idx="114">
                  <c:v>1098.0902297359896</c:v>
                </c:pt>
                <c:pt idx="115">
                  <c:v>1119.1841252236575</c:v>
                </c:pt>
                <c:pt idx="116">
                  <c:v>1140.2702624326478</c:v>
                </c:pt>
                <c:pt idx="117">
                  <c:v>1161.3488047977371</c:v>
                </c:pt>
                <c:pt idx="118">
                  <c:v>1182.4199093474156</c:v>
                </c:pt>
                <c:pt idx="119">
                  <c:v>1203.4837270669448</c:v>
                </c:pt>
                <c:pt idx="120">
                  <c:v>760.79199502777647</c:v>
                </c:pt>
                <c:pt idx="121">
                  <c:v>759.95006083509963</c:v>
                </c:pt>
                <c:pt idx="122">
                  <c:v>759.10810770695127</c:v>
                </c:pt>
                <c:pt idx="123">
                  <c:v>758.26613561935585</c:v>
                </c:pt>
                <c:pt idx="124">
                  <c:v>530.5371169433306</c:v>
                </c:pt>
                <c:pt idx="125">
                  <c:v>530.98684107738814</c:v>
                </c:pt>
                <c:pt idx="126">
                  <c:v>531.43655719543744</c:v>
                </c:pt>
                <c:pt idx="127">
                  <c:v>531.88626530522708</c:v>
                </c:pt>
                <c:pt idx="128">
                  <c:v>383.5724346002624</c:v>
                </c:pt>
                <c:pt idx="129">
                  <c:v>383.79599680224038</c:v>
                </c:pt>
                <c:pt idx="130">
                  <c:v>384.01955617315735</c:v>
                </c:pt>
                <c:pt idx="131">
                  <c:v>384.24311271489728</c:v>
                </c:pt>
                <c:pt idx="132">
                  <c:v>49.125005889810261</c:v>
                </c:pt>
                <c:pt idx="133">
                  <c:v>49.125005889810261</c:v>
                </c:pt>
                <c:pt idx="134">
                  <c:v>49.125005889810261</c:v>
                </c:pt>
                <c:pt idx="135">
                  <c:v>49.125005889810261</c:v>
                </c:pt>
                <c:pt idx="136">
                  <c:v>49.125005889810261</c:v>
                </c:pt>
                <c:pt idx="137">
                  <c:v>49.125005889810261</c:v>
                </c:pt>
                <c:pt idx="138">
                  <c:v>49.125005889810261</c:v>
                </c:pt>
                <c:pt idx="139">
                  <c:v>49.125005889810261</c:v>
                </c:pt>
                <c:pt idx="140">
                  <c:v>49.125005889810261</c:v>
                </c:pt>
                <c:pt idx="141">
                  <c:v>49.125005889810261</c:v>
                </c:pt>
                <c:pt idx="142">
                  <c:v>49.125005889810261</c:v>
                </c:pt>
                <c:pt idx="143">
                  <c:v>49.125005889810261</c:v>
                </c:pt>
                <c:pt idx="144">
                  <c:v>49.125005889810261</c:v>
                </c:pt>
                <c:pt idx="145">
                  <c:v>49.125005889810261</c:v>
                </c:pt>
                <c:pt idx="146">
                  <c:v>49.125005889810261</c:v>
                </c:pt>
                <c:pt idx="147">
                  <c:v>49.125005889810261</c:v>
                </c:pt>
                <c:pt idx="148">
                  <c:v>49.125005889810261</c:v>
                </c:pt>
                <c:pt idx="149">
                  <c:v>49.125005889810261</c:v>
                </c:pt>
                <c:pt idx="150">
                  <c:v>49.125005889810261</c:v>
                </c:pt>
                <c:pt idx="151">
                  <c:v>49.125005889810261</c:v>
                </c:pt>
                <c:pt idx="152">
                  <c:v>49.125005889810261</c:v>
                </c:pt>
                <c:pt idx="153">
                  <c:v>49.125005889810261</c:v>
                </c:pt>
                <c:pt idx="154">
                  <c:v>49.125005889810261</c:v>
                </c:pt>
                <c:pt idx="155">
                  <c:v>49.125005889810261</c:v>
                </c:pt>
                <c:pt idx="156">
                  <c:v>49.125005889810261</c:v>
                </c:pt>
                <c:pt idx="157">
                  <c:v>49.125005889810261</c:v>
                </c:pt>
                <c:pt idx="158">
                  <c:v>49.125005889810261</c:v>
                </c:pt>
                <c:pt idx="159">
                  <c:v>49.125005889810261</c:v>
                </c:pt>
                <c:pt idx="160">
                  <c:v>49.125005889810261</c:v>
                </c:pt>
                <c:pt idx="161">
                  <c:v>49.125005889810261</c:v>
                </c:pt>
                <c:pt idx="162">
                  <c:v>49.125005889810261</c:v>
                </c:pt>
                <c:pt idx="163">
                  <c:v>49.125005889810261</c:v>
                </c:pt>
                <c:pt idx="164">
                  <c:v>49.125005889810261</c:v>
                </c:pt>
                <c:pt idx="165">
                  <c:v>49.125005889810261</c:v>
                </c:pt>
                <c:pt idx="166">
                  <c:v>49.125005889810261</c:v>
                </c:pt>
                <c:pt idx="167">
                  <c:v>49.125005889810261</c:v>
                </c:pt>
                <c:pt idx="168">
                  <c:v>49.125005889810261</c:v>
                </c:pt>
                <c:pt idx="169">
                  <c:v>49.125005889810261</c:v>
                </c:pt>
                <c:pt idx="170">
                  <c:v>49.125005889810261</c:v>
                </c:pt>
                <c:pt idx="171">
                  <c:v>49.125005889810261</c:v>
                </c:pt>
                <c:pt idx="172">
                  <c:v>49.125005889810261</c:v>
                </c:pt>
                <c:pt idx="173">
                  <c:v>49.125005889810261</c:v>
                </c:pt>
                <c:pt idx="174">
                  <c:v>49.125005889810261</c:v>
                </c:pt>
                <c:pt idx="175">
                  <c:v>49.125005889810261</c:v>
                </c:pt>
                <c:pt idx="176">
                  <c:v>49.125005889810261</c:v>
                </c:pt>
                <c:pt idx="177">
                  <c:v>49.125005889810261</c:v>
                </c:pt>
                <c:pt idx="178">
                  <c:v>49.125005889810261</c:v>
                </c:pt>
                <c:pt idx="179">
                  <c:v>49.125005889810261</c:v>
                </c:pt>
                <c:pt idx="180">
                  <c:v>49.125005889810261</c:v>
                </c:pt>
                <c:pt idx="181">
                  <c:v>49.125005889810261</c:v>
                </c:pt>
                <c:pt idx="182">
                  <c:v>49.125005889810261</c:v>
                </c:pt>
                <c:pt idx="183">
                  <c:v>49.125005889810261</c:v>
                </c:pt>
                <c:pt idx="184">
                  <c:v>49.125005889810261</c:v>
                </c:pt>
                <c:pt idx="185">
                  <c:v>49.125005889810261</c:v>
                </c:pt>
                <c:pt idx="186">
                  <c:v>49.125005889810261</c:v>
                </c:pt>
                <c:pt idx="187">
                  <c:v>49.125005889810261</c:v>
                </c:pt>
                <c:pt idx="188">
                  <c:v>49.125005889810261</c:v>
                </c:pt>
                <c:pt idx="189">
                  <c:v>49.125005889810261</c:v>
                </c:pt>
                <c:pt idx="190">
                  <c:v>49.125005889810261</c:v>
                </c:pt>
                <c:pt idx="191">
                  <c:v>49.125005889810261</c:v>
                </c:pt>
                <c:pt idx="192">
                  <c:v>49.125005889810261</c:v>
                </c:pt>
                <c:pt idx="193">
                  <c:v>49.125005889810261</c:v>
                </c:pt>
                <c:pt idx="194">
                  <c:v>49.125005889810261</c:v>
                </c:pt>
                <c:pt idx="195">
                  <c:v>49.125005889810261</c:v>
                </c:pt>
                <c:pt idx="196">
                  <c:v>49.125005889810261</c:v>
                </c:pt>
                <c:pt idx="197">
                  <c:v>49.125005889810261</c:v>
                </c:pt>
                <c:pt idx="198">
                  <c:v>49.125005889810261</c:v>
                </c:pt>
                <c:pt idx="199">
                  <c:v>49.125005889810261</c:v>
                </c:pt>
                <c:pt idx="200">
                  <c:v>49.125005889810261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2.8747828244893294</c:v>
                </c:pt>
                <c:pt idx="2">
                  <c:v>3.3544810996099632</c:v>
                </c:pt>
                <c:pt idx="3">
                  <c:v>3.9145137345609591</c:v>
                </c:pt>
                <c:pt idx="4">
                  <c:v>4.5683800461314039</c:v>
                </c:pt>
                <c:pt idx="5">
                  <c:v>5.3318549870572198</c:v>
                </c:pt>
                <c:pt idx="6">
                  <c:v>6.223373893479109</c:v>
                </c:pt>
                <c:pt idx="7">
                  <c:v>7.2644824601167564</c:v>
                </c:pt>
                <c:pt idx="8">
                  <c:v>8.4803630291655754</c:v>
                </c:pt>
                <c:pt idx="9">
                  <c:v>9.9004501673949186</c:v>
                </c:pt>
                <c:pt idx="10">
                  <c:v>11.559150716764741</c:v>
                </c:pt>
                <c:pt idx="11">
                  <c:v>13.496686092213752</c:v>
                </c:pt>
                <c:pt idx="12">
                  <c:v>15.760077630682696</c:v>
                </c:pt>
                <c:pt idx="13">
                  <c:v>18.404299343564364</c:v>
                </c:pt>
                <c:pt idx="14">
                  <c:v>21.493626579223562</c:v>
                </c:pt>
                <c:pt idx="15">
                  <c:v>25.103213966802468</c:v>
                </c:pt>
                <c:pt idx="16">
                  <c:v>29.320941708812455</c:v>
                </c:pt>
                <c:pt idx="17">
                  <c:v>34.249575960460788</c:v>
                </c:pt>
                <c:pt idx="18">
                  <c:v>40.009296845149635</c:v>
                </c:pt>
                <c:pt idx="19">
                  <c:v>46.74065680363119</c:v>
                </c:pt>
                <c:pt idx="20">
                  <c:v>54.608042687969252</c:v>
                </c:pt>
                <c:pt idx="21">
                  <c:v>63.803727559127225</c:v>
                </c:pt>
                <c:pt idx="22">
                  <c:v>74.552612843129126</c:v>
                </c:pt>
                <c:pt idx="23">
                  <c:v>87.117778713772225</c:v>
                </c:pt>
                <c:pt idx="24">
                  <c:v>101.80698073153373</c:v>
                </c:pt>
                <c:pt idx="25">
                  <c:v>118.9802543844894</c:v>
                </c:pt>
                <c:pt idx="26">
                  <c:v>139.0588168405454</c:v>
                </c:pt>
                <c:pt idx="27">
                  <c:v>162.53548762572882</c:v>
                </c:pt>
                <c:pt idx="28">
                  <c:v>189.98688790472684</c:v>
                </c:pt>
                <c:pt idx="29">
                  <c:v>222.0877225112788</c:v>
                </c:pt>
                <c:pt idx="30">
                  <c:v>259.62750097538111</c:v>
                </c:pt>
                <c:pt idx="31">
                  <c:v>292.58700278368042</c:v>
                </c:pt>
                <c:pt idx="32">
                  <c:v>325.46357832780728</c:v>
                </c:pt>
                <c:pt idx="33">
                  <c:v>358.26677519009286</c:v>
                </c:pt>
                <c:pt idx="34">
                  <c:v>391.00424929614383</c:v>
                </c:pt>
                <c:pt idx="35">
                  <c:v>423.68227013435859</c:v>
                </c:pt>
                <c:pt idx="36">
                  <c:v>306.68609327791319</c:v>
                </c:pt>
                <c:pt idx="37">
                  <c:v>333.2912733917654</c:v>
                </c:pt>
                <c:pt idx="38">
                  <c:v>359.84965244289566</c:v>
                </c:pt>
                <c:pt idx="39">
                  <c:v>386.36516703266392</c:v>
                </c:pt>
                <c:pt idx="40">
                  <c:v>412.84116957446264</c:v>
                </c:pt>
                <c:pt idx="41">
                  <c:v>439.28054766493648</c:v>
                </c:pt>
                <c:pt idx="42">
                  <c:v>368.58505504712042</c:v>
                </c:pt>
                <c:pt idx="43">
                  <c:v>395.49558146511123</c:v>
                </c:pt>
                <c:pt idx="44">
                  <c:v>422.36644190430547</c:v>
                </c:pt>
                <c:pt idx="45">
                  <c:v>449.20051198424534</c:v>
                </c:pt>
                <c:pt idx="46">
                  <c:v>476.00029600122411</c:v>
                </c:pt>
                <c:pt idx="47">
                  <c:v>502.76799350659803</c:v>
                </c:pt>
                <c:pt idx="48">
                  <c:v>529.50555096799417</c:v>
                </c:pt>
                <c:pt idx="49">
                  <c:v>429.33815859480404</c:v>
                </c:pt>
                <c:pt idx="50">
                  <c:v>454.54436868421584</c:v>
                </c:pt>
                <c:pt idx="51">
                  <c:v>479.72071753587562</c:v>
                </c:pt>
                <c:pt idx="52">
                  <c:v>504.86899101410637</c:v>
                </c:pt>
                <c:pt idx="53">
                  <c:v>529.99078272720578</c:v>
                </c:pt>
                <c:pt idx="54">
                  <c:v>555.08752303952883</c:v>
                </c:pt>
                <c:pt idx="55">
                  <c:v>580.16050256595634</c:v>
                </c:pt>
                <c:pt idx="56">
                  <c:v>484.82724321910922</c:v>
                </c:pt>
                <c:pt idx="57">
                  <c:v>508.68718351521102</c:v>
                </c:pt>
                <c:pt idx="58">
                  <c:v>532.52348247086252</c:v>
                </c:pt>
                <c:pt idx="59">
                  <c:v>556.33734603131006</c:v>
                </c:pt>
                <c:pt idx="60">
                  <c:v>580.12986858717284</c:v>
                </c:pt>
                <c:pt idx="61">
                  <c:v>603.90204753719468</c:v>
                </c:pt>
                <c:pt idx="62">
                  <c:v>627.65479544024731</c:v>
                </c:pt>
                <c:pt idx="63">
                  <c:v>651.38895023354655</c:v>
                </c:pt>
                <c:pt idx="64">
                  <c:v>563.81498425829068</c:v>
                </c:pt>
                <c:pt idx="65">
                  <c:v>586.87363908113434</c:v>
                </c:pt>
                <c:pt idx="66">
                  <c:v>609.91342722683794</c:v>
                </c:pt>
                <c:pt idx="67">
                  <c:v>632.93516088265108</c:v>
                </c:pt>
                <c:pt idx="68">
                  <c:v>655.9395884010836</c:v>
                </c:pt>
                <c:pt idx="69">
                  <c:v>678.92740142457785</c:v>
                </c:pt>
                <c:pt idx="70">
                  <c:v>701.89924099594884</c:v>
                </c:pt>
                <c:pt idx="71">
                  <c:v>724.85570282808249</c:v>
                </c:pt>
                <c:pt idx="72">
                  <c:v>641.28199186449865</c:v>
                </c:pt>
                <c:pt idx="73">
                  <c:v>663.71262388619687</c:v>
                </c:pt>
                <c:pt idx="74">
                  <c:v>686.12766324435927</c:v>
                </c:pt>
                <c:pt idx="75">
                  <c:v>708.52769042865077</c:v>
                </c:pt>
                <c:pt idx="76">
                  <c:v>730.91324627615256</c:v>
                </c:pt>
                <c:pt idx="77">
                  <c:v>753.28483583569641</c:v>
                </c:pt>
                <c:pt idx="78">
                  <c:v>775.64293174977308</c:v>
                </c:pt>
                <c:pt idx="79">
                  <c:v>797.98797722667496</c:v>
                </c:pt>
                <c:pt idx="80">
                  <c:v>820.32038866283074</c:v>
                </c:pt>
                <c:pt idx="81">
                  <c:v>720.50501832026794</c:v>
                </c:pt>
                <c:pt idx="82">
                  <c:v>741.66388860983886</c:v>
                </c:pt>
                <c:pt idx="83">
                  <c:v>762.81048004868137</c:v>
                </c:pt>
                <c:pt idx="84">
                  <c:v>783.94518054265052</c:v>
                </c:pt>
                <c:pt idx="85">
                  <c:v>805.06835540294662</c:v>
                </c:pt>
                <c:pt idx="86">
                  <c:v>826.18034923236155</c:v>
                </c:pt>
                <c:pt idx="87">
                  <c:v>847.28148760893248</c:v>
                </c:pt>
                <c:pt idx="88">
                  <c:v>868.3720785933657</c:v>
                </c:pt>
                <c:pt idx="89">
                  <c:v>889.4524140825888</c:v>
                </c:pt>
                <c:pt idx="90">
                  <c:v>778.86457925997695</c:v>
                </c:pt>
                <c:pt idx="91">
                  <c:v>799.05112899959715</c:v>
                </c:pt>
                <c:pt idx="92">
                  <c:v>819.22738249399356</c:v>
                </c:pt>
                <c:pt idx="93">
                  <c:v>839.39362871963374</c:v>
                </c:pt>
                <c:pt idx="94">
                  <c:v>859.55014165330977</c:v>
                </c:pt>
                <c:pt idx="95">
                  <c:v>879.69718139124927</c:v>
                </c:pt>
                <c:pt idx="96">
                  <c:v>899.83499516050631</c:v>
                </c:pt>
                <c:pt idx="97">
                  <c:v>919.96381823522734</c:v>
                </c:pt>
                <c:pt idx="98">
                  <c:v>940.08387476866801</c:v>
                </c:pt>
                <c:pt idx="99">
                  <c:v>960.19537855037299</c:v>
                </c:pt>
                <c:pt idx="100">
                  <c:v>852.47102334504063</c:v>
                </c:pt>
                <c:pt idx="101">
                  <c:v>872.14338883167966</c:v>
                </c:pt>
                <c:pt idx="102">
                  <c:v>891.80687400789668</c:v>
                </c:pt>
                <c:pt idx="103">
                  <c:v>911.46170199784501</c:v>
                </c:pt>
                <c:pt idx="104">
                  <c:v>931.10808553102333</c:v>
                </c:pt>
                <c:pt idx="105">
                  <c:v>950.74622764003163</c:v>
                </c:pt>
                <c:pt idx="106">
                  <c:v>970.37632229776239</c:v>
                </c:pt>
                <c:pt idx="107">
                  <c:v>989.99855500042315</c:v>
                </c:pt>
                <c:pt idx="108">
                  <c:v>1009.6131033020002</c:v>
                </c:pt>
                <c:pt idx="109">
                  <c:v>1029.2201373050909</c:v>
                </c:pt>
                <c:pt idx="110">
                  <c:v>912.89636748316332</c:v>
                </c:pt>
                <c:pt idx="111">
                  <c:v>931.91917253835834</c:v>
                </c:pt>
                <c:pt idx="112">
                  <c:v>950.93425837707116</c:v>
                </c:pt>
                <c:pt idx="113">
                  <c:v>969.94180088868143</c:v>
                </c:pt>
                <c:pt idx="114">
                  <c:v>988.94196851633842</c:v>
                </c:pt>
                <c:pt idx="115">
                  <c:v>1007.9349227120669</c:v>
                </c:pt>
                <c:pt idx="116">
                  <c:v>1026.9208183558419</c:v>
                </c:pt>
                <c:pt idx="117">
                  <c:v>1045.8998041420966</c:v>
                </c:pt>
                <c:pt idx="118">
                  <c:v>1064.8720229367693</c:v>
                </c:pt>
                <c:pt idx="119">
                  <c:v>1083.837612107613</c:v>
                </c:pt>
                <c:pt idx="120">
                  <c:v>685.22707961918843</c:v>
                </c:pt>
                <c:pt idx="121">
                  <c:v>684.46894237918275</c:v>
                </c:pt>
                <c:pt idx="122">
                  <c:v>683.71078791151388</c:v>
                </c:pt>
                <c:pt idx="123">
                  <c:v>682.95261619436906</c:v>
                </c:pt>
                <c:pt idx="124">
                  <c:v>477.88182239269281</c:v>
                </c:pt>
                <c:pt idx="125">
                  <c:v>478.28681697956364</c:v>
                </c:pt>
                <c:pt idx="126">
                  <c:v>478.69180427339779</c:v>
                </c:pt>
                <c:pt idx="127">
                  <c:v>479.09678428124539</c:v>
                </c:pt>
                <c:pt idx="128">
                  <c:v>345.52979462786629</c:v>
                </c:pt>
                <c:pt idx="129">
                  <c:v>345.73113567518845</c:v>
                </c:pt>
                <c:pt idx="130">
                  <c:v>345.93247414678564</c:v>
                </c:pt>
                <c:pt idx="131">
                  <c:v>346.13381004437218</c:v>
                </c:pt>
                <c:pt idx="132">
                  <c:v>44.27625842724435</c:v>
                </c:pt>
                <c:pt idx="133">
                  <c:v>44.27625842724435</c:v>
                </c:pt>
                <c:pt idx="134">
                  <c:v>44.27625842724435</c:v>
                </c:pt>
                <c:pt idx="135">
                  <c:v>44.27625842724435</c:v>
                </c:pt>
                <c:pt idx="136">
                  <c:v>44.27625842724435</c:v>
                </c:pt>
                <c:pt idx="137">
                  <c:v>44.27625842724435</c:v>
                </c:pt>
                <c:pt idx="138">
                  <c:v>44.27625842724435</c:v>
                </c:pt>
                <c:pt idx="139">
                  <c:v>44.27625842724435</c:v>
                </c:pt>
                <c:pt idx="140">
                  <c:v>44.27625842724435</c:v>
                </c:pt>
                <c:pt idx="141">
                  <c:v>44.27625842724435</c:v>
                </c:pt>
                <c:pt idx="142">
                  <c:v>44.27625842724435</c:v>
                </c:pt>
                <c:pt idx="143">
                  <c:v>44.27625842724435</c:v>
                </c:pt>
                <c:pt idx="144">
                  <c:v>44.27625842724435</c:v>
                </c:pt>
                <c:pt idx="145">
                  <c:v>44.27625842724435</c:v>
                </c:pt>
                <c:pt idx="146">
                  <c:v>44.27625842724435</c:v>
                </c:pt>
                <c:pt idx="147">
                  <c:v>44.27625842724435</c:v>
                </c:pt>
                <c:pt idx="148">
                  <c:v>44.27625842724435</c:v>
                </c:pt>
                <c:pt idx="149">
                  <c:v>44.27625842724435</c:v>
                </c:pt>
                <c:pt idx="150">
                  <c:v>44.27625842724435</c:v>
                </c:pt>
                <c:pt idx="151">
                  <c:v>44.27625842724435</c:v>
                </c:pt>
                <c:pt idx="152">
                  <c:v>44.27625842724435</c:v>
                </c:pt>
                <c:pt idx="153">
                  <c:v>44.27625842724435</c:v>
                </c:pt>
                <c:pt idx="154">
                  <c:v>44.27625842724435</c:v>
                </c:pt>
                <c:pt idx="155">
                  <c:v>44.27625842724435</c:v>
                </c:pt>
                <c:pt idx="156">
                  <c:v>44.27625842724435</c:v>
                </c:pt>
                <c:pt idx="157">
                  <c:v>44.27625842724435</c:v>
                </c:pt>
                <c:pt idx="158">
                  <c:v>44.27625842724435</c:v>
                </c:pt>
                <c:pt idx="159">
                  <c:v>44.27625842724435</c:v>
                </c:pt>
                <c:pt idx="160">
                  <c:v>44.27625842724435</c:v>
                </c:pt>
                <c:pt idx="161">
                  <c:v>44.27625842724435</c:v>
                </c:pt>
                <c:pt idx="162">
                  <c:v>44.27625842724435</c:v>
                </c:pt>
                <c:pt idx="163">
                  <c:v>44.27625842724435</c:v>
                </c:pt>
                <c:pt idx="164">
                  <c:v>44.27625842724435</c:v>
                </c:pt>
                <c:pt idx="165">
                  <c:v>44.27625842724435</c:v>
                </c:pt>
                <c:pt idx="166">
                  <c:v>44.27625842724435</c:v>
                </c:pt>
                <c:pt idx="167">
                  <c:v>44.27625842724435</c:v>
                </c:pt>
                <c:pt idx="168">
                  <c:v>44.27625842724435</c:v>
                </c:pt>
                <c:pt idx="169">
                  <c:v>44.27625842724435</c:v>
                </c:pt>
                <c:pt idx="170">
                  <c:v>44.27625842724435</c:v>
                </c:pt>
                <c:pt idx="171">
                  <c:v>44.27625842724435</c:v>
                </c:pt>
                <c:pt idx="172">
                  <c:v>44.27625842724435</c:v>
                </c:pt>
                <c:pt idx="173">
                  <c:v>44.27625842724435</c:v>
                </c:pt>
                <c:pt idx="174">
                  <c:v>44.27625842724435</c:v>
                </c:pt>
                <c:pt idx="175">
                  <c:v>44.27625842724435</c:v>
                </c:pt>
                <c:pt idx="176">
                  <c:v>44.27625842724435</c:v>
                </c:pt>
                <c:pt idx="177">
                  <c:v>44.27625842724435</c:v>
                </c:pt>
                <c:pt idx="178">
                  <c:v>44.27625842724435</c:v>
                </c:pt>
                <c:pt idx="179">
                  <c:v>44.27625842724435</c:v>
                </c:pt>
                <c:pt idx="180">
                  <c:v>44.27625842724435</c:v>
                </c:pt>
                <c:pt idx="181">
                  <c:v>44.27625842724435</c:v>
                </c:pt>
                <c:pt idx="182">
                  <c:v>44.27625842724435</c:v>
                </c:pt>
                <c:pt idx="183">
                  <c:v>44.27625842724435</c:v>
                </c:pt>
                <c:pt idx="184">
                  <c:v>44.27625842724435</c:v>
                </c:pt>
                <c:pt idx="185">
                  <c:v>44.27625842724435</c:v>
                </c:pt>
                <c:pt idx="186">
                  <c:v>44.27625842724435</c:v>
                </c:pt>
                <c:pt idx="187">
                  <c:v>44.27625842724435</c:v>
                </c:pt>
                <c:pt idx="188">
                  <c:v>44.27625842724435</c:v>
                </c:pt>
                <c:pt idx="189">
                  <c:v>44.27625842724435</c:v>
                </c:pt>
                <c:pt idx="190">
                  <c:v>44.27625842724435</c:v>
                </c:pt>
                <c:pt idx="191">
                  <c:v>44.27625842724435</c:v>
                </c:pt>
                <c:pt idx="192">
                  <c:v>44.27625842724435</c:v>
                </c:pt>
                <c:pt idx="193">
                  <c:v>44.27625842724435</c:v>
                </c:pt>
                <c:pt idx="194">
                  <c:v>44.27625842724435</c:v>
                </c:pt>
                <c:pt idx="195">
                  <c:v>44.27625842724435</c:v>
                </c:pt>
                <c:pt idx="196">
                  <c:v>44.27625842724435</c:v>
                </c:pt>
                <c:pt idx="197">
                  <c:v>44.27625842724435</c:v>
                </c:pt>
                <c:pt idx="198">
                  <c:v>44.27625842724435</c:v>
                </c:pt>
                <c:pt idx="199">
                  <c:v>44.27625842724435</c:v>
                </c:pt>
                <c:pt idx="200">
                  <c:v>44.27625842724435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Normal="100" workbookViewId="0">
      <selection activeCell="F204" sqref="F20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0.30769230769230771</v>
      </c>
      <c r="D9" s="33">
        <f t="shared" ref="D9:D18" si="0">C9*$C$5</f>
        <v>0.92307692307692313</v>
      </c>
      <c r="E9" s="265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25</v>
      </c>
      <c r="C10" s="264">
        <v>0.30769230769230771</v>
      </c>
      <c r="D10" s="33">
        <f t="shared" si="0"/>
        <v>0.92307692307692313</v>
      </c>
      <c r="E10" s="265">
        <v>115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11</v>
      </c>
      <c r="C11" s="264">
        <v>0.25641025641025644</v>
      </c>
      <c r="D11" s="33">
        <f t="shared" si="0"/>
        <v>0.76923076923076938</v>
      </c>
      <c r="E11" s="265">
        <v>106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6</v>
      </c>
      <c r="C12" s="264">
        <v>5.1282051282051287E-2</v>
      </c>
      <c r="D12" s="33">
        <f t="shared" si="0"/>
        <v>0.15384615384615385</v>
      </c>
      <c r="E12" s="265">
        <v>131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18</v>
      </c>
      <c r="C13" s="32">
        <v>5.1282051282051287E-2</v>
      </c>
      <c r="D13" s="33">
        <f t="shared" si="0"/>
        <v>0.15384615384615385</v>
      </c>
      <c r="E13" s="34">
        <v>54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52</v>
      </c>
      <c r="C14" s="32">
        <v>1.2820512820512822E-2</v>
      </c>
      <c r="D14" s="33">
        <f t="shared" si="0"/>
        <v>3.8461538461538464E-2</v>
      </c>
      <c r="E14" s="34">
        <v>131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</v>
      </c>
      <c r="C15" s="32">
        <v>1.2820512820512822E-2</v>
      </c>
      <c r="D15" s="33">
        <f t="shared" si="0"/>
        <v>3.8461538461538464E-2</v>
      </c>
      <c r="E15" s="34">
        <v>131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324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121.88461538461537</v>
      </c>
      <c r="C36" s="259"/>
      <c r="D36" s="259"/>
      <c r="E36" s="260"/>
      <c r="F36" s="260"/>
      <c r="G36" s="260"/>
      <c r="H36" s="260"/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35</v>
      </c>
      <c r="B37" s="259">
        <v>201.29</v>
      </c>
      <c r="C37" s="259">
        <v>1</v>
      </c>
      <c r="D37" s="259">
        <v>69.58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15.881076923076924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41</v>
      </c>
      <c r="B38" s="259">
        <v>208.88</v>
      </c>
      <c r="C38" s="259">
        <v>2</v>
      </c>
      <c r="D38" s="259">
        <v>47.41</v>
      </c>
      <c r="E38" s="260">
        <v>1</v>
      </c>
      <c r="F38" s="260"/>
      <c r="G38" s="260"/>
      <c r="H38" s="260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48</v>
      </c>
      <c r="B39" s="259">
        <v>252.89</v>
      </c>
      <c r="C39" s="259">
        <v>3</v>
      </c>
      <c r="D39" s="259">
        <v>61.12</v>
      </c>
      <c r="E39" s="260">
        <v>1</v>
      </c>
      <c r="F39" s="260"/>
      <c r="G39" s="260"/>
      <c r="H39" s="260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55</v>
      </c>
      <c r="B40" s="259">
        <v>277.67</v>
      </c>
      <c r="C40" s="259">
        <v>4</v>
      </c>
      <c r="D40" s="259">
        <v>58.24</v>
      </c>
      <c r="E40" s="260">
        <v>1</v>
      </c>
      <c r="F40" s="260"/>
      <c r="G40" s="260"/>
      <c r="H40" s="260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63</v>
      </c>
      <c r="B41" s="259">
        <v>312.58999999999997</v>
      </c>
      <c r="C41" s="259">
        <v>5</v>
      </c>
      <c r="D41" s="259">
        <v>54.21</v>
      </c>
      <c r="E41" s="260">
        <v>1</v>
      </c>
      <c r="F41" s="260"/>
      <c r="G41" s="260"/>
      <c r="H41" s="260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71</v>
      </c>
      <c r="B42" s="259">
        <v>348.69</v>
      </c>
      <c r="C42" s="259">
        <v>6</v>
      </c>
      <c r="D42" s="259">
        <v>52.07</v>
      </c>
      <c r="E42" s="260">
        <v>1</v>
      </c>
      <c r="F42" s="260"/>
      <c r="G42" s="260"/>
      <c r="H42" s="260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80</v>
      </c>
      <c r="B43" s="259">
        <v>395.71</v>
      </c>
      <c r="C43" s="259">
        <v>7</v>
      </c>
      <c r="D43" s="259">
        <v>59.57</v>
      </c>
      <c r="E43" s="260">
        <v>1</v>
      </c>
      <c r="F43" s="260"/>
      <c r="G43" s="260"/>
      <c r="H43" s="260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89</v>
      </c>
      <c r="B44" s="259">
        <v>429.83</v>
      </c>
      <c r="C44" s="259">
        <v>8</v>
      </c>
      <c r="D44" s="259">
        <v>64.5</v>
      </c>
      <c r="E44" s="260">
        <v>1</v>
      </c>
      <c r="F44" s="260"/>
      <c r="G44" s="260"/>
      <c r="H44" s="260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99</v>
      </c>
      <c r="B45" s="261">
        <v>464.8</v>
      </c>
      <c r="C45" s="259">
        <v>9</v>
      </c>
      <c r="D45" s="261">
        <v>62.94</v>
      </c>
      <c r="E45" s="260">
        <v>1</v>
      </c>
      <c r="F45" s="260"/>
      <c r="G45" s="260"/>
      <c r="H45" s="260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109</v>
      </c>
      <c r="B46" s="262">
        <v>498.97</v>
      </c>
      <c r="C46" s="259">
        <v>10</v>
      </c>
      <c r="D46" s="262">
        <v>66.959999999999994</v>
      </c>
      <c r="E46" s="260">
        <v>1</v>
      </c>
      <c r="F46" s="260"/>
      <c r="G46" s="260"/>
      <c r="H46" s="260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119</v>
      </c>
      <c r="B47" s="261">
        <v>526.04</v>
      </c>
      <c r="C47" s="259">
        <v>11</v>
      </c>
      <c r="D47" s="261">
        <v>196.46</v>
      </c>
      <c r="E47" s="260">
        <v>1</v>
      </c>
      <c r="F47" s="260"/>
      <c r="G47" s="260"/>
      <c r="H47" s="260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123</v>
      </c>
      <c r="B48" s="261">
        <v>328.09</v>
      </c>
      <c r="C48" s="259">
        <v>12</v>
      </c>
      <c r="D48" s="261">
        <v>100.6</v>
      </c>
      <c r="E48" s="260">
        <v>1</v>
      </c>
      <c r="F48" s="260"/>
      <c r="G48" s="260"/>
      <c r="H48" s="260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127</v>
      </c>
      <c r="B49" s="261">
        <v>228.28</v>
      </c>
      <c r="C49" s="259">
        <v>13</v>
      </c>
      <c r="D49" s="261">
        <v>65.02</v>
      </c>
      <c r="E49" s="260">
        <v>1</v>
      </c>
      <c r="F49" s="260"/>
      <c r="G49" s="260"/>
      <c r="H49" s="260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131</v>
      </c>
      <c r="B50" s="261">
        <v>163.65</v>
      </c>
      <c r="C50" s="261">
        <v>14</v>
      </c>
      <c r="D50" s="261">
        <v>143.84</v>
      </c>
      <c r="E50" s="260">
        <v>1</v>
      </c>
      <c r="F50" s="260"/>
      <c r="G50" s="260"/>
      <c r="H50" s="260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Hêtre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20</v>
      </c>
      <c r="B62" s="261">
        <v>56</v>
      </c>
      <c r="C62" s="261"/>
      <c r="D62" s="261">
        <v>0</v>
      </c>
      <c r="E62" s="260"/>
      <c r="F62" s="260"/>
      <c r="G62" s="260"/>
      <c r="H62" s="260"/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25</v>
      </c>
      <c r="B63" s="261">
        <v>111</v>
      </c>
      <c r="C63" s="261">
        <v>1</v>
      </c>
      <c r="D63" s="261">
        <v>26</v>
      </c>
      <c r="E63" s="260"/>
      <c r="F63" s="260"/>
      <c r="G63" s="260"/>
      <c r="H63" s="260">
        <v>1</v>
      </c>
      <c r="I63" s="49">
        <f>IF(A63&lt;&gt;0,(B63-(B62-D62))/(A63-A62),"")</f>
        <v>11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30</v>
      </c>
      <c r="B64" s="261">
        <v>146</v>
      </c>
      <c r="C64" s="261">
        <v>2</v>
      </c>
      <c r="D64" s="261">
        <v>35</v>
      </c>
      <c r="E64" s="260"/>
      <c r="F64" s="260"/>
      <c r="G64" s="260"/>
      <c r="H64" s="260">
        <v>1</v>
      </c>
      <c r="I64" s="49">
        <f>IF(A64&lt;&gt;0,(B64-(B63-D63))/(A64-A63),"")</f>
        <v>12.2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35</v>
      </c>
      <c r="B65" s="261">
        <v>175</v>
      </c>
      <c r="C65" s="261">
        <v>3</v>
      </c>
      <c r="D65" s="261">
        <v>35</v>
      </c>
      <c r="E65" s="260">
        <v>1</v>
      </c>
      <c r="F65" s="260"/>
      <c r="G65" s="260"/>
      <c r="H65" s="260"/>
      <c r="I65" s="49">
        <f>IF(A65&lt;&gt;0,(B65-(B64-D64))/(A65-A64),"")</f>
        <v>12.8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40</v>
      </c>
      <c r="B66" s="261">
        <v>207</v>
      </c>
      <c r="C66" s="261">
        <v>4</v>
      </c>
      <c r="D66" s="261">
        <v>35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45</v>
      </c>
      <c r="B67" s="261">
        <v>241</v>
      </c>
      <c r="C67" s="261">
        <v>5</v>
      </c>
      <c r="D67" s="261">
        <v>35</v>
      </c>
      <c r="E67" s="260">
        <v>1</v>
      </c>
      <c r="F67" s="260"/>
      <c r="G67" s="260"/>
      <c r="H67" s="260"/>
      <c r="I67" s="49">
        <f t="shared" si="2"/>
        <v>13.8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50</v>
      </c>
      <c r="B68" s="261">
        <v>274</v>
      </c>
      <c r="C68" s="261">
        <v>6</v>
      </c>
      <c r="D68" s="261">
        <v>35</v>
      </c>
      <c r="E68" s="260">
        <v>1</v>
      </c>
      <c r="F68" s="260"/>
      <c r="G68" s="260"/>
      <c r="H68" s="260"/>
      <c r="I68" s="49">
        <f t="shared" si="2"/>
        <v>13.6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55</v>
      </c>
      <c r="B69" s="261">
        <v>306</v>
      </c>
      <c r="C69" s="261">
        <v>7</v>
      </c>
      <c r="D69" s="261">
        <v>35</v>
      </c>
      <c r="E69" s="260">
        <v>1</v>
      </c>
      <c r="F69" s="260"/>
      <c r="G69" s="260"/>
      <c r="H69" s="260"/>
      <c r="I69" s="49">
        <f t="shared" si="2"/>
        <v>13.4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336</v>
      </c>
      <c r="C70" s="261">
        <v>8</v>
      </c>
      <c r="D70" s="261">
        <v>35</v>
      </c>
      <c r="E70" s="260">
        <v>1</v>
      </c>
      <c r="F70" s="260"/>
      <c r="G70" s="260"/>
      <c r="H70" s="260"/>
      <c r="I70" s="49">
        <f t="shared" si="2"/>
        <v>13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65</v>
      </c>
      <c r="B71" s="261">
        <v>364</v>
      </c>
      <c r="C71" s="261">
        <v>9</v>
      </c>
      <c r="D71" s="261">
        <v>35</v>
      </c>
      <c r="E71" s="260">
        <v>1</v>
      </c>
      <c r="F71" s="260"/>
      <c r="G71" s="260"/>
      <c r="H71" s="260"/>
      <c r="I71" s="49">
        <f t="shared" si="2"/>
        <v>12.6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70</v>
      </c>
      <c r="B72" s="261">
        <v>387</v>
      </c>
      <c r="C72" s="261">
        <v>10</v>
      </c>
      <c r="D72" s="261">
        <v>35</v>
      </c>
      <c r="E72" s="260">
        <v>1</v>
      </c>
      <c r="F72" s="260"/>
      <c r="G72" s="260"/>
      <c r="H72" s="260"/>
      <c r="I72" s="49">
        <f t="shared" si="2"/>
        <v>11.6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75</v>
      </c>
      <c r="B73" s="261">
        <v>407</v>
      </c>
      <c r="C73" s="261">
        <v>11</v>
      </c>
      <c r="D73" s="261">
        <v>35</v>
      </c>
      <c r="E73" s="260">
        <v>1</v>
      </c>
      <c r="F73" s="260"/>
      <c r="G73" s="260"/>
      <c r="H73" s="260"/>
      <c r="I73" s="49">
        <f t="shared" si="2"/>
        <v>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80</v>
      </c>
      <c r="B74" s="261">
        <v>424</v>
      </c>
      <c r="C74" s="261">
        <v>12</v>
      </c>
      <c r="D74" s="261">
        <v>34</v>
      </c>
      <c r="E74" s="260">
        <v>1</v>
      </c>
      <c r="F74" s="260"/>
      <c r="G74" s="260"/>
      <c r="H74" s="260"/>
      <c r="I74" s="49">
        <f t="shared" si="2"/>
        <v>10.4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85</v>
      </c>
      <c r="B75" s="261">
        <v>438</v>
      </c>
      <c r="C75" s="261">
        <v>13</v>
      </c>
      <c r="D75" s="261">
        <v>33</v>
      </c>
      <c r="E75" s="260">
        <v>1</v>
      </c>
      <c r="F75" s="260"/>
      <c r="G75" s="260"/>
      <c r="H75" s="260"/>
      <c r="I75" s="49">
        <f t="shared" si="2"/>
        <v>9.6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90</v>
      </c>
      <c r="B76" s="261">
        <v>451</v>
      </c>
      <c r="C76" s="261">
        <v>14</v>
      </c>
      <c r="D76" s="261">
        <v>31</v>
      </c>
      <c r="E76" s="260">
        <v>1</v>
      </c>
      <c r="F76" s="260"/>
      <c r="G76" s="260"/>
      <c r="H76" s="260"/>
      <c r="I76" s="49">
        <f t="shared" si="2"/>
        <v>9.1999999999999993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95</v>
      </c>
      <c r="B77" s="257">
        <v>463</v>
      </c>
      <c r="C77" s="256">
        <v>15</v>
      </c>
      <c r="D77" s="256">
        <v>30</v>
      </c>
      <c r="E77" s="255">
        <v>1</v>
      </c>
      <c r="F77" s="255"/>
      <c r="G77" s="255"/>
      <c r="H77" s="255"/>
      <c r="I77" s="49">
        <f t="shared" si="2"/>
        <v>8.6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100</v>
      </c>
      <c r="B78" s="257">
        <v>474</v>
      </c>
      <c r="C78" s="256">
        <v>16</v>
      </c>
      <c r="D78" s="256">
        <v>29</v>
      </c>
      <c r="E78" s="255">
        <v>1</v>
      </c>
      <c r="F78" s="255"/>
      <c r="G78" s="255"/>
      <c r="H78" s="255"/>
      <c r="I78" s="49">
        <f t="shared" si="2"/>
        <v>8.1999999999999993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105</v>
      </c>
      <c r="B79" s="257">
        <v>484</v>
      </c>
      <c r="C79" s="256">
        <v>17</v>
      </c>
      <c r="D79" s="256">
        <v>28</v>
      </c>
      <c r="E79" s="255">
        <v>1</v>
      </c>
      <c r="F79" s="255"/>
      <c r="G79" s="255"/>
      <c r="H79" s="255"/>
      <c r="I79" s="49">
        <f t="shared" si="2"/>
        <v>7.8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110</v>
      </c>
      <c r="B80" s="257">
        <v>493</v>
      </c>
      <c r="C80" s="256">
        <v>18</v>
      </c>
      <c r="D80" s="256">
        <v>27</v>
      </c>
      <c r="E80" s="255">
        <v>1</v>
      </c>
      <c r="F80" s="255"/>
      <c r="G80" s="255"/>
      <c r="H80" s="255"/>
      <c r="I80" s="49">
        <f t="shared" si="2"/>
        <v>7.4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>
        <v>115</v>
      </c>
      <c r="B81" s="257">
        <v>501</v>
      </c>
      <c r="C81" s="256">
        <v>19</v>
      </c>
      <c r="D81" s="258">
        <v>26</v>
      </c>
      <c r="E81" s="255">
        <v>1</v>
      </c>
      <c r="F81" s="255"/>
      <c r="G81" s="255"/>
      <c r="H81" s="255"/>
      <c r="I81" s="49">
        <f t="shared" si="2"/>
        <v>7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pédonculé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119.19871794871794</v>
      </c>
      <c r="C88" s="261"/>
      <c r="D88" s="261"/>
      <c r="E88" s="260"/>
      <c r="F88" s="260"/>
      <c r="G88" s="260"/>
      <c r="H88" s="260"/>
      <c r="I88" s="53">
        <f>IFERROR(B88/A88,"")</f>
        <v>3.9732905982905979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31</v>
      </c>
      <c r="B89" s="261">
        <v>152.27000000000001</v>
      </c>
      <c r="C89" s="261">
        <v>1</v>
      </c>
      <c r="D89" s="261">
        <v>63.58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33.071282051282068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37</v>
      </c>
      <c r="B90" s="261">
        <v>164.49</v>
      </c>
      <c r="C90" s="261">
        <v>2</v>
      </c>
      <c r="D90" s="261">
        <v>41.18</v>
      </c>
      <c r="E90" s="260">
        <v>1</v>
      </c>
      <c r="F90" s="260"/>
      <c r="G90" s="260"/>
      <c r="H90" s="260"/>
      <c r="I90" s="53">
        <f t="shared" si="3"/>
        <v>12.633333333333333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44</v>
      </c>
      <c r="B91" s="261">
        <v>218.51</v>
      </c>
      <c r="C91" s="261">
        <v>3</v>
      </c>
      <c r="D91" s="261">
        <v>52.08</v>
      </c>
      <c r="E91" s="260">
        <v>1</v>
      </c>
      <c r="F91" s="260"/>
      <c r="G91" s="260"/>
      <c r="H91" s="260"/>
      <c r="I91" s="53">
        <f t="shared" si="3"/>
        <v>13.599999999999998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51</v>
      </c>
      <c r="B92" s="261">
        <v>261.62</v>
      </c>
      <c r="C92" s="261">
        <v>4</v>
      </c>
      <c r="D92" s="261">
        <v>50.63</v>
      </c>
      <c r="E92" s="260">
        <v>1</v>
      </c>
      <c r="F92" s="260"/>
      <c r="G92" s="260"/>
      <c r="H92" s="260"/>
      <c r="I92" s="53">
        <f t="shared" si="3"/>
        <v>13.598571428571429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58</v>
      </c>
      <c r="B93" s="261">
        <v>305.12</v>
      </c>
      <c r="C93" s="261">
        <v>5</v>
      </c>
      <c r="D93" s="261">
        <v>48.81</v>
      </c>
      <c r="E93" s="260">
        <v>1</v>
      </c>
      <c r="F93" s="260"/>
      <c r="G93" s="260"/>
      <c r="H93" s="260"/>
      <c r="I93" s="53">
        <f t="shared" si="3"/>
        <v>13.447142857142856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65</v>
      </c>
      <c r="B94" s="261">
        <v>348.03</v>
      </c>
      <c r="C94" s="261">
        <v>6</v>
      </c>
      <c r="D94" s="261">
        <v>50.87</v>
      </c>
      <c r="E94" s="260">
        <v>1</v>
      </c>
      <c r="F94" s="260"/>
      <c r="G94" s="260"/>
      <c r="H94" s="260"/>
      <c r="I94" s="53">
        <f t="shared" si="3"/>
        <v>13.102857142857138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72</v>
      </c>
      <c r="B95" s="261">
        <v>385.02</v>
      </c>
      <c r="C95" s="261">
        <v>7</v>
      </c>
      <c r="D95" s="261">
        <v>58.96</v>
      </c>
      <c r="E95" s="260">
        <v>1</v>
      </c>
      <c r="F95" s="260"/>
      <c r="G95" s="260"/>
      <c r="H95" s="260"/>
      <c r="I95" s="53">
        <f t="shared" si="3"/>
        <v>12.551428571428573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81</v>
      </c>
      <c r="B96" s="261">
        <v>433.28</v>
      </c>
      <c r="C96" s="261">
        <v>8</v>
      </c>
      <c r="D96" s="261">
        <v>77.44</v>
      </c>
      <c r="E96" s="260">
        <v>1</v>
      </c>
      <c r="F96" s="260"/>
      <c r="G96" s="260"/>
      <c r="H96" s="260"/>
      <c r="I96" s="53">
        <f t="shared" si="3"/>
        <v>11.91333333333333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90</v>
      </c>
      <c r="B97" s="261">
        <v>453.03</v>
      </c>
      <c r="C97" s="261">
        <v>9</v>
      </c>
      <c r="D97" s="261">
        <v>78.34</v>
      </c>
      <c r="E97" s="260">
        <v>1</v>
      </c>
      <c r="F97" s="260"/>
      <c r="G97" s="260"/>
      <c r="H97" s="260"/>
      <c r="I97" s="53">
        <f t="shared" si="3"/>
        <v>10.798888888888889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99</v>
      </c>
      <c r="B98" s="261">
        <v>465.23</v>
      </c>
      <c r="C98" s="261">
        <v>10</v>
      </c>
      <c r="D98" s="261">
        <v>198.88</v>
      </c>
      <c r="E98" s="260">
        <v>1</v>
      </c>
      <c r="F98" s="260"/>
      <c r="G98" s="260"/>
      <c r="H98" s="260"/>
      <c r="I98" s="53">
        <f t="shared" si="3"/>
        <v>10.060000000000009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101</v>
      </c>
      <c r="B99" s="261">
        <v>252.87</v>
      </c>
      <c r="C99" s="261">
        <v>11</v>
      </c>
      <c r="D99" s="261">
        <v>72.569999999999993</v>
      </c>
      <c r="E99" s="260">
        <v>1</v>
      </c>
      <c r="F99" s="260"/>
      <c r="G99" s="260"/>
      <c r="H99" s="260"/>
      <c r="I99" s="53">
        <f t="shared" si="3"/>
        <v>-6.7400000000000091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103</v>
      </c>
      <c r="B100" s="261">
        <v>179.96</v>
      </c>
      <c r="C100" s="261">
        <v>12</v>
      </c>
      <c r="D100" s="261">
        <v>51.31</v>
      </c>
      <c r="E100" s="260">
        <v>1</v>
      </c>
      <c r="F100" s="260"/>
      <c r="G100" s="260"/>
      <c r="H100" s="260"/>
      <c r="I100" s="53">
        <f t="shared" si="3"/>
        <v>-0.17000000000000171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106</v>
      </c>
      <c r="B101" s="261">
        <v>131.46</v>
      </c>
      <c r="C101" s="261">
        <v>13</v>
      </c>
      <c r="D101" s="261">
        <v>114.71</v>
      </c>
      <c r="E101" s="260">
        <v>1</v>
      </c>
      <c r="F101" s="260"/>
      <c r="G101" s="260"/>
      <c r="H101" s="260"/>
      <c r="I101" s="53">
        <f t="shared" si="3"/>
        <v>0.93666666666666742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Charme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30</v>
      </c>
      <c r="B114" s="261">
        <v>121.88461538461537</v>
      </c>
      <c r="C114" s="261"/>
      <c r="D114" s="261"/>
      <c r="E114" s="260"/>
      <c r="F114" s="260"/>
      <c r="G114" s="260"/>
      <c r="H114" s="260"/>
      <c r="I114" s="53">
        <f>IFERROR(B114/A114,"")</f>
        <v>4.0628205128205126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35</v>
      </c>
      <c r="B115" s="261">
        <v>201.29</v>
      </c>
      <c r="C115" s="261">
        <v>1</v>
      </c>
      <c r="D115" s="261">
        <v>69.58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15.881076923076924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41</v>
      </c>
      <c r="B116" s="261">
        <v>208.88</v>
      </c>
      <c r="C116" s="261">
        <v>2</v>
      </c>
      <c r="D116" s="261">
        <v>47.41</v>
      </c>
      <c r="E116" s="260">
        <v>1</v>
      </c>
      <c r="F116" s="260"/>
      <c r="G116" s="260"/>
      <c r="H116" s="260"/>
      <c r="I116" s="53">
        <f t="shared" si="4"/>
        <v>12.86166666666667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48</v>
      </c>
      <c r="B117" s="261">
        <v>252.89</v>
      </c>
      <c r="C117" s="261">
        <v>3</v>
      </c>
      <c r="D117" s="261">
        <v>61.12</v>
      </c>
      <c r="E117" s="260">
        <v>1</v>
      </c>
      <c r="F117" s="260"/>
      <c r="G117" s="260"/>
      <c r="H117" s="260"/>
      <c r="I117" s="53">
        <f t="shared" si="4"/>
        <v>13.059999999999999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55</v>
      </c>
      <c r="B118" s="261">
        <v>277.67</v>
      </c>
      <c r="C118" s="261">
        <v>4</v>
      </c>
      <c r="D118" s="261">
        <v>58.24</v>
      </c>
      <c r="E118" s="260">
        <v>1</v>
      </c>
      <c r="F118" s="260"/>
      <c r="G118" s="260"/>
      <c r="H118" s="260"/>
      <c r="I118" s="53">
        <f t="shared" si="4"/>
        <v>12.271428571428576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63</v>
      </c>
      <c r="B119" s="261">
        <v>312.58999999999997</v>
      </c>
      <c r="C119" s="261">
        <v>5</v>
      </c>
      <c r="D119" s="261">
        <v>54.21</v>
      </c>
      <c r="E119" s="260">
        <v>1</v>
      </c>
      <c r="F119" s="260"/>
      <c r="G119" s="260"/>
      <c r="H119" s="260"/>
      <c r="I119" s="53">
        <f t="shared" si="4"/>
        <v>11.644999999999996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71</v>
      </c>
      <c r="B120" s="261">
        <v>348.69</v>
      </c>
      <c r="C120" s="261">
        <v>6</v>
      </c>
      <c r="D120" s="261">
        <v>52.07</v>
      </c>
      <c r="E120" s="260">
        <v>1</v>
      </c>
      <c r="F120" s="260"/>
      <c r="G120" s="260"/>
      <c r="H120" s="260"/>
      <c r="I120" s="53">
        <f t="shared" si="4"/>
        <v>11.28875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80</v>
      </c>
      <c r="B121" s="261">
        <v>395.71</v>
      </c>
      <c r="C121" s="261">
        <v>7</v>
      </c>
      <c r="D121" s="261">
        <v>59.57</v>
      </c>
      <c r="E121" s="260">
        <v>1</v>
      </c>
      <c r="F121" s="260"/>
      <c r="G121" s="260"/>
      <c r="H121" s="260"/>
      <c r="I121" s="53">
        <f t="shared" si="4"/>
        <v>11.009999999999998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89</v>
      </c>
      <c r="B122" s="261">
        <v>429.83</v>
      </c>
      <c r="C122" s="261">
        <v>8</v>
      </c>
      <c r="D122" s="261">
        <v>64.5</v>
      </c>
      <c r="E122" s="260">
        <v>1</v>
      </c>
      <c r="F122" s="260"/>
      <c r="G122" s="260"/>
      <c r="H122" s="260"/>
      <c r="I122" s="53">
        <f t="shared" si="4"/>
        <v>10.41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99</v>
      </c>
      <c r="B123" s="261">
        <v>464.8</v>
      </c>
      <c r="C123" s="261">
        <v>9</v>
      </c>
      <c r="D123" s="261">
        <v>62.94</v>
      </c>
      <c r="E123" s="260">
        <v>1</v>
      </c>
      <c r="F123" s="260"/>
      <c r="G123" s="260"/>
      <c r="H123" s="260"/>
      <c r="I123" s="53">
        <f t="shared" si="4"/>
        <v>9.9470000000000027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109</v>
      </c>
      <c r="B124" s="261">
        <v>498.97</v>
      </c>
      <c r="C124" s="261">
        <v>10</v>
      </c>
      <c r="D124" s="261">
        <v>66.959999999999994</v>
      </c>
      <c r="E124" s="260">
        <v>1</v>
      </c>
      <c r="F124" s="260"/>
      <c r="G124" s="260"/>
      <c r="H124" s="260"/>
      <c r="I124" s="53">
        <f t="shared" si="4"/>
        <v>9.7110000000000021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119</v>
      </c>
      <c r="B125" s="261">
        <v>526.04</v>
      </c>
      <c r="C125" s="261">
        <v>11</v>
      </c>
      <c r="D125" s="261">
        <v>196.46</v>
      </c>
      <c r="E125" s="260">
        <v>1</v>
      </c>
      <c r="F125" s="260"/>
      <c r="G125" s="260"/>
      <c r="H125" s="260"/>
      <c r="I125" s="53">
        <f t="shared" si="4"/>
        <v>9.4029999999999916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123</v>
      </c>
      <c r="B126" s="261">
        <v>328.09</v>
      </c>
      <c r="C126" s="261">
        <v>12</v>
      </c>
      <c r="D126" s="261">
        <v>100.6</v>
      </c>
      <c r="E126" s="260">
        <v>1</v>
      </c>
      <c r="F126" s="260"/>
      <c r="G126" s="260"/>
      <c r="H126" s="260"/>
      <c r="I126" s="53">
        <f t="shared" si="4"/>
        <v>-0.37249999999998806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127</v>
      </c>
      <c r="B127" s="261">
        <v>228.28</v>
      </c>
      <c r="C127" s="261">
        <v>13</v>
      </c>
      <c r="D127" s="261">
        <v>65.02</v>
      </c>
      <c r="E127" s="260">
        <v>1</v>
      </c>
      <c r="F127" s="260"/>
      <c r="G127" s="260"/>
      <c r="H127" s="260"/>
      <c r="I127" s="53">
        <f t="shared" si="4"/>
        <v>0.19750000000000512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131</v>
      </c>
      <c r="B128" s="261">
        <v>163.65</v>
      </c>
      <c r="C128" s="261">
        <v>14</v>
      </c>
      <c r="D128" s="261">
        <v>143.84</v>
      </c>
      <c r="E128" s="260">
        <v>1</v>
      </c>
      <c r="F128" s="260"/>
      <c r="G128" s="260"/>
      <c r="H128" s="260"/>
      <c r="I128" s="53">
        <f t="shared" si="4"/>
        <v>9.7500000000003695E-2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Douglas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17</v>
      </c>
      <c r="B140" s="60">
        <v>172.88</v>
      </c>
      <c r="C140" s="50"/>
      <c r="D140" s="60"/>
      <c r="E140" s="51"/>
      <c r="F140" s="51"/>
      <c r="G140" s="51"/>
      <c r="H140" s="51"/>
      <c r="I140" s="57">
        <f>IFERROR(B140/A140,"")</f>
        <v>10.169411764705883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18</v>
      </c>
      <c r="B141" s="60">
        <v>202.42</v>
      </c>
      <c r="C141" s="50">
        <v>1</v>
      </c>
      <c r="D141" s="60">
        <v>74.819999999999993</v>
      </c>
      <c r="E141" s="51"/>
      <c r="F141" s="51"/>
      <c r="G141" s="51">
        <v>1</v>
      </c>
      <c r="H141" s="51"/>
      <c r="I141" s="57">
        <f t="shared" ref="I141:I159" si="5">IF(A141&lt;&gt;0,(B141-(B140-D140))/(A141-A140),"")</f>
        <v>29.539999999999992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24</v>
      </c>
      <c r="B142" s="60">
        <v>289.16000000000003</v>
      </c>
      <c r="C142" s="50">
        <v>2</v>
      </c>
      <c r="D142" s="60">
        <v>51.39</v>
      </c>
      <c r="E142" s="51"/>
      <c r="F142" s="51">
        <v>1</v>
      </c>
      <c r="G142" s="51"/>
      <c r="H142" s="51"/>
      <c r="I142" s="57">
        <f t="shared" si="5"/>
        <v>26.926666666666673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410.69</v>
      </c>
      <c r="C143" s="50">
        <v>3</v>
      </c>
      <c r="D143" s="60">
        <v>80.97</v>
      </c>
      <c r="E143" s="51"/>
      <c r="F143" s="51">
        <v>1</v>
      </c>
      <c r="G143" s="51"/>
      <c r="H143" s="51"/>
      <c r="I143" s="57">
        <f t="shared" si="5"/>
        <v>28.819999999999993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36</v>
      </c>
      <c r="B144" s="60">
        <v>501.69</v>
      </c>
      <c r="C144" s="50">
        <v>4</v>
      </c>
      <c r="D144" s="60">
        <v>85.88</v>
      </c>
      <c r="E144" s="51">
        <v>1</v>
      </c>
      <c r="F144" s="51"/>
      <c r="G144" s="51"/>
      <c r="H144" s="51"/>
      <c r="I144" s="57">
        <f t="shared" si="5"/>
        <v>28.661666666666662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42</v>
      </c>
      <c r="B145" s="60">
        <v>584.37</v>
      </c>
      <c r="C145" s="50">
        <v>5</v>
      </c>
      <c r="D145" s="60">
        <v>91.25</v>
      </c>
      <c r="E145" s="51">
        <v>1</v>
      </c>
      <c r="F145" s="51"/>
      <c r="G145" s="51"/>
      <c r="H145" s="51"/>
      <c r="I145" s="57">
        <f t="shared" si="5"/>
        <v>28.093333333333334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48</v>
      </c>
      <c r="B146" s="60">
        <v>655.72</v>
      </c>
      <c r="C146" s="50">
        <v>6</v>
      </c>
      <c r="D146" s="60">
        <v>101.34</v>
      </c>
      <c r="E146" s="51">
        <v>1</v>
      </c>
      <c r="F146" s="51"/>
      <c r="G146" s="51"/>
      <c r="H146" s="51"/>
      <c r="I146" s="57">
        <f t="shared" si="5"/>
        <v>27.100000000000005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54</v>
      </c>
      <c r="B147" s="60">
        <v>708.61</v>
      </c>
      <c r="C147" s="50">
        <v>7</v>
      </c>
      <c r="D147" s="60">
        <v>707.75</v>
      </c>
      <c r="E147" s="51">
        <v>1</v>
      </c>
      <c r="F147" s="51"/>
      <c r="G147" s="51"/>
      <c r="H147" s="51"/>
      <c r="I147" s="57">
        <f>IF(A147&lt;&gt;0,(B147-(B146-D146))/(A147-A146),"")</f>
        <v>25.705000000000002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Cormier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30</v>
      </c>
      <c r="B166" s="60">
        <v>121.88461538461537</v>
      </c>
      <c r="C166" s="60"/>
      <c r="D166" s="60"/>
      <c r="E166" s="51"/>
      <c r="F166" s="51"/>
      <c r="G166" s="51"/>
      <c r="H166" s="51"/>
      <c r="I166" s="49">
        <f>IFERROR(B166/A166,"")</f>
        <v>4.0628205128205126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35</v>
      </c>
      <c r="B167" s="60">
        <v>201.29</v>
      </c>
      <c r="C167" s="60">
        <v>1</v>
      </c>
      <c r="D167" s="60">
        <v>69.58</v>
      </c>
      <c r="E167" s="51">
        <v>1</v>
      </c>
      <c r="F167" s="51"/>
      <c r="G167" s="51"/>
      <c r="H167" s="51"/>
      <c r="I167" s="49">
        <f t="shared" ref="I167:I185" si="6">IF(A167&lt;&gt;0,(B167-(B166-D166))/(A167-A166),"")</f>
        <v>15.881076923076924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41</v>
      </c>
      <c r="B168" s="60">
        <v>208.88</v>
      </c>
      <c r="C168" s="60">
        <v>2</v>
      </c>
      <c r="D168" s="60">
        <v>47.41</v>
      </c>
      <c r="E168" s="51">
        <v>1</v>
      </c>
      <c r="F168" s="51"/>
      <c r="G168" s="51"/>
      <c r="H168" s="51"/>
      <c r="I168" s="49">
        <f t="shared" si="6"/>
        <v>12.86166666666667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48</v>
      </c>
      <c r="B169" s="60">
        <v>252.89</v>
      </c>
      <c r="C169" s="60">
        <v>3</v>
      </c>
      <c r="D169" s="60">
        <v>61.12</v>
      </c>
      <c r="E169" s="51">
        <v>1</v>
      </c>
      <c r="F169" s="51"/>
      <c r="G169" s="51"/>
      <c r="H169" s="51"/>
      <c r="I169" s="49">
        <f t="shared" si="6"/>
        <v>13.059999999999999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55</v>
      </c>
      <c r="B170" s="60">
        <v>277.67</v>
      </c>
      <c r="C170" s="60">
        <v>4</v>
      </c>
      <c r="D170" s="60">
        <v>58.24</v>
      </c>
      <c r="E170" s="51">
        <v>1</v>
      </c>
      <c r="F170" s="51"/>
      <c r="G170" s="51"/>
      <c r="H170" s="51"/>
      <c r="I170" s="49">
        <f t="shared" si="6"/>
        <v>12.271428571428576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63</v>
      </c>
      <c r="B171" s="60">
        <v>312.58999999999997</v>
      </c>
      <c r="C171" s="60">
        <v>5</v>
      </c>
      <c r="D171" s="60">
        <v>54.21</v>
      </c>
      <c r="E171" s="51">
        <v>1</v>
      </c>
      <c r="F171" s="51"/>
      <c r="G171" s="51"/>
      <c r="H171" s="51"/>
      <c r="I171" s="49">
        <f t="shared" si="6"/>
        <v>11.644999999999996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71</v>
      </c>
      <c r="B172" s="60">
        <v>348.69</v>
      </c>
      <c r="C172" s="60">
        <v>6</v>
      </c>
      <c r="D172" s="60">
        <v>52.07</v>
      </c>
      <c r="E172" s="51">
        <v>1</v>
      </c>
      <c r="F172" s="51"/>
      <c r="G172" s="51"/>
      <c r="H172" s="51"/>
      <c r="I172" s="49">
        <f t="shared" si="6"/>
        <v>11.28875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80</v>
      </c>
      <c r="B173" s="50">
        <v>395.71</v>
      </c>
      <c r="C173" s="50">
        <v>7</v>
      </c>
      <c r="D173" s="50">
        <v>59.57</v>
      </c>
      <c r="E173" s="51">
        <v>1</v>
      </c>
      <c r="F173" s="51"/>
      <c r="G173" s="51"/>
      <c r="H173" s="51"/>
      <c r="I173" s="49">
        <f t="shared" si="6"/>
        <v>11.009999999999998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89</v>
      </c>
      <c r="B174" s="50">
        <v>429.83</v>
      </c>
      <c r="C174" s="50">
        <v>8</v>
      </c>
      <c r="D174" s="50">
        <v>64.5</v>
      </c>
      <c r="E174" s="51">
        <v>1</v>
      </c>
      <c r="F174" s="51"/>
      <c r="G174" s="51"/>
      <c r="H174" s="51"/>
      <c r="I174" s="49">
        <f t="shared" si="6"/>
        <v>10.41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99</v>
      </c>
      <c r="B175" s="50">
        <v>464.8</v>
      </c>
      <c r="C175" s="50">
        <v>9</v>
      </c>
      <c r="D175" s="50">
        <v>62.94</v>
      </c>
      <c r="E175" s="51">
        <v>1</v>
      </c>
      <c r="F175" s="51"/>
      <c r="G175" s="51"/>
      <c r="H175" s="51"/>
      <c r="I175" s="49">
        <f t="shared" si="6"/>
        <v>9.9470000000000027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109</v>
      </c>
      <c r="B176" s="50">
        <v>498.97</v>
      </c>
      <c r="C176" s="50">
        <v>10</v>
      </c>
      <c r="D176" s="50">
        <v>66.959999999999994</v>
      </c>
      <c r="E176" s="51">
        <v>1</v>
      </c>
      <c r="F176" s="51"/>
      <c r="G176" s="51"/>
      <c r="H176" s="51"/>
      <c r="I176" s="49">
        <f t="shared" si="6"/>
        <v>9.7110000000000021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119</v>
      </c>
      <c r="B177" s="50">
        <v>526.04</v>
      </c>
      <c r="C177" s="50">
        <v>11</v>
      </c>
      <c r="D177" s="50">
        <v>196.46</v>
      </c>
      <c r="E177" s="51">
        <v>1</v>
      </c>
      <c r="F177" s="51"/>
      <c r="G177" s="51"/>
      <c r="H177" s="51"/>
      <c r="I177" s="49">
        <f t="shared" si="6"/>
        <v>9.4029999999999916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123</v>
      </c>
      <c r="B178" s="50">
        <v>328.09</v>
      </c>
      <c r="C178" s="50">
        <v>12</v>
      </c>
      <c r="D178" s="50">
        <v>100.6</v>
      </c>
      <c r="E178" s="51">
        <v>1</v>
      </c>
      <c r="F178" s="51"/>
      <c r="G178" s="51"/>
      <c r="H178" s="51"/>
      <c r="I178" s="49">
        <f t="shared" si="6"/>
        <v>-0.37249999999998806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127</v>
      </c>
      <c r="B179" s="50">
        <v>228.28</v>
      </c>
      <c r="C179" s="50">
        <v>13</v>
      </c>
      <c r="D179" s="50">
        <v>65.02</v>
      </c>
      <c r="E179" s="51">
        <v>1</v>
      </c>
      <c r="F179" s="51"/>
      <c r="G179" s="51"/>
      <c r="H179" s="51"/>
      <c r="I179" s="49">
        <f t="shared" si="6"/>
        <v>0.19750000000000512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131</v>
      </c>
      <c r="B180" s="50">
        <v>163.65</v>
      </c>
      <c r="C180" s="50">
        <v>14</v>
      </c>
      <c r="D180" s="50">
        <v>143.84</v>
      </c>
      <c r="E180" s="51">
        <v>1</v>
      </c>
      <c r="F180" s="51"/>
      <c r="G180" s="51"/>
      <c r="H180" s="51"/>
      <c r="I180" s="49">
        <f t="shared" si="6"/>
        <v>9.7500000000003695E-2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Alisier torminal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30</v>
      </c>
      <c r="B192" s="60">
        <v>121.88461538461537</v>
      </c>
      <c r="C192" s="60"/>
      <c r="D192" s="60"/>
      <c r="E192" s="51"/>
      <c r="F192" s="51"/>
      <c r="G192" s="51"/>
      <c r="H192" s="51"/>
      <c r="I192" s="49">
        <f>IFERROR(B192/A192,"")</f>
        <v>4.0628205128205126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35</v>
      </c>
      <c r="B193" s="60">
        <v>201.29</v>
      </c>
      <c r="C193" s="60">
        <v>1</v>
      </c>
      <c r="D193" s="60">
        <v>69.58</v>
      </c>
      <c r="E193" s="51">
        <v>1</v>
      </c>
      <c r="F193" s="51"/>
      <c r="G193" s="51"/>
      <c r="H193" s="51"/>
      <c r="I193" s="49">
        <f t="shared" ref="I193:I211" si="7">IF(A193&lt;&gt;0,(B193-(B192-D192))/(A193-A192),"")</f>
        <v>15.881076923076924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41</v>
      </c>
      <c r="B194" s="60">
        <v>208.88</v>
      </c>
      <c r="C194" s="60">
        <v>2</v>
      </c>
      <c r="D194" s="60">
        <v>47.41</v>
      </c>
      <c r="E194" s="51">
        <v>1</v>
      </c>
      <c r="F194" s="51"/>
      <c r="G194" s="51"/>
      <c r="H194" s="51"/>
      <c r="I194" s="49">
        <f t="shared" si="7"/>
        <v>12.86166666666667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48</v>
      </c>
      <c r="B195" s="60">
        <v>252.89</v>
      </c>
      <c r="C195" s="60">
        <v>3</v>
      </c>
      <c r="D195" s="60">
        <v>61.12</v>
      </c>
      <c r="E195" s="51">
        <v>1</v>
      </c>
      <c r="F195" s="51"/>
      <c r="G195" s="51"/>
      <c r="H195" s="51"/>
      <c r="I195" s="49">
        <f t="shared" si="7"/>
        <v>13.059999999999999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55</v>
      </c>
      <c r="B196" s="60">
        <v>277.67</v>
      </c>
      <c r="C196" s="60">
        <v>4</v>
      </c>
      <c r="D196" s="60">
        <v>58.24</v>
      </c>
      <c r="E196" s="51">
        <v>1</v>
      </c>
      <c r="F196" s="51"/>
      <c r="G196" s="51"/>
      <c r="H196" s="51"/>
      <c r="I196" s="49">
        <f t="shared" si="7"/>
        <v>12.271428571428576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63</v>
      </c>
      <c r="B197" s="60">
        <v>312.58999999999997</v>
      </c>
      <c r="C197" s="60">
        <v>5</v>
      </c>
      <c r="D197" s="60">
        <v>54.21</v>
      </c>
      <c r="E197" s="51">
        <v>1</v>
      </c>
      <c r="F197" s="51"/>
      <c r="G197" s="51"/>
      <c r="H197" s="51"/>
      <c r="I197" s="49">
        <f t="shared" si="7"/>
        <v>11.644999999999996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71</v>
      </c>
      <c r="B198" s="60">
        <v>348.69</v>
      </c>
      <c r="C198" s="60">
        <v>6</v>
      </c>
      <c r="D198" s="60">
        <v>52.07</v>
      </c>
      <c r="E198" s="51">
        <v>1</v>
      </c>
      <c r="F198" s="51"/>
      <c r="G198" s="51"/>
      <c r="H198" s="51"/>
      <c r="I198" s="49">
        <f t="shared" si="7"/>
        <v>11.28875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80</v>
      </c>
      <c r="B199" s="50">
        <v>395.71</v>
      </c>
      <c r="C199" s="50">
        <v>7</v>
      </c>
      <c r="D199" s="50">
        <v>59.57</v>
      </c>
      <c r="E199" s="51">
        <v>1</v>
      </c>
      <c r="F199" s="51"/>
      <c r="G199" s="51"/>
      <c r="H199" s="51"/>
      <c r="I199" s="49">
        <f t="shared" si="7"/>
        <v>11.009999999999998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89</v>
      </c>
      <c r="B200" s="50">
        <v>429.83</v>
      </c>
      <c r="C200" s="50">
        <v>8</v>
      </c>
      <c r="D200" s="50">
        <v>64.5</v>
      </c>
      <c r="E200" s="51">
        <v>1</v>
      </c>
      <c r="F200" s="51"/>
      <c r="G200" s="51"/>
      <c r="H200" s="51"/>
      <c r="I200" s="49">
        <f t="shared" si="7"/>
        <v>10.41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99</v>
      </c>
      <c r="B201" s="50">
        <v>464.8</v>
      </c>
      <c r="C201" s="50">
        <v>9</v>
      </c>
      <c r="D201" s="50">
        <v>62.94</v>
      </c>
      <c r="E201" s="51">
        <v>1</v>
      </c>
      <c r="F201" s="51"/>
      <c r="G201" s="51"/>
      <c r="H201" s="51"/>
      <c r="I201" s="49">
        <f t="shared" si="7"/>
        <v>9.9470000000000027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109</v>
      </c>
      <c r="B202" s="50">
        <v>498.97</v>
      </c>
      <c r="C202" s="50">
        <v>10</v>
      </c>
      <c r="D202" s="50">
        <v>66.959999999999994</v>
      </c>
      <c r="E202" s="51">
        <v>1</v>
      </c>
      <c r="F202" s="51"/>
      <c r="G202" s="51"/>
      <c r="H202" s="51"/>
      <c r="I202" s="49">
        <f t="shared" si="7"/>
        <v>9.7110000000000021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119</v>
      </c>
      <c r="B203" s="50">
        <v>526.04</v>
      </c>
      <c r="C203" s="50">
        <v>11</v>
      </c>
      <c r="D203" s="50">
        <v>196.46</v>
      </c>
      <c r="E203" s="51">
        <v>1</v>
      </c>
      <c r="F203" s="51"/>
      <c r="G203" s="51"/>
      <c r="H203" s="51"/>
      <c r="I203" s="49">
        <f t="shared" si="7"/>
        <v>9.4029999999999916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123</v>
      </c>
      <c r="B204" s="50">
        <v>328.09</v>
      </c>
      <c r="C204" s="50">
        <v>12</v>
      </c>
      <c r="D204" s="50">
        <v>100.6</v>
      </c>
      <c r="E204" s="51">
        <v>1</v>
      </c>
      <c r="F204" s="51"/>
      <c r="G204" s="51"/>
      <c r="H204" s="51"/>
      <c r="I204" s="49">
        <f t="shared" si="7"/>
        <v>-0.37249999999998806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127</v>
      </c>
      <c r="B205" s="50">
        <v>228.28</v>
      </c>
      <c r="C205" s="50">
        <v>13</v>
      </c>
      <c r="D205" s="50">
        <v>65.02</v>
      </c>
      <c r="E205" s="51">
        <v>1</v>
      </c>
      <c r="F205" s="51"/>
      <c r="G205" s="51"/>
      <c r="H205" s="51"/>
      <c r="I205" s="49">
        <f t="shared" si="7"/>
        <v>0.19750000000000512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131</v>
      </c>
      <c r="B206" s="50">
        <v>163.65</v>
      </c>
      <c r="C206" s="50">
        <v>14</v>
      </c>
      <c r="D206" s="50">
        <v>143.84</v>
      </c>
      <c r="E206" s="51">
        <v>1</v>
      </c>
      <c r="F206" s="51"/>
      <c r="G206" s="51"/>
      <c r="H206" s="51"/>
      <c r="I206" s="49">
        <f t="shared" si="7"/>
        <v>9.7500000000003695E-2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phoneticPr fontId="35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Hêtre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pédonculé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Charme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Douglas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Cormier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Alisier torminal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567.42635821336114</v>
      </c>
      <c r="T3" s="59">
        <f>IF('Données projet'!E9&gt;30,$R$33-$H$33,LOOKUP('Données projet'!$E$9,$A$3:$A$203,R3:R203)-LOOKUP('Données projet'!$E$9,$A$3:$A$203,$H$3:$H$203))</f>
        <v>299.0473530693472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570.05585579662738</v>
      </c>
      <c r="AO3" s="59">
        <f>IF('Données projet'!E10&gt;30,$AM$33-$H$33,LOOKUP('Données projet'!$E$10,$A$3:$A$203,AM3:AM203)-LOOKUP('Données projet'!$E$10,$A$3:$A$203,$H$3:$H$203))</f>
        <v>331.25104323342907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458.88102603650725</v>
      </c>
      <c r="BJ3" s="59">
        <f>IF('Données projet'!E11&gt;30,$BH$33-$H$33,LOOKUP('Données projet'!$E$11,$A$3:$A$203,BH3:BH203)-LOOKUP('Données projet'!$E$11,$A$3:$A$203,$H$3:$H$203))</f>
        <v>277.79020316059552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592.58528888957346</v>
      </c>
      <c r="CE3" s="59">
        <f>IF('Données projet'!E12&gt;30,$CC$33-$H$33,LOOKUP('Données projet'!$E$12,$A$3:$A$203,CC3:CC203)-LOOKUP('Données projet'!$E$12,$A$3:$A$203,$H$3:$H$203))</f>
        <v>311.31528017256846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420.4890915162182</v>
      </c>
      <c r="CZ3" s="59">
        <f>IF('Données projet'!E13&gt;30,$CX$33-$H$33,LOOKUP('Données projet'!$E$13,$A$3:$A$203,CX3:CX203)-LOOKUP('Données projet'!$E$13,$A$3:$A$203,$H$3:$H$203))</f>
        <v>553.48432338023565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659.55755908012691</v>
      </c>
      <c r="DU3" s="59">
        <f>IF('Données projet'!E14&gt;30,$DS$33-$H$33,LOOKUP('Données projet'!$E$14,$A$3:$A$203,DS3:DS203)-LOOKUP('Données projet'!$E$14,$A$3:$A$203,$H$3:$H$203))</f>
        <v>343.96647464823627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600.96600099541388</v>
      </c>
      <c r="EP3" s="59">
        <f>IF('Données projet'!E15&gt;30,$EN$33-$H$33,LOOKUP('Données projet'!$E$15,$A$3:$A$203,EN3:EN203)-LOOKUP('Données projet'!$E$15,$A$3:$A$203,$H$3:$H$203))</f>
        <v>315.40159257508969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170.50829182017665</v>
      </c>
      <c r="S4" s="59">
        <f ca="1">AVERAGE(OFFSET($R$3,0,0,'Données projet'!$E$9+1,1))-AVERAGE(OFFSET($H$3,0,0,'Données projet'!$E$9+1,1))</f>
        <v>567.42635821336114</v>
      </c>
      <c r="T4" s="59">
        <f>$T$3</f>
        <v>299.0473530693472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1.2229519710813024</v>
      </c>
      <c r="AJ4" s="13">
        <f>AI4*VLOOKUP('Données projet'!$B$10,Paramètres!$A$1:$I$89,3,0)*VLOOKUP('Données projet'!$B$10,Paramètres!$A$1:$I$89,5,0)</f>
        <v>1.0492927911877574</v>
      </c>
      <c r="AK4" s="13">
        <f>EXP(-1.0587+0.8836*LN(AJ4)+0.284)</f>
        <v>0.48085748368030745</v>
      </c>
      <c r="AL4" s="20">
        <f t="shared" ref="AL4:AL67" si="4">(AJ4+AK4)*0.475*44/12</f>
        <v>2.6650117287285462</v>
      </c>
      <c r="AM4" s="59">
        <f t="shared" ref="AM4:AM67" si="5">AL4+(AD4+AE4)*44/12</f>
        <v>170.4774456816524</v>
      </c>
      <c r="AN4" s="59">
        <f ca="1">AVERAGE(OFFSET($AM$3,0,0,'Données projet'!$E$10+1,1))-AVERAGE(OFFSET($H$3,0,0,'Données projet'!$E$10+1,1))</f>
        <v>570.05585579662738</v>
      </c>
      <c r="AO4" s="59">
        <f>$AO$3</f>
        <v>331.25104323342907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3.9732905982905979</v>
      </c>
      <c r="BD4" s="12">
        <f>IF('Données projet'!$A$88&gt;35,BD3+BC4-BL3,IF(A4&lt;'Données projet'!$A$88,$BA$205^A4,IF(A4='Données projet'!$A$88,'Données projet'!$B$88,BD3+BC4-BL3)))</f>
        <v>1.1727597515473569</v>
      </c>
      <c r="BE4" s="13">
        <f>BD4*VLOOKUP('Données projet'!$B$11,Paramètres!$A$1:$I$89,3,0)*VLOOKUP('Données projet'!$B$11,Paramètres!$A$1:$I$89,5,0)</f>
        <v>0.98793281470349359</v>
      </c>
      <c r="BF4" s="13">
        <f>EXP(-1.0587+0.8836*LN(BE4)+0.284)</f>
        <v>0.45592478840438083</v>
      </c>
      <c r="BG4" s="20">
        <f t="shared" ref="BG4:BG67" si="7">(BE4+BF4)*0.475*44/12</f>
        <v>2.5147186587462147</v>
      </c>
      <c r="BH4" s="59">
        <f t="shared" ref="BH4:BH67" si="8">BG4+(AY4+AZ4)*44/12</f>
        <v>170.32715261167004</v>
      </c>
      <c r="BI4" s="59">
        <f ca="1">AVERAGE(OFFSET($BH$3,0,0,'Données projet'!$E$11+1,1))-AVERAGE(OFFSET($H$3,0,0,'Données projet'!$E$11+1,1))</f>
        <v>458.88102603650725</v>
      </c>
      <c r="BJ4" s="59">
        <f>$BJ$3</f>
        <v>277.79020316059552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4.0628205128205126</v>
      </c>
      <c r="BY4" s="12">
        <f>IF('Données projet'!$A$114&gt;35,BY3+BX4-CG3,IF(A4&lt;'Données projet'!$A$114,$BV$205^A4,IF(A4='Données projet'!$A$114,'Données projet'!$B$114,BY3+BX4-CG3)))</f>
        <v>1.1736311550444201</v>
      </c>
      <c r="BZ4" s="13">
        <f>BY4*VLOOKUP('Données projet'!$B$12,Paramètres!$A$1:$I$89,3,0)*VLOOKUP('Données projet'!$B$12,Paramètres!$A$1:$I$89,5,0)</f>
        <v>1.1168274071402702</v>
      </c>
      <c r="CA4" s="13">
        <f>EXP(-1.0587+0.8836*LN(BZ4)+0.284)</f>
        <v>0.50810392551502437</v>
      </c>
      <c r="CB4" s="20">
        <f t="shared" ref="CB4:CB67" si="10">(BZ4+CA4)*0.475*44/12</f>
        <v>2.8300887377079711</v>
      </c>
      <c r="CC4" s="59">
        <f t="shared" ref="CC4:CC67" si="11">CB4+(BT4+BU4)*44/12</f>
        <v>170.64252269063181</v>
      </c>
      <c r="CD4" s="59">
        <f ca="1">AVERAGE(OFFSET($CC$3,0,0,'Données projet'!$E$12+1,1))-AVERAGE(OFFSET($H$3,0,0,'Données projet'!$E$12+1,1))</f>
        <v>592.58528888957346</v>
      </c>
      <c r="CE4" s="59">
        <f>$CE$3</f>
        <v>311.31528017256846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10.169411764705883</v>
      </c>
      <c r="CT4" s="12">
        <f>IF('Données projet'!$A$140&gt;35,CT3+CS4-DB3,IF(A4&lt;'Données projet'!$A$140,$CQ$205^A4,IF(A4='Données projet'!$A$140,'Données projet'!$B$140,CT3+CS4-DB3)))</f>
        <v>1.3540417154604885</v>
      </c>
      <c r="CU4" s="17">
        <f>CT4*VLOOKUP('Données projet'!$B$13,Paramètres!$A$1:$I$89,3,0)*VLOOKUP('Données projet'!$B$13,Paramètres!$A$1:$I$89,5,0)</f>
        <v>0.75690931894241309</v>
      </c>
      <c r="CV4" s="13">
        <f>EXP(-1.0587+0.8836*LN(CU4)+0.284)</f>
        <v>0.36030908494947955</v>
      </c>
      <c r="CW4" s="20">
        <f t="shared" ref="CW4:CW67" si="13">(CU4+CV4)*0.475*44/12</f>
        <v>1.9458220534450461</v>
      </c>
      <c r="CX4" s="59">
        <f t="shared" ref="CX4:CX67" si="14">CW4+(CO4+CP4)*44/12</f>
        <v>169.7582560063689</v>
      </c>
      <c r="CY4" s="59">
        <f ca="1">AVERAGE(OFFSET($CX$3,0,0,'Données projet'!$E$13+1,1))-AVERAGE(OFFSET($H$3,0,0,'Données projet'!$E$13+1,1))</f>
        <v>420.4890915162182</v>
      </c>
      <c r="CZ4" s="59">
        <f>$CZ$3</f>
        <v>553.48432338023565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4.0628205128205126</v>
      </c>
      <c r="DO4" s="12">
        <f>IF('Données projet'!$A$166&gt;35,DO3+DN4-DW3,IF(A4&lt;'Données projet'!$A$166,$DL$205^A4,IF(A4='Données projet'!$A$166,'Données projet'!$B$166,DO3+DN4-DW3)))</f>
        <v>1.1736311550444201</v>
      </c>
      <c r="DP4" s="17">
        <f>DO4*VLOOKUP('Données projet'!$B$14,Paramètres!$A$1:$I$89,3,0)*VLOOKUP('Données projet'!$B$14,Paramètres!$A$1:$I$89,5,0)</f>
        <v>1.2632965752898135</v>
      </c>
      <c r="DQ4" s="13">
        <f>EXP(-1.0587+0.8836*LN(DP4)+0.284)</f>
        <v>0.56655511466244612</v>
      </c>
      <c r="DR4" s="20">
        <f t="shared" ref="DR4:DR67" si="16">(DP4+DQ4)*0.475*44/12</f>
        <v>3.1869916933335189</v>
      </c>
      <c r="DS4" s="59">
        <f t="shared" ref="DS4:DS67" si="17">DR4+(DJ4+DK4)*44/12</f>
        <v>170.99942564625735</v>
      </c>
      <c r="DT4" s="59">
        <f ca="1">AVERAGE(OFFSET($DS$3,0,0,'Données projet'!$E$14+1,1))-AVERAGE(OFFSET($H$3,0,0,'Données projet'!$E$14+1,1))</f>
        <v>659.55755908012691</v>
      </c>
      <c r="DU4" s="59">
        <f>$DU$3</f>
        <v>343.96647464823627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4.0628205128205126</v>
      </c>
      <c r="EJ4" s="12">
        <f>IF('Données projet'!$A$192&gt;35,EJ3+EI4-ER3,IF(A4&lt;'Données projet'!$A$192,$EG$205^A4,IF(A4='Données projet'!$A$192,'Données projet'!$B$192,EJ3+EI4-ER3)))</f>
        <v>1.1736311550444201</v>
      </c>
      <c r="EK4" s="17">
        <f>EJ4*VLOOKUP('Données projet'!$B$15,Paramètres!$A$1:$I$89,3,0)*VLOOKUP('Données projet'!$B$15,Paramètres!$A$1:$I$89,5,0)</f>
        <v>1.1351360531589632</v>
      </c>
      <c r="EL4" s="13">
        <f>EXP(-1.0587+0.8836*LN(EK4)+0.284)</f>
        <v>0.51545695611720688</v>
      </c>
      <c r="EM4" s="20">
        <f t="shared" ref="EM4:EM67" si="19">(EK4+EL4)*0.475*44/12</f>
        <v>2.8747828244893294</v>
      </c>
      <c r="EN4" s="59">
        <f t="shared" ref="EN4:EN67" si="20">EM4+(EE4+EF4)*44/12</f>
        <v>170.68721677741317</v>
      </c>
      <c r="EO4" s="59">
        <f ca="1">AVERAGE(OFFSET($EN$3,0,0,'Données projet'!$E$15+1,1))-AVERAGE(OFFSET($H$3,0,0,'Données projet'!$E$15+1,1))</f>
        <v>600.96600099541388</v>
      </c>
      <c r="EP4" s="59">
        <f>$EP$3</f>
        <v>315.40159257508969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173.74288373043026</v>
      </c>
      <c r="S5" s="59">
        <f ca="1">AVERAGE(OFFSET($R$3,0,0,'Données projet'!$E$9+1,1))-AVERAGE(OFFSET($H$3,0,0,'Données projet'!$E$9+1,1))</f>
        <v>567.42635821336114</v>
      </c>
      <c r="T5" s="59">
        <f t="shared" ref="T5:T68" si="34">$T$3</f>
        <v>299.0473530693472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1.4956115235716427</v>
      </c>
      <c r="AJ5" s="13">
        <f>AI5*VLOOKUP('Données projet'!$B$10,Paramètres!$A$1:$I$89,3,0)*VLOOKUP('Données projet'!$B$10,Paramètres!$A$1:$I$89,5,0)</f>
        <v>1.2832346872244698</v>
      </c>
      <c r="AK5" s="13">
        <f t="shared" ref="AK5:AK68" si="35">EXP(-1.0587+0.8836*LN(AJ5)+0.284)</f>
        <v>0.57444879990343678</v>
      </c>
      <c r="AL5" s="20">
        <f t="shared" si="4"/>
        <v>3.2354654067477706</v>
      </c>
      <c r="AM5" s="59">
        <f t="shared" si="5"/>
        <v>173.83274669424861</v>
      </c>
      <c r="AN5" s="59">
        <f ca="1">AVERAGE(OFFSET($AM$3,0,0,'Données projet'!$E$10+1,1))-AVERAGE(OFFSET($H$3,0,0,'Données projet'!$E$10+1,1))</f>
        <v>570.05585579662738</v>
      </c>
      <c r="AO5" s="59">
        <f t="shared" ref="AO5:AO68" si="36">$AO$3</f>
        <v>331.25104323342907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3.9732905982905979</v>
      </c>
      <c r="BD5" s="12">
        <f>IF('Données projet'!$A$88&gt;35,BD4+BC5-BL4,IF(A5&lt;'Données projet'!$A$88,$BA$205^A5,IF(A5='Données projet'!$A$88,'Données projet'!$B$88,BD4+BC5-BL4)))</f>
        <v>1.3753654348494182</v>
      </c>
      <c r="BE5" s="13">
        <f>BD5*VLOOKUP('Données projet'!$B$11,Paramètres!$A$1:$I$89,3,0)*VLOOKUP('Données projet'!$B$11,Paramètres!$A$1:$I$89,5,0)</f>
        <v>1.15860784231715</v>
      </c>
      <c r="BF5" s="13">
        <f t="shared" ref="BF5:BF68" si="37">EXP(-1.0587+0.8836*LN(BE5)+0.284)</f>
        <v>0.52486344214026859</v>
      </c>
      <c r="BG5" s="20">
        <f t="shared" si="7"/>
        <v>2.9320458204300039</v>
      </c>
      <c r="BH5" s="59">
        <f t="shared" si="8"/>
        <v>173.52932710793084</v>
      </c>
      <c r="BI5" s="59">
        <f ca="1">AVERAGE(OFFSET($BH$3,0,0,'Données projet'!$E$11+1,1))-AVERAGE(OFFSET($H$3,0,0,'Données projet'!$E$11+1,1))</f>
        <v>458.88102603650725</v>
      </c>
      <c r="BJ5" s="59">
        <f t="shared" ref="BJ5:BJ68" si="38">$BJ$3</f>
        <v>277.79020316059552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4.0628205128205126</v>
      </c>
      <c r="BY5" s="12">
        <f>IF('Données projet'!$A$114&gt;35,BY4+BX5-CG4,IF(A5&lt;'Données projet'!$A$114,$BV$205^A5,IF(A5='Données projet'!$A$114,'Données projet'!$B$114,BY4+BX5-CG4)))</f>
        <v>1.3774100880908995</v>
      </c>
      <c r="BZ5" s="13">
        <f>BY5*VLOOKUP('Données projet'!$B$12,Paramètres!$A$1:$I$89,3,0)*VLOOKUP('Données projet'!$B$12,Paramètres!$A$1:$I$89,5,0)</f>
        <v>1.3107434398272999</v>
      </c>
      <c r="CA5" s="13">
        <f t="shared" ref="CA5:CA68" si="39">EXP(-1.0587+0.8836*LN(BZ5)+0.284)</f>
        <v>0.58531640729586831</v>
      </c>
      <c r="CB5" s="20">
        <f t="shared" si="10"/>
        <v>3.3023042337395179</v>
      </c>
      <c r="CC5" s="59">
        <f t="shared" si="11"/>
        <v>173.89958552124034</v>
      </c>
      <c r="CD5" s="59">
        <f ca="1">AVERAGE(OFFSET($CC$3,0,0,'Données projet'!$E$12+1,1))-AVERAGE(OFFSET($H$3,0,0,'Données projet'!$E$12+1,1))</f>
        <v>592.58528888957346</v>
      </c>
      <c r="CE5" s="59">
        <f t="shared" ref="CE5:CE68" si="40">$CE$3</f>
        <v>311.31528017256846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10.169411764705883</v>
      </c>
      <c r="CT5" s="12">
        <f>IF('Données projet'!$A$140&gt;35,CT4+CS5-DB4,IF(A5&lt;'Données projet'!$A$140,$CQ$205^A5,IF(A5='Données projet'!$A$140,'Données projet'!$B$140,CT4+CS5-DB4)))</f>
        <v>1.8334289672071824</v>
      </c>
      <c r="CU5" s="17">
        <f>CT5*VLOOKUP('Données projet'!$B$13,Paramètres!$A$1:$I$89,3,0)*VLOOKUP('Données projet'!$B$13,Paramètres!$A$1:$I$89,5,0)</f>
        <v>1.024886792668815</v>
      </c>
      <c r="CV5" s="13">
        <f t="shared" ref="CV5:CV68" si="41">EXP(-1.0587+0.8836*LN(CU5)+0.284)</f>
        <v>0.47096137102098057</v>
      </c>
      <c r="CW5" s="20">
        <f t="shared" si="13"/>
        <v>2.6052688850930608</v>
      </c>
      <c r="CX5" s="59">
        <f t="shared" si="14"/>
        <v>173.2025501725939</v>
      </c>
      <c r="CY5" s="59">
        <f ca="1">AVERAGE(OFFSET($CX$3,0,0,'Données projet'!$E$13+1,1))-AVERAGE(OFFSET($H$3,0,0,'Données projet'!$E$13+1,1))</f>
        <v>420.4890915162182</v>
      </c>
      <c r="CZ5" s="59">
        <f t="shared" ref="CZ5:CZ68" si="42">$CZ$3</f>
        <v>553.48432338023565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4.0628205128205126</v>
      </c>
      <c r="DO5" s="12">
        <f>IF('Données projet'!$A$166&gt;35,DO4+DN5-DW4,IF(A5&lt;'Données projet'!$A$166,$DL$205^A5,IF(A5='Données projet'!$A$166,'Données projet'!$B$166,DO4+DN5-DW4)))</f>
        <v>1.3774100880908995</v>
      </c>
      <c r="DP5" s="17">
        <f>DO5*VLOOKUP('Données projet'!$B$14,Paramètres!$A$1:$I$89,3,0)*VLOOKUP('Données projet'!$B$14,Paramètres!$A$1:$I$89,5,0)</f>
        <v>1.482644218821044</v>
      </c>
      <c r="DQ5" s="13">
        <f t="shared" ref="DQ5:DQ68" si="43">EXP(-1.0587+0.8836*LN(DP5)+0.284)</f>
        <v>0.65264995524919645</v>
      </c>
      <c r="DR5" s="20">
        <f t="shared" si="16"/>
        <v>3.7189706865056689</v>
      </c>
      <c r="DS5" s="59">
        <f t="shared" si="17"/>
        <v>174.31625197400649</v>
      </c>
      <c r="DT5" s="59">
        <f ca="1">AVERAGE(OFFSET($DS$3,0,0,'Données projet'!$E$14+1,1))-AVERAGE(OFFSET($H$3,0,0,'Données projet'!$E$14+1,1))</f>
        <v>659.55755908012691</v>
      </c>
      <c r="DU5" s="59">
        <f t="shared" ref="DU5:DU68" si="44">$DU$3</f>
        <v>343.96647464823627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4.0628205128205126</v>
      </c>
      <c r="EJ5" s="12">
        <f>IF('Données projet'!$A$192&gt;35,EJ4+EI5-ER4,IF(A5&lt;'Données projet'!$A$192,$EG$205^A5,IF(A5='Données projet'!$A$192,'Données projet'!$B$192,EJ4+EI5-ER4)))</f>
        <v>1.3774100880908995</v>
      </c>
      <c r="EK5" s="17">
        <f>EJ5*VLOOKUP('Données projet'!$B$15,Paramètres!$A$1:$I$89,3,0)*VLOOKUP('Données projet'!$B$15,Paramètres!$A$1:$I$89,5,0)</f>
        <v>1.332231037201518</v>
      </c>
      <c r="EL5" s="13">
        <f t="shared" ref="EL5:EL68" si="45">EXP(-1.0587+0.8836*LN(EK5)+0.284)</f>
        <v>0.59378681903386776</v>
      </c>
      <c r="EM5" s="20">
        <f t="shared" si="19"/>
        <v>3.3544810996099632</v>
      </c>
      <c r="EN5" s="59">
        <f t="shared" si="20"/>
        <v>173.95176238711079</v>
      </c>
      <c r="EO5" s="59">
        <f ca="1">AVERAGE(OFFSET($EN$3,0,0,'Données projet'!$E$15+1,1))-AVERAGE(OFFSET($H$3,0,0,'Données projet'!$E$15+1,1))</f>
        <v>600.96600099541388</v>
      </c>
      <c r="EP5" s="59">
        <f t="shared" ref="EP5:EP68" si="46">$EP$3</f>
        <v>315.40159257508969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177.02567022419751</v>
      </c>
      <c r="S6" s="59">
        <f ca="1">AVERAGE(OFFSET($R$3,0,0,'Données projet'!$E$9+1,1))-AVERAGE(OFFSET($H$3,0,0,'Données projet'!$E$9+1,1))</f>
        <v>567.42635821336114</v>
      </c>
      <c r="T6" s="59">
        <f t="shared" si="34"/>
        <v>299.0473530693472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1.8290610607238502</v>
      </c>
      <c r="AJ6" s="13">
        <f>AI6*VLOOKUP('Données projet'!$B$10,Paramètres!$A$1:$I$89,3,0)*VLOOKUP('Données projet'!$B$10,Paramètres!$A$1:$I$89,5,0)</f>
        <v>1.5693343901010637</v>
      </c>
      <c r="AK6" s="13">
        <f t="shared" si="35"/>
        <v>0.68625618797666377</v>
      </c>
      <c r="AL6" s="20">
        <f t="shared" si="4"/>
        <v>3.9284869234853752</v>
      </c>
      <c r="AM6" s="59">
        <f t="shared" si="5"/>
        <v>177.28350749337025</v>
      </c>
      <c r="AN6" s="59">
        <f ca="1">AVERAGE(OFFSET($AM$3,0,0,'Données projet'!$E$10+1,1))-AVERAGE(OFFSET($H$3,0,0,'Données projet'!$E$10+1,1))</f>
        <v>570.05585579662738</v>
      </c>
      <c r="AO6" s="59">
        <f t="shared" si="36"/>
        <v>331.25104323342907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3.9732905982905979</v>
      </c>
      <c r="BD6" s="12">
        <f>IF('Données projet'!$A$88&gt;35,BD5+BC6-BL5,IF(A6&lt;'Données projet'!$A$88,$BA$205^A6,IF(A6='Données projet'!$A$88,'Données projet'!$B$88,BD5+BC6-BL5)))</f>
        <v>1.6129732256608262</v>
      </c>
      <c r="BE6" s="13">
        <f>BD6*VLOOKUP('Données projet'!$B$11,Paramètres!$A$1:$I$89,3,0)*VLOOKUP('Données projet'!$B$11,Paramètres!$A$1:$I$89,5,0)</f>
        <v>1.3587686452966801</v>
      </c>
      <c r="BF6" s="13">
        <f t="shared" si="37"/>
        <v>0.60422604758878284</v>
      </c>
      <c r="BG6" s="20">
        <f t="shared" si="7"/>
        <v>3.4188824234421809</v>
      </c>
      <c r="BH6" s="59">
        <f t="shared" si="8"/>
        <v>176.77390299332706</v>
      </c>
      <c r="BI6" s="59">
        <f ca="1">AVERAGE(OFFSET($BH$3,0,0,'Données projet'!$E$11+1,1))-AVERAGE(OFFSET($H$3,0,0,'Données projet'!$E$11+1,1))</f>
        <v>458.88102603650725</v>
      </c>
      <c r="BJ6" s="59">
        <f t="shared" si="38"/>
        <v>277.79020316059552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4.0628205128205126</v>
      </c>
      <c r="BY6" s="12">
        <f>IF('Données projet'!$A$114&gt;35,BY5+BX6-CG5,IF(A6&lt;'Données projet'!$A$114,$BV$205^A6,IF(A6='Données projet'!$A$114,'Données projet'!$B$114,BY5+BX6-CG5)))</f>
        <v>1.6165713926559588</v>
      </c>
      <c r="BZ6" s="13">
        <f>BY6*VLOOKUP('Données projet'!$B$12,Paramètres!$A$1:$I$89,3,0)*VLOOKUP('Données projet'!$B$12,Paramètres!$A$1:$I$89,5,0)</f>
        <v>1.5383293372514104</v>
      </c>
      <c r="CA6" s="13">
        <f t="shared" si="39"/>
        <v>0.67426225117722005</v>
      </c>
      <c r="CB6" s="20">
        <f t="shared" si="10"/>
        <v>3.8535970165131981</v>
      </c>
      <c r="CC6" s="59">
        <f t="shared" si="11"/>
        <v>177.20861758639808</v>
      </c>
      <c r="CD6" s="59">
        <f ca="1">AVERAGE(OFFSET($CC$3,0,0,'Données projet'!$E$12+1,1))-AVERAGE(OFFSET($H$3,0,0,'Données projet'!$E$12+1,1))</f>
        <v>592.58528888957346</v>
      </c>
      <c r="CE6" s="59">
        <f t="shared" si="40"/>
        <v>311.31528017256846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10.169411764705883</v>
      </c>
      <c r="CT6" s="12">
        <f>IF('Données projet'!$A$140&gt;35,CT5+CS6-DB5,IF(A6&lt;'Données projet'!$A$140,$CQ$205^A6,IF(A6='Données projet'!$A$140,'Données projet'!$B$140,CT5+CS6-DB5)))</f>
        <v>2.4825393039321648</v>
      </c>
      <c r="CU6" s="17">
        <f>CT6*VLOOKUP('Données projet'!$B$13,Paramètres!$A$1:$I$89,3,0)*VLOOKUP('Données projet'!$B$13,Paramètres!$A$1:$I$89,5,0)</f>
        <v>1.3877394708980801</v>
      </c>
      <c r="CV6" s="13">
        <f t="shared" si="41"/>
        <v>0.61559539367446658</v>
      </c>
      <c r="CW6" s="20">
        <f t="shared" si="13"/>
        <v>3.4891415557971848</v>
      </c>
      <c r="CX6" s="59">
        <f t="shared" si="14"/>
        <v>176.84416212568206</v>
      </c>
      <c r="CY6" s="59">
        <f ca="1">AVERAGE(OFFSET($CX$3,0,0,'Données projet'!$E$13+1,1))-AVERAGE(OFFSET($H$3,0,0,'Données projet'!$E$13+1,1))</f>
        <v>420.4890915162182</v>
      </c>
      <c r="CZ6" s="59">
        <f t="shared" si="42"/>
        <v>553.48432338023565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4.0628205128205126</v>
      </c>
      <c r="DO6" s="12">
        <f>IF('Données projet'!$A$166&gt;35,DO5+DN6-DW5,IF(A6&lt;'Données projet'!$A$166,$DL$205^A6,IF(A6='Données projet'!$A$166,'Données projet'!$B$166,DO5+DN6-DW5)))</f>
        <v>1.6165713926559588</v>
      </c>
      <c r="DP6" s="17">
        <f>DO6*VLOOKUP('Données projet'!$B$14,Paramètres!$A$1:$I$89,3,0)*VLOOKUP('Données projet'!$B$14,Paramètres!$A$1:$I$89,5,0)</f>
        <v>1.7400774470548741</v>
      </c>
      <c r="DQ6" s="13">
        <f t="shared" si="43"/>
        <v>0.75182793882385246</v>
      </c>
      <c r="DR6" s="20">
        <f t="shared" si="16"/>
        <v>4.3400685470721152</v>
      </c>
      <c r="DS6" s="59">
        <f t="shared" si="17"/>
        <v>177.69508911695701</v>
      </c>
      <c r="DT6" s="59">
        <f ca="1">AVERAGE(OFFSET($DS$3,0,0,'Données projet'!$E$14+1,1))-AVERAGE(OFFSET($H$3,0,0,'Données projet'!$E$14+1,1))</f>
        <v>659.55755908012691</v>
      </c>
      <c r="DU6" s="59">
        <f t="shared" si="44"/>
        <v>343.96647464823627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4.0628205128205126</v>
      </c>
      <c r="EJ6" s="12">
        <f>IF('Données projet'!$A$192&gt;35,EJ5+EI6-ER5,IF(A6&lt;'Données projet'!$A$192,$EG$205^A6,IF(A6='Données projet'!$A$192,'Données projet'!$B$192,EJ5+EI6-ER5)))</f>
        <v>1.6165713926559588</v>
      </c>
      <c r="EK6" s="17">
        <f>EJ6*VLOOKUP('Données projet'!$B$15,Paramètres!$A$1:$I$89,3,0)*VLOOKUP('Données projet'!$B$15,Paramètres!$A$1:$I$89,5,0)</f>
        <v>1.5635478509768437</v>
      </c>
      <c r="EL6" s="13">
        <f t="shared" si="45"/>
        <v>0.68401984350791745</v>
      </c>
      <c r="EM6" s="20">
        <f t="shared" si="19"/>
        <v>3.9145137345609591</v>
      </c>
      <c r="EN6" s="59">
        <f t="shared" si="20"/>
        <v>177.26953430444584</v>
      </c>
      <c r="EO6" s="59">
        <f ca="1">AVERAGE(OFFSET($EN$3,0,0,'Données projet'!$E$15+1,1))-AVERAGE(OFFSET($H$3,0,0,'Données projet'!$E$15+1,1))</f>
        <v>600.96600099541388</v>
      </c>
      <c r="EP6" s="59">
        <f t="shared" si="46"/>
        <v>315.40159257508969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180.36977292590507</v>
      </c>
      <c r="S7" s="59">
        <f ca="1">AVERAGE(OFFSET($R$3,0,0,'Données projet'!$E$9+1,1))-AVERAGE(OFFSET($H$3,0,0,'Données projet'!$E$9+1,1))</f>
        <v>567.42635821336114</v>
      </c>
      <c r="T7" s="59">
        <f t="shared" si="34"/>
        <v>299.0473530693472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2.2368538294402907</v>
      </c>
      <c r="AJ7" s="13">
        <f>AI7*VLOOKUP('Données projet'!$B$10,Paramètres!$A$1:$I$89,3,0)*VLOOKUP('Données projet'!$B$10,Paramètres!$A$1:$I$89,5,0)</f>
        <v>1.9192205856597695</v>
      </c>
      <c r="AK7" s="13">
        <f t="shared" si="35"/>
        <v>0.8198251186449117</v>
      </c>
      <c r="AL7" s="20">
        <f t="shared" si="4"/>
        <v>4.770504601663986</v>
      </c>
      <c r="AM7" s="59">
        <f t="shared" si="5"/>
        <v>180.85662666584093</v>
      </c>
      <c r="AN7" s="59">
        <f ca="1">AVERAGE(OFFSET($AM$3,0,0,'Données projet'!$E$10+1,1))-AVERAGE(OFFSET($H$3,0,0,'Données projet'!$E$10+1,1))</f>
        <v>570.05585579662738</v>
      </c>
      <c r="AO7" s="59">
        <f t="shared" si="36"/>
        <v>331.25104323342907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3.9732905982905979</v>
      </c>
      <c r="BD7" s="12">
        <f>IF('Données projet'!$A$88&gt;35,BD6+BC7-BL6,IF(A7&lt;'Données projet'!$A$88,$BA$205^A7,IF(A7='Données projet'!$A$88,'Données projet'!$B$88,BD6+BC7-BL6)))</f>
        <v>1.8916300793785292</v>
      </c>
      <c r="BE7" s="13">
        <f>BD7*VLOOKUP('Données projet'!$B$11,Paramètres!$A$1:$I$89,3,0)*VLOOKUP('Données projet'!$B$11,Paramètres!$A$1:$I$89,5,0)</f>
        <v>1.5935091788684732</v>
      </c>
      <c r="BF7" s="13">
        <f t="shared" si="37"/>
        <v>0.69558877085440585</v>
      </c>
      <c r="BG7" s="20">
        <f t="shared" si="7"/>
        <v>3.9868455957673476</v>
      </c>
      <c r="BH7" s="59">
        <f t="shared" si="8"/>
        <v>180.07296765994428</v>
      </c>
      <c r="BI7" s="59">
        <f ca="1">AVERAGE(OFFSET($BH$3,0,0,'Données projet'!$E$11+1,1))-AVERAGE(OFFSET($H$3,0,0,'Données projet'!$E$11+1,1))</f>
        <v>458.88102603650725</v>
      </c>
      <c r="BJ7" s="59">
        <f t="shared" si="38"/>
        <v>277.79020316059552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4.0628205128205126</v>
      </c>
      <c r="BY7" s="12">
        <f>IF('Données projet'!$A$114&gt;35,BY6+BX7-CG6,IF(A7&lt;'Données projet'!$A$114,$BV$205^A7,IF(A7='Données projet'!$A$114,'Données projet'!$B$114,BY6+BX7-CG6)))</f>
        <v>1.8972585507745794</v>
      </c>
      <c r="BZ7" s="13">
        <f>BY7*VLOOKUP('Données projet'!$B$12,Paramètres!$A$1:$I$89,3,0)*VLOOKUP('Données projet'!$B$12,Paramètres!$A$1:$I$89,5,0)</f>
        <v>1.80543123691709</v>
      </c>
      <c r="CA7" s="13">
        <f t="shared" si="39"/>
        <v>0.77672448217014423</v>
      </c>
      <c r="CB7" s="20">
        <f t="shared" si="10"/>
        <v>4.4972545440769327</v>
      </c>
      <c r="CC7" s="59">
        <f t="shared" si="11"/>
        <v>180.58337660825387</v>
      </c>
      <c r="CD7" s="59">
        <f ca="1">AVERAGE(OFFSET($CC$3,0,0,'Données projet'!$E$12+1,1))-AVERAGE(OFFSET($H$3,0,0,'Données projet'!$E$12+1,1))</f>
        <v>592.58528888957346</v>
      </c>
      <c r="CE7" s="59">
        <f t="shared" si="40"/>
        <v>311.31528017256846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10.169411764705883</v>
      </c>
      <c r="CT7" s="12">
        <f>IF('Données projet'!$A$140&gt;35,CT6+CS7-DB6,IF(A7&lt;'Données projet'!$A$140,$CQ$205^A7,IF(A7='Données projet'!$A$140,'Données projet'!$B$140,CT6+CS7-DB6)))</f>
        <v>3.3614617777943954</v>
      </c>
      <c r="CU7" s="17">
        <f>CT7*VLOOKUP('Données projet'!$B$13,Paramètres!$A$1:$I$89,3,0)*VLOOKUP('Données projet'!$B$13,Paramètres!$A$1:$I$89,5,0)</f>
        <v>1.8790571337870672</v>
      </c>
      <c r="CV7" s="13">
        <f t="shared" si="41"/>
        <v>0.80464707305334315</v>
      </c>
      <c r="CW7" s="20">
        <f t="shared" si="13"/>
        <v>4.6741181602470476</v>
      </c>
      <c r="CX7" s="59">
        <f t="shared" si="14"/>
        <v>180.760240224424</v>
      </c>
      <c r="CY7" s="59">
        <f ca="1">AVERAGE(OFFSET($CX$3,0,0,'Données projet'!$E$13+1,1))-AVERAGE(OFFSET($H$3,0,0,'Données projet'!$E$13+1,1))</f>
        <v>420.4890915162182</v>
      </c>
      <c r="CZ7" s="59">
        <f t="shared" si="42"/>
        <v>553.48432338023565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4.0628205128205126</v>
      </c>
      <c r="DO7" s="12">
        <f>IF('Données projet'!$A$166&gt;35,DO6+DN7-DW6,IF(A7&lt;'Données projet'!$A$166,$DL$205^A7,IF(A7='Données projet'!$A$166,'Données projet'!$B$166,DO6+DN7-DW6)))</f>
        <v>1.8972585507745794</v>
      </c>
      <c r="DP7" s="17">
        <f>DO7*VLOOKUP('Données projet'!$B$14,Paramètres!$A$1:$I$89,3,0)*VLOOKUP('Données projet'!$B$14,Paramètres!$A$1:$I$89,5,0)</f>
        <v>2.0422091040537573</v>
      </c>
      <c r="DQ7" s="13">
        <f t="shared" si="43"/>
        <v>0.86607720578223124</v>
      </c>
      <c r="DR7" s="20">
        <f t="shared" si="16"/>
        <v>5.0652653229643461</v>
      </c>
      <c r="DS7" s="59">
        <f t="shared" si="17"/>
        <v>181.15138738714128</v>
      </c>
      <c r="DT7" s="59">
        <f ca="1">AVERAGE(OFFSET($DS$3,0,0,'Données projet'!$E$14+1,1))-AVERAGE(OFFSET($H$3,0,0,'Données projet'!$E$14+1,1))</f>
        <v>659.55755908012691</v>
      </c>
      <c r="DU7" s="59">
        <f t="shared" si="44"/>
        <v>343.96647464823627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4.0628205128205126</v>
      </c>
      <c r="EJ7" s="12">
        <f>IF('Données projet'!$A$192&gt;35,EJ6+EI7-ER6,IF(A7&lt;'Données projet'!$A$192,$EG$205^A7,IF(A7='Données projet'!$A$192,'Données projet'!$B$192,EJ6+EI7-ER6)))</f>
        <v>1.8972585507745794</v>
      </c>
      <c r="EK7" s="17">
        <f>EJ7*VLOOKUP('Données projet'!$B$15,Paramètres!$A$1:$I$89,3,0)*VLOOKUP('Données projet'!$B$15,Paramètres!$A$1:$I$89,5,0)</f>
        <v>1.835028470309173</v>
      </c>
      <c r="EL7" s="13">
        <f t="shared" si="45"/>
        <v>0.78796485761316459</v>
      </c>
      <c r="EM7" s="20">
        <f t="shared" si="19"/>
        <v>4.5683800461314039</v>
      </c>
      <c r="EN7" s="59">
        <f t="shared" si="20"/>
        <v>180.65450211030836</v>
      </c>
      <c r="EO7" s="59">
        <f ca="1">AVERAGE(OFFSET($EN$3,0,0,'Données projet'!$E$15+1,1))-AVERAGE(OFFSET($H$3,0,0,'Données projet'!$E$15+1,1))</f>
        <v>600.96600099541388</v>
      </c>
      <c r="EP7" s="59">
        <f t="shared" si="46"/>
        <v>315.40159257508969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183.7904376128148</v>
      </c>
      <c r="S8" s="59">
        <f ca="1">AVERAGE(OFFSET($R$3,0,0,'Données projet'!$E$9+1,1))-AVERAGE(OFFSET($H$3,0,0,'Données projet'!$E$9+1,1))</f>
        <v>567.42635821336114</v>
      </c>
      <c r="T8" s="59">
        <f t="shared" si="34"/>
        <v>299.0473530693472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2.735564799734763</v>
      </c>
      <c r="AJ8" s="13">
        <f>AI8*VLOOKUP('Données projet'!$B$10,Paramètres!$A$1:$I$89,3,0)*VLOOKUP('Données projet'!$B$10,Paramètres!$A$1:$I$89,5,0)</f>
        <v>2.3471145981724271</v>
      </c>
      <c r="AK8" s="13">
        <f t="shared" si="35"/>
        <v>0.97939113254888255</v>
      </c>
      <c r="AL8" s="20">
        <f t="shared" si="4"/>
        <v>5.7936641476729482</v>
      </c>
      <c r="AM8" s="59">
        <f t="shared" si="5"/>
        <v>184.58471202412031</v>
      </c>
      <c r="AN8" s="59">
        <f ca="1">AVERAGE(OFFSET($AM$3,0,0,'Données projet'!$E$10+1,1))-AVERAGE(OFFSET($H$3,0,0,'Données projet'!$E$10+1,1))</f>
        <v>570.05585579662738</v>
      </c>
      <c r="AO8" s="59">
        <f t="shared" si="36"/>
        <v>331.25104323342907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3.9732905982905979</v>
      </c>
      <c r="BD8" s="12">
        <f>IF('Données projet'!$A$88&gt;35,BD7+BC8-BL7,IF(A8&lt;'Données projet'!$A$88,$BA$205^A8,IF(A8='Données projet'!$A$88,'Données projet'!$B$88,BD7+BC8-BL7)))</f>
        <v>2.2184276219114709</v>
      </c>
      <c r="BE8" s="13">
        <f>BD8*VLOOKUP('Données projet'!$B$11,Paramètres!$A$1:$I$89,3,0)*VLOOKUP('Données projet'!$B$11,Paramètres!$A$1:$I$89,5,0)</f>
        <v>1.8688034286982234</v>
      </c>
      <c r="BF8" s="13">
        <f t="shared" si="37"/>
        <v>0.80076610412537519</v>
      </c>
      <c r="BG8" s="20">
        <f t="shared" si="7"/>
        <v>4.6495002696677679</v>
      </c>
      <c r="BH8" s="59">
        <f t="shared" si="8"/>
        <v>183.44054814611511</v>
      </c>
      <c r="BI8" s="59">
        <f ca="1">AVERAGE(OFFSET($BH$3,0,0,'Données projet'!$E$11+1,1))-AVERAGE(OFFSET($H$3,0,0,'Données projet'!$E$11+1,1))</f>
        <v>458.88102603650725</v>
      </c>
      <c r="BJ8" s="59">
        <f t="shared" si="38"/>
        <v>277.79020316059552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4.0628205128205126</v>
      </c>
      <c r="BY8" s="12">
        <f>IF('Données projet'!$A$114&gt;35,BY7+BX8-CG7,IF(A8&lt;'Données projet'!$A$114,$BV$205^A8,IF(A8='Données projet'!$A$114,'Données projet'!$B$114,BY7+BX8-CG7)))</f>
        <v>2.2266817443634719</v>
      </c>
      <c r="BZ8" s="13">
        <f>BY8*VLOOKUP('Données projet'!$B$12,Paramètres!$A$1:$I$89,3,0)*VLOOKUP('Données projet'!$B$12,Paramètres!$A$1:$I$89,5,0)</f>
        <v>2.1189103479362799</v>
      </c>
      <c r="CA8" s="13">
        <f t="shared" si="39"/>
        <v>0.89475707730805443</v>
      </c>
      <c r="CB8" s="20">
        <f t="shared" si="10"/>
        <v>5.2488040989672156</v>
      </c>
      <c r="CC8" s="59">
        <f t="shared" si="11"/>
        <v>184.03985197541456</v>
      </c>
      <c r="CD8" s="59">
        <f ca="1">AVERAGE(OFFSET($CC$3,0,0,'Données projet'!$E$12+1,1))-AVERAGE(OFFSET($H$3,0,0,'Données projet'!$E$12+1,1))</f>
        <v>592.58528888957346</v>
      </c>
      <c r="CE8" s="59">
        <f t="shared" si="40"/>
        <v>311.31528017256846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10.169411764705883</v>
      </c>
      <c r="CT8" s="12">
        <f>IF('Données projet'!$A$140&gt;35,CT7+CS8-DB7,IF(A8&lt;'Données projet'!$A$140,$CQ$205^A8,IF(A8='Données projet'!$A$140,'Données projet'!$B$140,CT7+CS8-DB7)))</f>
        <v>4.5515594720595862</v>
      </c>
      <c r="CU8" s="17">
        <f>CT8*VLOOKUP('Données projet'!$B$13,Paramètres!$A$1:$I$89,3,0)*VLOOKUP('Données projet'!$B$13,Paramètres!$A$1:$I$89,5,0)</f>
        <v>2.5443217448813087</v>
      </c>
      <c r="CV8" s="13">
        <f t="shared" si="41"/>
        <v>1.051757239944024</v>
      </c>
      <c r="CW8" s="20">
        <f t="shared" si="13"/>
        <v>6.2631708985707881</v>
      </c>
      <c r="CX8" s="59">
        <f t="shared" si="14"/>
        <v>185.05421877501814</v>
      </c>
      <c r="CY8" s="59">
        <f ca="1">AVERAGE(OFFSET($CX$3,0,0,'Données projet'!$E$13+1,1))-AVERAGE(OFFSET($H$3,0,0,'Données projet'!$E$13+1,1))</f>
        <v>420.4890915162182</v>
      </c>
      <c r="CZ8" s="59">
        <f t="shared" si="42"/>
        <v>553.48432338023565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4.0628205128205126</v>
      </c>
      <c r="DO8" s="12">
        <f>IF('Données projet'!$A$166&gt;35,DO7+DN8-DW7,IF(A8&lt;'Données projet'!$A$166,$DL$205^A8,IF(A8='Données projet'!$A$166,'Données projet'!$B$166,DO7+DN8-DW7)))</f>
        <v>2.2266817443634719</v>
      </c>
      <c r="DP8" s="17">
        <f>DO8*VLOOKUP('Données projet'!$B$14,Paramètres!$A$1:$I$89,3,0)*VLOOKUP('Données projet'!$B$14,Paramètres!$A$1:$I$89,5,0)</f>
        <v>2.396800229632841</v>
      </c>
      <c r="DQ8" s="13">
        <f t="shared" si="43"/>
        <v>0.99768801828379172</v>
      </c>
      <c r="DR8" s="20">
        <f t="shared" si="16"/>
        <v>5.9120670317881361</v>
      </c>
      <c r="DS8" s="59">
        <f t="shared" si="17"/>
        <v>184.70311490823548</v>
      </c>
      <c r="DT8" s="59">
        <f ca="1">AVERAGE(OFFSET($DS$3,0,0,'Données projet'!$E$14+1,1))-AVERAGE(OFFSET($H$3,0,0,'Données projet'!$E$14+1,1))</f>
        <v>659.55755908012691</v>
      </c>
      <c r="DU8" s="59">
        <f t="shared" si="44"/>
        <v>343.96647464823627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4.0628205128205126</v>
      </c>
      <c r="EJ8" s="12">
        <f>IF('Données projet'!$A$192&gt;35,EJ7+EI8-ER7,IF(A8&lt;'Données projet'!$A$192,$EG$205^A8,IF(A8='Données projet'!$A$192,'Données projet'!$B$192,EJ7+EI8-ER7)))</f>
        <v>2.2266817443634719</v>
      </c>
      <c r="EK8" s="17">
        <f>EJ8*VLOOKUP('Données projet'!$B$15,Paramètres!$A$1:$I$89,3,0)*VLOOKUP('Données projet'!$B$15,Paramètres!$A$1:$I$89,5,0)</f>
        <v>2.1536465831483502</v>
      </c>
      <c r="EL8" s="13">
        <f t="shared" si="45"/>
        <v>0.90770556253043633</v>
      </c>
      <c r="EM8" s="20">
        <f t="shared" si="19"/>
        <v>5.3318549870572198</v>
      </c>
      <c r="EN8" s="59">
        <f t="shared" si="20"/>
        <v>184.12290286350458</v>
      </c>
      <c r="EO8" s="59">
        <f ca="1">AVERAGE(OFFSET($EN$3,0,0,'Données projet'!$E$15+1,1))-AVERAGE(OFFSET($H$3,0,0,'Données projet'!$E$15+1,1))</f>
        <v>600.96600099541388</v>
      </c>
      <c r="EP8" s="59">
        <f t="shared" si="46"/>
        <v>315.40159257508969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187.30539481195709</v>
      </c>
      <c r="S9" s="59">
        <f ca="1">AVERAGE(OFFSET($R$3,0,0,'Données projet'!$E$9+1,1))-AVERAGE(OFFSET($H$3,0,0,'Données projet'!$E$9+1,1))</f>
        <v>567.42635821336114</v>
      </c>
      <c r="T9" s="59">
        <f t="shared" si="34"/>
        <v>299.0473530693472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3.3454643638562565</v>
      </c>
      <c r="AJ9" s="13">
        <f>AI9*VLOOKUP('Données projet'!$B$10,Paramètres!$A$1:$I$89,3,0)*VLOOKUP('Données projet'!$B$10,Paramètres!$A$1:$I$89,5,0)</f>
        <v>2.8704084241886685</v>
      </c>
      <c r="AK9" s="13">
        <f t="shared" si="35"/>
        <v>1.170014151433729</v>
      </c>
      <c r="AL9" s="20">
        <f t="shared" si="4"/>
        <v>7.0370693192090075</v>
      </c>
      <c r="AM9" s="59">
        <f t="shared" si="5"/>
        <v>188.50732141546797</v>
      </c>
      <c r="AN9" s="59">
        <f ca="1">AVERAGE(OFFSET($AM$3,0,0,'Données projet'!$E$10+1,1))-AVERAGE(OFFSET($H$3,0,0,'Données projet'!$E$10+1,1))</f>
        <v>570.05585579662738</v>
      </c>
      <c r="AO9" s="59">
        <f t="shared" si="36"/>
        <v>331.25104323342907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3.9732905982905979</v>
      </c>
      <c r="BD9" s="12">
        <f>IF('Données projet'!$A$88&gt;35,BD8+BC9-BL8,IF(A9&lt;'Données projet'!$A$88,$BA$205^A9,IF(A9='Données projet'!$A$88,'Données projet'!$B$88,BD8+BC9-BL8)))</f>
        <v>2.6016826266986901</v>
      </c>
      <c r="BE9" s="13">
        <f>BD9*VLOOKUP('Données projet'!$B$11,Paramètres!$A$1:$I$89,3,0)*VLOOKUP('Données projet'!$B$11,Paramètres!$A$1:$I$89,5,0)</f>
        <v>2.1916574447309767</v>
      </c>
      <c r="BF9" s="13">
        <f t="shared" si="37"/>
        <v>0.92184690205464315</v>
      </c>
      <c r="BG9" s="20">
        <f t="shared" si="7"/>
        <v>5.422686737318287</v>
      </c>
      <c r="BH9" s="59">
        <f t="shared" si="8"/>
        <v>186.89293883357726</v>
      </c>
      <c r="BI9" s="59">
        <f ca="1">AVERAGE(OFFSET($BH$3,0,0,'Données projet'!$E$11+1,1))-AVERAGE(OFFSET($H$3,0,0,'Données projet'!$E$11+1,1))</f>
        <v>458.88102603650725</v>
      </c>
      <c r="BJ9" s="59">
        <f t="shared" si="38"/>
        <v>277.79020316059552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4.0628205128205126</v>
      </c>
      <c r="BY9" s="12">
        <f>IF('Données projet'!$A$114&gt;35,BY8+BX9-CG8,IF(A9&lt;'Données projet'!$A$114,$BV$205^A9,IF(A9='Données projet'!$A$114,'Données projet'!$B$114,BY8+BX9-CG8)))</f>
        <v>2.6133030675536255</v>
      </c>
      <c r="BZ9" s="13">
        <f>BY9*VLOOKUP('Données projet'!$B$12,Paramètres!$A$1:$I$89,3,0)*VLOOKUP('Données projet'!$B$12,Paramètres!$A$1:$I$89,5,0)</f>
        <v>2.4868191990840303</v>
      </c>
      <c r="CA9" s="13">
        <f t="shared" si="39"/>
        <v>1.030726140054228</v>
      </c>
      <c r="CB9" s="20">
        <f t="shared" si="10"/>
        <v>6.1263914656658001</v>
      </c>
      <c r="CC9" s="59">
        <f t="shared" si="11"/>
        <v>187.59664356192476</v>
      </c>
      <c r="CD9" s="59">
        <f ca="1">AVERAGE(OFFSET($CC$3,0,0,'Données projet'!$E$12+1,1))-AVERAGE(OFFSET($H$3,0,0,'Données projet'!$E$12+1,1))</f>
        <v>592.58528888957346</v>
      </c>
      <c r="CE9" s="59">
        <f t="shared" si="40"/>
        <v>311.31528017256846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10.169411764705883</v>
      </c>
      <c r="CT9" s="12">
        <f>IF('Données projet'!$A$140&gt;35,CT8+CS9-DB8,IF(A9&lt;'Données projet'!$A$140,$CQ$205^A9,IF(A9='Données projet'!$A$140,'Données projet'!$B$140,CT8+CS9-DB8)))</f>
        <v>6.1630013955679974</v>
      </c>
      <c r="CU9" s="17">
        <f>CT9*VLOOKUP('Données projet'!$B$13,Paramètres!$A$1:$I$89,3,0)*VLOOKUP('Données projet'!$B$13,Paramètres!$A$1:$I$89,5,0)</f>
        <v>3.4451177801225104</v>
      </c>
      <c r="CV9" s="13">
        <f t="shared" si="41"/>
        <v>1.3747558759855676</v>
      </c>
      <c r="CW9" s="20">
        <f t="shared" si="13"/>
        <v>8.3946132843882353</v>
      </c>
      <c r="CX9" s="59">
        <f t="shared" si="14"/>
        <v>189.86486538064722</v>
      </c>
      <c r="CY9" s="59">
        <f ca="1">AVERAGE(OFFSET($CX$3,0,0,'Données projet'!$E$13+1,1))-AVERAGE(OFFSET($H$3,0,0,'Données projet'!$E$13+1,1))</f>
        <v>420.4890915162182</v>
      </c>
      <c r="CZ9" s="59">
        <f t="shared" si="42"/>
        <v>553.48432338023565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4.0628205128205126</v>
      </c>
      <c r="DO9" s="12">
        <f>IF('Données projet'!$A$166&gt;35,DO8+DN9-DW8,IF(A9&lt;'Données projet'!$A$166,$DL$205^A9,IF(A9='Données projet'!$A$166,'Données projet'!$B$166,DO8+DN9-DW8)))</f>
        <v>2.6133030675536255</v>
      </c>
      <c r="DP9" s="17">
        <f>DO9*VLOOKUP('Données projet'!$B$14,Paramètres!$A$1:$I$89,3,0)*VLOOKUP('Données projet'!$B$14,Paramètres!$A$1:$I$89,5,0)</f>
        <v>2.8129594219147225</v>
      </c>
      <c r="DQ9" s="13">
        <f t="shared" si="43"/>
        <v>1.14929867127495</v>
      </c>
      <c r="DR9" s="20">
        <f t="shared" si="16"/>
        <v>6.9009328456386783</v>
      </c>
      <c r="DS9" s="59">
        <f t="shared" si="17"/>
        <v>188.37118494189764</v>
      </c>
      <c r="DT9" s="59">
        <f ca="1">AVERAGE(OFFSET($DS$3,0,0,'Données projet'!$E$14+1,1))-AVERAGE(OFFSET($H$3,0,0,'Données projet'!$E$14+1,1))</f>
        <v>659.55755908012691</v>
      </c>
      <c r="DU9" s="59">
        <f t="shared" si="44"/>
        <v>343.96647464823627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4.0628205128205126</v>
      </c>
      <c r="EJ9" s="12">
        <f>IF('Données projet'!$A$192&gt;35,EJ8+EI9-ER8,IF(A9&lt;'Données projet'!$A$192,$EG$205^A9,IF(A9='Données projet'!$A$192,'Données projet'!$B$192,EJ8+EI9-ER8)))</f>
        <v>2.6133030675536255</v>
      </c>
      <c r="EK9" s="17">
        <f>EJ9*VLOOKUP('Données projet'!$B$15,Paramètres!$A$1:$I$89,3,0)*VLOOKUP('Données projet'!$B$15,Paramètres!$A$1:$I$89,5,0)</f>
        <v>2.5275867269378667</v>
      </c>
      <c r="EL9" s="13">
        <f t="shared" si="45"/>
        <v>1.0456423028109039</v>
      </c>
      <c r="EM9" s="20">
        <f t="shared" si="19"/>
        <v>6.223373893479109</v>
      </c>
      <c r="EN9" s="59">
        <f t="shared" si="20"/>
        <v>187.69362598973808</v>
      </c>
      <c r="EO9" s="59">
        <f ca="1">AVERAGE(OFFSET($EN$3,0,0,'Données projet'!$E$15+1,1))-AVERAGE(OFFSET($H$3,0,0,'Données projet'!$E$15+1,1))</f>
        <v>600.96600099541388</v>
      </c>
      <c r="EP9" s="59">
        <f t="shared" si="46"/>
        <v>315.40159257508969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190.93528149468236</v>
      </c>
      <c r="S10" s="59">
        <f ca="1">AVERAGE(OFFSET($R$3,0,0,'Données projet'!$E$9+1,1))-AVERAGE(OFFSET($H$3,0,0,'Données projet'!$E$9+1,1))</f>
        <v>567.42635821336114</v>
      </c>
      <c r="T10" s="59">
        <f t="shared" si="34"/>
        <v>299.0473530693472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4.091342237960264</v>
      </c>
      <c r="AJ10" s="13">
        <f>AI10*VLOOKUP('Données projet'!$B$10,Paramètres!$A$1:$I$89,3,0)*VLOOKUP('Données projet'!$B$10,Paramètres!$A$1:$I$89,5,0)</f>
        <v>3.510371640169907</v>
      </c>
      <c r="AK10" s="13">
        <f t="shared" si="35"/>
        <v>1.3977389309136552</v>
      </c>
      <c r="AL10" s="20">
        <f t="shared" si="4"/>
        <v>8.5482925779705372</v>
      </c>
      <c r="AM10" s="59">
        <f t="shared" si="5"/>
        <v>192.67247351370676</v>
      </c>
      <c r="AN10" s="59">
        <f ca="1">AVERAGE(OFFSET($AM$3,0,0,'Données projet'!$E$10+1,1))-AVERAGE(OFFSET($H$3,0,0,'Données projet'!$E$10+1,1))</f>
        <v>570.05585579662738</v>
      </c>
      <c r="AO10" s="59">
        <f t="shared" si="36"/>
        <v>331.25104323342907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3.9732905982905979</v>
      </c>
      <c r="BD10" s="12">
        <f>IF('Données projet'!$A$88&gt;35,BD9+BC10-BL9,IF(A10&lt;'Données projet'!$A$88,$BA$205^A10,IF(A10='Données projet'!$A$88,'Données projet'!$B$88,BD9+BC10-BL9)))</f>
        <v>3.0511486708922311</v>
      </c>
      <c r="BE10" s="13">
        <f>BD10*VLOOKUP('Données projet'!$B$11,Paramètres!$A$1:$I$89,3,0)*VLOOKUP('Données projet'!$B$11,Paramètres!$A$1:$I$89,5,0)</f>
        <v>2.5702876403596155</v>
      </c>
      <c r="BF10" s="13">
        <f t="shared" si="37"/>
        <v>1.0612358670649857</v>
      </c>
      <c r="BG10" s="20">
        <f t="shared" si="7"/>
        <v>6.324903442097848</v>
      </c>
      <c r="BH10" s="59">
        <f t="shared" si="8"/>
        <v>190.44908437783408</v>
      </c>
      <c r="BI10" s="59">
        <f ca="1">AVERAGE(OFFSET($BH$3,0,0,'Données projet'!$E$11+1,1))-AVERAGE(OFFSET($H$3,0,0,'Données projet'!$E$11+1,1))</f>
        <v>458.88102603650725</v>
      </c>
      <c r="BJ10" s="59">
        <f t="shared" si="38"/>
        <v>277.79020316059552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4.0628205128205126</v>
      </c>
      <c r="BY10" s="12">
        <f>IF('Données projet'!$A$114&gt;35,BY9+BX10-CG9,IF(A10&lt;'Données projet'!$A$114,$BV$205^A10,IF(A10='Données projet'!$A$114,'Données projet'!$B$114,BY9+BX10-CG9)))</f>
        <v>3.067053897654088</v>
      </c>
      <c r="BZ10" s="13">
        <f>BY10*VLOOKUP('Données projet'!$B$12,Paramètres!$A$1:$I$89,3,0)*VLOOKUP('Données projet'!$B$12,Paramètres!$A$1:$I$89,5,0)</f>
        <v>2.9186084890076298</v>
      </c>
      <c r="CA10" s="13">
        <f t="shared" si="39"/>
        <v>1.187357331654072</v>
      </c>
      <c r="CB10" s="20">
        <f t="shared" si="10"/>
        <v>7.1512238043191303</v>
      </c>
      <c r="CC10" s="59">
        <f t="shared" si="11"/>
        <v>191.27540474005536</v>
      </c>
      <c r="CD10" s="59">
        <f ca="1">AVERAGE(OFFSET($CC$3,0,0,'Données projet'!$E$12+1,1))-AVERAGE(OFFSET($H$3,0,0,'Données projet'!$E$12+1,1))</f>
        <v>592.58528888957346</v>
      </c>
      <c r="CE10" s="59">
        <f t="shared" si="40"/>
        <v>311.31528017256846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10.169411764705883</v>
      </c>
      <c r="CT10" s="12">
        <f>IF('Données projet'!$A$140&gt;35,CT9+CS10-DB9,IF(A10&lt;'Données projet'!$A$140,$CQ$205^A10,IF(A10='Données projet'!$A$140,'Données projet'!$B$140,CT9+CS10-DB9)))</f>
        <v>8.3449609820402753</v>
      </c>
      <c r="CU10" s="17">
        <f>CT10*VLOOKUP('Données projet'!$B$13,Paramètres!$A$1:$I$89,3,0)*VLOOKUP('Données projet'!$B$13,Paramètres!$A$1:$I$89,5,0)</f>
        <v>4.6648331889605137</v>
      </c>
      <c r="CV10" s="13">
        <f t="shared" si="41"/>
        <v>1.7969486177793568</v>
      </c>
      <c r="CW10" s="20">
        <f t="shared" si="13"/>
        <v>11.254269980071941</v>
      </c>
      <c r="CX10" s="59">
        <f t="shared" si="14"/>
        <v>195.37845091580817</v>
      </c>
      <c r="CY10" s="59">
        <f ca="1">AVERAGE(OFFSET($CX$3,0,0,'Données projet'!$E$13+1,1))-AVERAGE(OFFSET($H$3,0,0,'Données projet'!$E$13+1,1))</f>
        <v>420.4890915162182</v>
      </c>
      <c r="CZ10" s="59">
        <f t="shared" si="42"/>
        <v>553.48432338023565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4.0628205128205126</v>
      </c>
      <c r="DO10" s="12">
        <f>IF('Données projet'!$A$166&gt;35,DO9+DN10-DW9,IF(A10&lt;'Données projet'!$A$166,$DL$205^A10,IF(A10='Données projet'!$A$166,'Données projet'!$B$166,DO9+DN10-DW9)))</f>
        <v>3.067053897654088</v>
      </c>
      <c r="DP10" s="17">
        <f>DO10*VLOOKUP('Données projet'!$B$14,Paramètres!$A$1:$I$89,3,0)*VLOOKUP('Données projet'!$B$14,Paramètres!$A$1:$I$89,5,0)</f>
        <v>3.3013768154348599</v>
      </c>
      <c r="DQ10" s="13">
        <f t="shared" si="43"/>
        <v>1.3239483802426903</v>
      </c>
      <c r="DR10" s="20">
        <f t="shared" si="16"/>
        <v>8.0557747158050663</v>
      </c>
      <c r="DS10" s="59">
        <f t="shared" si="17"/>
        <v>192.17995565154129</v>
      </c>
      <c r="DT10" s="59">
        <f ca="1">AVERAGE(OFFSET($DS$3,0,0,'Données projet'!$E$14+1,1))-AVERAGE(OFFSET($H$3,0,0,'Données projet'!$E$14+1,1))</f>
        <v>659.55755908012691</v>
      </c>
      <c r="DU10" s="59">
        <f t="shared" si="44"/>
        <v>343.96647464823627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4.0628205128205126</v>
      </c>
      <c r="EJ10" s="12">
        <f>IF('Données projet'!$A$192&gt;35,EJ9+EI10-ER9,IF(A10&lt;'Données projet'!$A$192,$EG$205^A10,IF(A10='Données projet'!$A$192,'Données projet'!$B$192,EJ9+EI10-ER9)))</f>
        <v>3.067053897654088</v>
      </c>
      <c r="EK10" s="17">
        <f>EJ10*VLOOKUP('Données projet'!$B$15,Paramètres!$A$1:$I$89,3,0)*VLOOKUP('Données projet'!$B$15,Paramètres!$A$1:$I$89,5,0)</f>
        <v>2.9664545298110339</v>
      </c>
      <c r="EL10" s="13">
        <f t="shared" si="45"/>
        <v>1.2045401841316012</v>
      </c>
      <c r="EM10" s="20">
        <f t="shared" si="19"/>
        <v>7.2644824601167564</v>
      </c>
      <c r="EN10" s="59">
        <f t="shared" si="20"/>
        <v>191.388663395853</v>
      </c>
      <c r="EO10" s="59">
        <f ca="1">AVERAGE(OFFSET($EN$3,0,0,'Données projet'!$E$15+1,1))-AVERAGE(OFFSET($H$3,0,0,'Données projet'!$E$15+1,1))</f>
        <v>600.96600099541388</v>
      </c>
      <c r="EP10" s="59">
        <f t="shared" si="46"/>
        <v>315.40159257508969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194.70413425189906</v>
      </c>
      <c r="S11" s="59">
        <f ca="1">AVERAGE(OFFSET($R$3,0,0,'Données projet'!$E$9+1,1))-AVERAGE(OFFSET($H$3,0,0,'Données projet'!$E$9+1,1))</f>
        <v>567.42635821336114</v>
      </c>
      <c r="T11" s="59">
        <f t="shared" si="34"/>
        <v>299.0473530693472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5.0035150542816931</v>
      </c>
      <c r="AJ11" s="13">
        <f>AI11*VLOOKUP('Données projet'!$B$10,Paramètres!$A$1:$I$89,3,0)*VLOOKUP('Données projet'!$B$10,Paramètres!$A$1:$I$89,5,0)</f>
        <v>4.293015916573693</v>
      </c>
      <c r="AK11" s="13">
        <f t="shared" si="35"/>
        <v>1.669786742833518</v>
      </c>
      <c r="AL11" s="20">
        <f t="shared" si="4"/>
        <v>10.385214631800892</v>
      </c>
      <c r="AM11" s="59">
        <f t="shared" si="5"/>
        <v>197.13848749802145</v>
      </c>
      <c r="AN11" s="59">
        <f ca="1">AVERAGE(OFFSET($AM$3,0,0,'Données projet'!$E$10+1,1))-AVERAGE(OFFSET($H$3,0,0,'Données projet'!$E$10+1,1))</f>
        <v>570.05585579662738</v>
      </c>
      <c r="AO11" s="59">
        <f t="shared" si="36"/>
        <v>331.25104323342907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3.9732905982905979</v>
      </c>
      <c r="BD11" s="12">
        <f>IF('Données projet'!$A$88&gt;35,BD10+BC11-BL10,IF(A11&lt;'Données projet'!$A$88,$BA$205^A11,IF(A11='Données projet'!$A$88,'Données projet'!$B$88,BD10+BC11-BL10)))</f>
        <v>3.5782643572096209</v>
      </c>
      <c r="BE11" s="13">
        <f>BD11*VLOOKUP('Données projet'!$B$11,Paramètres!$A$1:$I$89,3,0)*VLOOKUP('Données projet'!$B$11,Paramètres!$A$1:$I$89,5,0)</f>
        <v>3.0143298945133852</v>
      </c>
      <c r="BF11" s="13">
        <f t="shared" si="37"/>
        <v>1.2217013074893581</v>
      </c>
      <c r="BG11" s="20">
        <f t="shared" si="7"/>
        <v>7.3777543434881103</v>
      </c>
      <c r="BH11" s="59">
        <f t="shared" si="8"/>
        <v>194.13102720970866</v>
      </c>
      <c r="BI11" s="59">
        <f ca="1">AVERAGE(OFFSET($BH$3,0,0,'Données projet'!$E$11+1,1))-AVERAGE(OFFSET($H$3,0,0,'Données projet'!$E$11+1,1))</f>
        <v>458.88102603650725</v>
      </c>
      <c r="BJ11" s="59">
        <f t="shared" si="38"/>
        <v>277.79020316059552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4.0628205128205126</v>
      </c>
      <c r="BY11" s="12">
        <f>IF('Données projet'!$A$114&gt;35,BY10+BX11-CG10,IF(A11&lt;'Données projet'!$A$114,$BV$205^A11,IF(A11='Données projet'!$A$114,'Données projet'!$B$114,BY10+BX11-CG10)))</f>
        <v>3.5995900084872572</v>
      </c>
      <c r="BZ11" s="13">
        <f>BY11*VLOOKUP('Données projet'!$B$12,Paramètres!$A$1:$I$89,3,0)*VLOOKUP('Données projet'!$B$12,Paramètres!$A$1:$I$89,5,0)</f>
        <v>3.4253698520764737</v>
      </c>
      <c r="CA11" s="13">
        <f t="shared" si="39"/>
        <v>1.3677905102498957</v>
      </c>
      <c r="CB11" s="20">
        <f t="shared" si="10"/>
        <v>8.3480876310517598</v>
      </c>
      <c r="CC11" s="59">
        <f t="shared" si="11"/>
        <v>195.10136049727231</v>
      </c>
      <c r="CD11" s="59">
        <f ca="1">AVERAGE(OFFSET($CC$3,0,0,'Données projet'!$E$12+1,1))-AVERAGE(OFFSET($H$3,0,0,'Données projet'!$E$12+1,1))</f>
        <v>592.58528888957346</v>
      </c>
      <c r="CE11" s="59">
        <f t="shared" si="40"/>
        <v>311.31528017256846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10.169411764705883</v>
      </c>
      <c r="CT11" s="12">
        <f>IF('Données projet'!$A$140&gt;35,CT10+CS11-DB10,IF(A11&lt;'Données projet'!$A$140,$CQ$205^A11,IF(A11='Données projet'!$A$140,'Données projet'!$B$140,CT10+CS11-DB10)))</f>
        <v>11.299425283572656</v>
      </c>
      <c r="CU11" s="17">
        <f>CT11*VLOOKUP('Données projet'!$B$13,Paramètres!$A$1:$I$89,3,0)*VLOOKUP('Données projet'!$B$13,Paramètres!$A$1:$I$89,5,0)</f>
        <v>6.3163787335171149</v>
      </c>
      <c r="CV11" s="13">
        <f t="shared" si="41"/>
        <v>2.3487983512885449</v>
      </c>
      <c r="CW11" s="20">
        <f t="shared" si="13"/>
        <v>15.091850089369855</v>
      </c>
      <c r="CX11" s="59">
        <f t="shared" si="14"/>
        <v>201.8451229555904</v>
      </c>
      <c r="CY11" s="59">
        <f ca="1">AVERAGE(OFFSET($CX$3,0,0,'Données projet'!$E$13+1,1))-AVERAGE(OFFSET($H$3,0,0,'Données projet'!$E$13+1,1))</f>
        <v>420.4890915162182</v>
      </c>
      <c r="CZ11" s="59">
        <f t="shared" si="42"/>
        <v>553.48432338023565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4.0628205128205126</v>
      </c>
      <c r="DO11" s="12">
        <f>IF('Données projet'!$A$166&gt;35,DO10+DN11-DW10,IF(A11&lt;'Données projet'!$A$166,$DL$205^A11,IF(A11='Données projet'!$A$166,'Données projet'!$B$166,DO10+DN11-DW10)))</f>
        <v>3.5995900084872572</v>
      </c>
      <c r="DP11" s="17">
        <f>DO11*VLOOKUP('Données projet'!$B$14,Paramètres!$A$1:$I$89,3,0)*VLOOKUP('Données projet'!$B$14,Paramètres!$A$1:$I$89,5,0)</f>
        <v>3.8745986851356835</v>
      </c>
      <c r="DQ11" s="13">
        <f t="shared" si="43"/>
        <v>1.5251382058962688</v>
      </c>
      <c r="DR11" s="20">
        <f t="shared" si="16"/>
        <v>9.4045417518806484</v>
      </c>
      <c r="DS11" s="59">
        <f t="shared" si="17"/>
        <v>196.15781461810121</v>
      </c>
      <c r="DT11" s="59">
        <f ca="1">AVERAGE(OFFSET($DS$3,0,0,'Données projet'!$E$14+1,1))-AVERAGE(OFFSET($H$3,0,0,'Données projet'!$E$14+1,1))</f>
        <v>659.55755908012691</v>
      </c>
      <c r="DU11" s="59">
        <f t="shared" si="44"/>
        <v>343.96647464823627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4.0628205128205126</v>
      </c>
      <c r="EJ11" s="12">
        <f>IF('Données projet'!$A$192&gt;35,EJ10+EI11-ER10,IF(A11&lt;'Données projet'!$A$192,$EG$205^A11,IF(A11='Données projet'!$A$192,'Données projet'!$B$192,EJ10+EI11-ER10)))</f>
        <v>3.5995900084872572</v>
      </c>
      <c r="EK11" s="17">
        <f>EJ11*VLOOKUP('Données projet'!$B$15,Paramètres!$A$1:$I$89,3,0)*VLOOKUP('Données projet'!$B$15,Paramètres!$A$1:$I$89,5,0)</f>
        <v>3.4815234562088753</v>
      </c>
      <c r="EL11" s="13">
        <f t="shared" si="45"/>
        <v>1.3875845031206417</v>
      </c>
      <c r="EM11" s="20">
        <f t="shared" si="19"/>
        <v>8.4803630291655754</v>
      </c>
      <c r="EN11" s="59">
        <f t="shared" si="20"/>
        <v>195.23363589538613</v>
      </c>
      <c r="EO11" s="59">
        <f ca="1">AVERAGE(OFFSET($EN$3,0,0,'Données projet'!$E$15+1,1))-AVERAGE(OFFSET($H$3,0,0,'Données projet'!$E$15+1,1))</f>
        <v>600.96600099541388</v>
      </c>
      <c r="EP11" s="59">
        <f t="shared" si="46"/>
        <v>315.40159257508969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198.6399661015663</v>
      </c>
      <c r="S12" s="59">
        <f ca="1">AVERAGE(OFFSET($R$3,0,0,'Données projet'!$E$9+1,1))-AVERAGE(OFFSET($H$3,0,0,'Données projet'!$E$9+1,1))</f>
        <v>567.42635821336114</v>
      </c>
      <c r="T12" s="59">
        <f t="shared" si="34"/>
        <v>299.0473530693472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6.1190585979687659</v>
      </c>
      <c r="AJ12" s="13">
        <f>AI12*VLOOKUP('Données projet'!$B$10,Paramètres!$A$1:$I$89,3,0)*VLOOKUP('Données projet'!$B$10,Paramètres!$A$1:$I$89,5,0)</f>
        <v>5.250152277057202</v>
      </c>
      <c r="AK12" s="13">
        <f t="shared" si="35"/>
        <v>1.9947843655753528</v>
      </c>
      <c r="AL12" s="20">
        <f t="shared" si="4"/>
        <v>12.618264652585031</v>
      </c>
      <c r="AM12" s="59">
        <f t="shared" si="5"/>
        <v>201.9762234051411</v>
      </c>
      <c r="AN12" s="59">
        <f ca="1">AVERAGE(OFFSET($AM$3,0,0,'Données projet'!$E$10+1,1))-AVERAGE(OFFSET($H$3,0,0,'Données projet'!$E$10+1,1))</f>
        <v>570.05585579662738</v>
      </c>
      <c r="AO12" s="59">
        <f t="shared" si="36"/>
        <v>331.25104323342907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3.9732905982905979</v>
      </c>
      <c r="BD12" s="12">
        <f>IF('Données projet'!$A$88&gt;35,BD11+BC12-BL11,IF(A12&lt;'Données projet'!$A$88,$BA$205^A12,IF(A12='Données projet'!$A$88,'Données projet'!$B$88,BD11+BC12-BL11)))</f>
        <v>4.1964444185319181</v>
      </c>
      <c r="BE12" s="13">
        <f>BD12*VLOOKUP('Données projet'!$B$11,Paramètres!$A$1:$I$89,3,0)*VLOOKUP('Données projet'!$B$11,Paramètres!$A$1:$I$89,5,0)</f>
        <v>3.5350847781712882</v>
      </c>
      <c r="BF12" s="13">
        <f t="shared" si="37"/>
        <v>1.4064301170380715</v>
      </c>
      <c r="BG12" s="20">
        <f t="shared" si="7"/>
        <v>8.6064717758229676</v>
      </c>
      <c r="BH12" s="59">
        <f t="shared" si="8"/>
        <v>197.96443052837904</v>
      </c>
      <c r="BI12" s="59">
        <f ca="1">AVERAGE(OFFSET($BH$3,0,0,'Données projet'!$E$11+1,1))-AVERAGE(OFFSET($H$3,0,0,'Données projet'!$E$11+1,1))</f>
        <v>458.88102603650725</v>
      </c>
      <c r="BJ12" s="59">
        <f t="shared" si="38"/>
        <v>277.79020316059552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4.0628205128205126</v>
      </c>
      <c r="BY12" s="12">
        <f>IF('Données projet'!$A$114&gt;35,BY11+BX12-CG11,IF(A12&lt;'Données projet'!$A$114,$BV$205^A12,IF(A12='Données projet'!$A$114,'Données projet'!$B$114,BY11+BX12-CG11)))</f>
        <v>4.2245909793472531</v>
      </c>
      <c r="BZ12" s="13">
        <f>BY12*VLOOKUP('Données projet'!$B$12,Paramètres!$A$1:$I$89,3,0)*VLOOKUP('Données projet'!$B$12,Paramètres!$A$1:$I$89,5,0)</f>
        <v>4.0201207759468467</v>
      </c>
      <c r="CA12" s="13">
        <f t="shared" si="39"/>
        <v>1.5756426730640929</v>
      </c>
      <c r="CB12" s="20">
        <f t="shared" si="10"/>
        <v>9.7459546736940528</v>
      </c>
      <c r="CC12" s="59">
        <f t="shared" si="11"/>
        <v>199.10391342625013</v>
      </c>
      <c r="CD12" s="59">
        <f ca="1">AVERAGE(OFFSET($CC$3,0,0,'Données projet'!$E$12+1,1))-AVERAGE(OFFSET($H$3,0,0,'Données projet'!$E$12+1,1))</f>
        <v>592.58528888957346</v>
      </c>
      <c r="CE12" s="59">
        <f t="shared" si="40"/>
        <v>311.31528017256846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10.169411764705883</v>
      </c>
      <c r="CT12" s="12">
        <f>IF('Données projet'!$A$140&gt;35,CT11+CS12-DB11,IF(A12&lt;'Données projet'!$A$140,$CQ$205^A12,IF(A12='Données projet'!$A$140,'Données projet'!$B$140,CT11+CS12-DB11)))</f>
        <v>15.299893194686335</v>
      </c>
      <c r="CU12" s="17">
        <f>CT12*VLOOKUP('Données projet'!$B$13,Paramètres!$A$1:$I$89,3,0)*VLOOKUP('Données projet'!$B$13,Paramètres!$A$1:$I$89,5,0)</f>
        <v>8.5526402958296615</v>
      </c>
      <c r="CV12" s="13">
        <f t="shared" si="41"/>
        <v>3.0701232302532038</v>
      </c>
      <c r="CW12" s="20">
        <f t="shared" si="13"/>
        <v>20.242979807927657</v>
      </c>
      <c r="CX12" s="59">
        <f t="shared" si="14"/>
        <v>209.60093856048374</v>
      </c>
      <c r="CY12" s="59">
        <f ca="1">AVERAGE(OFFSET($CX$3,0,0,'Données projet'!$E$13+1,1))-AVERAGE(OFFSET($H$3,0,0,'Données projet'!$E$13+1,1))</f>
        <v>420.4890915162182</v>
      </c>
      <c r="CZ12" s="59">
        <f t="shared" si="42"/>
        <v>553.48432338023565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4.0628205128205126</v>
      </c>
      <c r="DO12" s="12">
        <f>IF('Données projet'!$A$166&gt;35,DO11+DN12-DW11,IF(A12&lt;'Données projet'!$A$166,$DL$205^A12,IF(A12='Données projet'!$A$166,'Données projet'!$B$166,DO11+DN12-DW11)))</f>
        <v>4.2245909793472531</v>
      </c>
      <c r="DP12" s="17">
        <f>DO12*VLOOKUP('Données projet'!$B$14,Paramètres!$A$1:$I$89,3,0)*VLOOKUP('Données projet'!$B$14,Paramètres!$A$1:$I$89,5,0)</f>
        <v>4.5473497301693833</v>
      </c>
      <c r="DQ12" s="13">
        <f t="shared" si="43"/>
        <v>1.756901237084566</v>
      </c>
      <c r="DR12" s="20">
        <f t="shared" si="16"/>
        <v>10.979903767967294</v>
      </c>
      <c r="DS12" s="59">
        <f t="shared" si="17"/>
        <v>200.33786252052337</v>
      </c>
      <c r="DT12" s="59">
        <f ca="1">AVERAGE(OFFSET($DS$3,0,0,'Données projet'!$E$14+1,1))-AVERAGE(OFFSET($H$3,0,0,'Données projet'!$E$14+1,1))</f>
        <v>659.55755908012691</v>
      </c>
      <c r="DU12" s="59">
        <f t="shared" si="44"/>
        <v>343.96647464823627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4.0628205128205126</v>
      </c>
      <c r="EJ12" s="12">
        <f>IF('Données projet'!$A$192&gt;35,EJ11+EI12-ER11,IF(A12&lt;'Données projet'!$A$192,$EG$205^A12,IF(A12='Données projet'!$A$192,'Données projet'!$B$192,EJ11+EI12-ER11)))</f>
        <v>4.2245909793472531</v>
      </c>
      <c r="EK12" s="17">
        <f>EJ12*VLOOKUP('Données projet'!$B$15,Paramètres!$A$1:$I$89,3,0)*VLOOKUP('Données projet'!$B$15,Paramètres!$A$1:$I$89,5,0)</f>
        <v>4.0860243952246638</v>
      </c>
      <c r="EL12" s="13">
        <f t="shared" si="45"/>
        <v>1.598444600408782</v>
      </c>
      <c r="EM12" s="20">
        <f t="shared" si="19"/>
        <v>9.9004501673949186</v>
      </c>
      <c r="EN12" s="59">
        <f t="shared" si="20"/>
        <v>199.25840891995099</v>
      </c>
      <c r="EO12" s="59">
        <f ca="1">AVERAGE(OFFSET($EN$3,0,0,'Données projet'!$E$15+1,1))-AVERAGE(OFFSET($H$3,0,0,'Données projet'!$E$15+1,1))</f>
        <v>600.96600099541388</v>
      </c>
      <c r="EP12" s="59">
        <f t="shared" si="46"/>
        <v>315.40159257508969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202.77544115035215</v>
      </c>
      <c r="S13" s="59">
        <f ca="1">AVERAGE(OFFSET($R$3,0,0,'Données projet'!$E$9+1,1))-AVERAGE(OFFSET($H$3,0,0,'Données projet'!$E$9+1,1))</f>
        <v>567.42635821336114</v>
      </c>
      <c r="T13" s="59">
        <f t="shared" si="34"/>
        <v>299.0473530693472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7.4833147735478933</v>
      </c>
      <c r="AJ13" s="13">
        <f>AI13*VLOOKUP('Données projet'!$B$10,Paramètres!$A$1:$I$89,3,0)*VLOOKUP('Données projet'!$B$10,Paramètres!$A$1:$I$89,5,0)</f>
        <v>6.4206840757040933</v>
      </c>
      <c r="AK13" s="13">
        <f t="shared" si="35"/>
        <v>2.3830376437122043</v>
      </c>
      <c r="AL13" s="20">
        <f t="shared" si="4"/>
        <v>15.33314866131672</v>
      </c>
      <c r="AM13" s="59">
        <f t="shared" si="5"/>
        <v>207.27181064636162</v>
      </c>
      <c r="AN13" s="59">
        <f ca="1">AVERAGE(OFFSET($AM$3,0,0,'Données projet'!$E$10+1,1))-AVERAGE(OFFSET($H$3,0,0,'Données projet'!$E$10+1,1))</f>
        <v>570.05585579662738</v>
      </c>
      <c r="AO13" s="59">
        <f t="shared" si="36"/>
        <v>331.25104323342907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3.9732905982905979</v>
      </c>
      <c r="BD13" s="12">
        <f>IF('Données projet'!$A$88&gt;35,BD12+BC13-BL12,IF(A13&lt;'Données projet'!$A$88,$BA$205^A13,IF(A13='Données projet'!$A$88,'Données projet'!$B$88,BD12+BC13-BL12)))</f>
        <v>4.9214211136597843</v>
      </c>
      <c r="BE13" s="13">
        <f>BD13*VLOOKUP('Données projet'!$B$11,Paramètres!$A$1:$I$89,3,0)*VLOOKUP('Données projet'!$B$11,Paramètres!$A$1:$I$89,5,0)</f>
        <v>4.1458051461470022</v>
      </c>
      <c r="BF13" s="13">
        <f t="shared" si="37"/>
        <v>1.619091067502155</v>
      </c>
      <c r="BG13" s="20">
        <f t="shared" si="7"/>
        <v>10.040527572105615</v>
      </c>
      <c r="BH13" s="59">
        <f t="shared" si="8"/>
        <v>201.97918955715051</v>
      </c>
      <c r="BI13" s="59">
        <f ca="1">AVERAGE(OFFSET($BH$3,0,0,'Données projet'!$E$11+1,1))-AVERAGE(OFFSET($H$3,0,0,'Données projet'!$E$11+1,1))</f>
        <v>458.88102603650725</v>
      </c>
      <c r="BJ13" s="59">
        <f t="shared" si="38"/>
        <v>277.79020316059552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4.0628205128205126</v>
      </c>
      <c r="BY13" s="12">
        <f>IF('Données projet'!$A$114&gt;35,BY12+BX13-CG12,IF(A13&lt;'Données projet'!$A$114,$BV$205^A13,IF(A13='Données projet'!$A$114,'Données projet'!$B$114,BY12+BX13-CG12)))</f>
        <v>4.9581115906815549</v>
      </c>
      <c r="BZ13" s="13">
        <f>BY13*VLOOKUP('Données projet'!$B$12,Paramètres!$A$1:$I$89,3,0)*VLOOKUP('Données projet'!$B$12,Paramètres!$A$1:$I$89,5,0)</f>
        <v>4.7181389896925676</v>
      </c>
      <c r="CA13" s="13">
        <f t="shared" si="39"/>
        <v>1.8150804634015034</v>
      </c>
      <c r="CB13" s="20">
        <f t="shared" si="10"/>
        <v>11.378690547472175</v>
      </c>
      <c r="CC13" s="59">
        <f t="shared" si="11"/>
        <v>203.31735253251708</v>
      </c>
      <c r="CD13" s="59">
        <f ca="1">AVERAGE(OFFSET($CC$3,0,0,'Données projet'!$E$12+1,1))-AVERAGE(OFFSET($H$3,0,0,'Données projet'!$E$12+1,1))</f>
        <v>592.58528888957346</v>
      </c>
      <c r="CE13" s="59">
        <f t="shared" si="40"/>
        <v>311.31528017256846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10.169411764705883</v>
      </c>
      <c r="CT13" s="12">
        <f>IF('Données projet'!$A$140&gt;35,CT12+CS13-DB12,IF(A13&lt;'Données projet'!$A$140,$CQ$205^A13,IF(A13='Données projet'!$A$140,'Données projet'!$B$140,CT12+CS13-DB12)))</f>
        <v>20.716693627695339</v>
      </c>
      <c r="CU13" s="17">
        <f>CT13*VLOOKUP('Données projet'!$B$13,Paramètres!$A$1:$I$89,3,0)*VLOOKUP('Données projet'!$B$13,Paramètres!$A$1:$I$89,5,0)</f>
        <v>11.580631737881694</v>
      </c>
      <c r="CV13" s="13">
        <f t="shared" si="41"/>
        <v>4.0129697143943712</v>
      </c>
      <c r="CW13" s="20">
        <f t="shared" si="13"/>
        <v>27.158855862714148</v>
      </c>
      <c r="CX13" s="59">
        <f t="shared" si="14"/>
        <v>219.09751784775904</v>
      </c>
      <c r="CY13" s="59">
        <f ca="1">AVERAGE(OFFSET($CX$3,0,0,'Données projet'!$E$13+1,1))-AVERAGE(OFFSET($H$3,0,0,'Données projet'!$E$13+1,1))</f>
        <v>420.4890915162182</v>
      </c>
      <c r="CZ13" s="59">
        <f t="shared" si="42"/>
        <v>553.48432338023565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4.0628205128205126</v>
      </c>
      <c r="DO13" s="12">
        <f>IF('Données projet'!$A$166&gt;35,DO12+DN13-DW12,IF(A13&lt;'Données projet'!$A$166,$DL$205^A13,IF(A13='Données projet'!$A$166,'Données projet'!$B$166,DO12+DN13-DW12)))</f>
        <v>4.9581115906815549</v>
      </c>
      <c r="DP13" s="17">
        <f>DO13*VLOOKUP('Données projet'!$B$14,Paramètres!$A$1:$I$89,3,0)*VLOOKUP('Données projet'!$B$14,Paramètres!$A$1:$I$89,5,0)</f>
        <v>5.3369113162096253</v>
      </c>
      <c r="DQ13" s="13">
        <f t="shared" si="43"/>
        <v>2.023883438848963</v>
      </c>
      <c r="DR13" s="20">
        <f t="shared" si="16"/>
        <v>12.820050865060374</v>
      </c>
      <c r="DS13" s="59">
        <f t="shared" si="17"/>
        <v>204.75871285010527</v>
      </c>
      <c r="DT13" s="59">
        <f ca="1">AVERAGE(OFFSET($DS$3,0,0,'Données projet'!$E$14+1,1))-AVERAGE(OFFSET($H$3,0,0,'Données projet'!$E$14+1,1))</f>
        <v>659.55755908012691</v>
      </c>
      <c r="DU13" s="59">
        <f t="shared" si="44"/>
        <v>343.96647464823627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4.0628205128205126</v>
      </c>
      <c r="EJ13" s="12">
        <f>IF('Données projet'!$A$192&gt;35,EJ12+EI13-ER12,IF(A13&lt;'Données projet'!$A$192,$EG$205^A13,IF(A13='Données projet'!$A$192,'Données projet'!$B$192,EJ12+EI13-ER12)))</f>
        <v>4.9581115906815549</v>
      </c>
      <c r="EK13" s="17">
        <f>EJ13*VLOOKUP('Données projet'!$B$15,Paramètres!$A$1:$I$89,3,0)*VLOOKUP('Données projet'!$B$15,Paramètres!$A$1:$I$89,5,0)</f>
        <v>4.7954855305072002</v>
      </c>
      <c r="EL13" s="13">
        <f t="shared" si="45"/>
        <v>1.8413474169175326</v>
      </c>
      <c r="EM13" s="20">
        <f t="shared" si="19"/>
        <v>11.559150716764741</v>
      </c>
      <c r="EN13" s="59">
        <f t="shared" si="20"/>
        <v>203.49781270180964</v>
      </c>
      <c r="EO13" s="59">
        <f ca="1">AVERAGE(OFFSET($EN$3,0,0,'Données projet'!$E$15+1,1))-AVERAGE(OFFSET($H$3,0,0,'Données projet'!$E$15+1,1))</f>
        <v>600.96600099541388</v>
      </c>
      <c r="EP13" s="59">
        <f t="shared" si="46"/>
        <v>315.40159257508969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207.14866375518821</v>
      </c>
      <c r="S14" s="59">
        <f ca="1">AVERAGE(OFFSET($R$3,0,0,'Données projet'!$E$9+1,1))-AVERAGE(OFFSET($H$3,0,0,'Données projet'!$E$9+1,1))</f>
        <v>567.42635821336114</v>
      </c>
      <c r="T14" s="59">
        <f t="shared" si="34"/>
        <v>299.0473530693472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9.1517345525322273</v>
      </c>
      <c r="AJ14" s="13">
        <f>AI14*VLOOKUP('Données projet'!$B$10,Paramètres!$A$1:$I$89,3,0)*VLOOKUP('Données projet'!$B$10,Paramètres!$A$1:$I$89,5,0)</f>
        <v>7.8521882460726511</v>
      </c>
      <c r="AK14" s="13">
        <f t="shared" si="35"/>
        <v>2.8468582917289242</v>
      </c>
      <c r="AL14" s="20">
        <f t="shared" si="4"/>
        <v>18.634172720004408</v>
      </c>
      <c r="AM14" s="59">
        <f t="shared" si="5"/>
        <v>213.12997132911855</v>
      </c>
      <c r="AN14" s="59">
        <f ca="1">AVERAGE(OFFSET($AM$3,0,0,'Données projet'!$E$10+1,1))-AVERAGE(OFFSET($H$3,0,0,'Données projet'!$E$10+1,1))</f>
        <v>570.05585579662738</v>
      </c>
      <c r="AO14" s="59">
        <f t="shared" si="36"/>
        <v>331.25104323342907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3.9732905982905979</v>
      </c>
      <c r="BD14" s="12">
        <f>IF('Données projet'!$A$88&gt;35,BD13+BC14-BL13,IF(A14&lt;'Données projet'!$A$88,$BA$205^A14,IF(A14='Données projet'!$A$88,'Données projet'!$B$88,BD13+BC14-BL13)))</f>
        <v>5.7716446025155648</v>
      </c>
      <c r="BE14" s="13">
        <f>BD14*VLOOKUP('Données projet'!$B$11,Paramètres!$A$1:$I$89,3,0)*VLOOKUP('Données projet'!$B$11,Paramètres!$A$1:$I$89,5,0)</f>
        <v>4.8620334131591125</v>
      </c>
      <c r="BF14" s="13">
        <f t="shared" si="37"/>
        <v>1.8639076717057437</v>
      </c>
      <c r="BG14" s="20">
        <f t="shared" si="7"/>
        <v>11.714347389472957</v>
      </c>
      <c r="BH14" s="59">
        <f t="shared" si="8"/>
        <v>206.21014599858708</v>
      </c>
      <c r="BI14" s="59">
        <f ca="1">AVERAGE(OFFSET($BH$3,0,0,'Données projet'!$E$11+1,1))-AVERAGE(OFFSET($H$3,0,0,'Données projet'!$E$11+1,1))</f>
        <v>458.88102603650725</v>
      </c>
      <c r="BJ14" s="59">
        <f t="shared" si="38"/>
        <v>277.79020316059552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4.0628205128205126</v>
      </c>
      <c r="BY14" s="12">
        <f>IF('Données projet'!$A$114&gt;35,BY13+BX14-CG13,IF(A14&lt;'Données projet'!$A$114,$BV$205^A14,IF(A14='Données projet'!$A$114,'Données projet'!$B$114,BY13+BX14-CG13)))</f>
        <v>5.8189942330107201</v>
      </c>
      <c r="BZ14" s="13">
        <f>BY14*VLOOKUP('Données projet'!$B$12,Paramètres!$A$1:$I$89,3,0)*VLOOKUP('Données projet'!$B$12,Paramètres!$A$1:$I$89,5,0)</f>
        <v>5.5373549121330017</v>
      </c>
      <c r="CA14" s="13">
        <f t="shared" si="39"/>
        <v>2.0909036959598799</v>
      </c>
      <c r="CB14" s="20">
        <f t="shared" si="10"/>
        <v>13.285883742428437</v>
      </c>
      <c r="CC14" s="59">
        <f t="shared" si="11"/>
        <v>207.78168235154257</v>
      </c>
      <c r="CD14" s="59">
        <f ca="1">AVERAGE(OFFSET($CC$3,0,0,'Données projet'!$E$12+1,1))-AVERAGE(OFFSET($H$3,0,0,'Données projet'!$E$12+1,1))</f>
        <v>592.58528888957346</v>
      </c>
      <c r="CE14" s="59">
        <f t="shared" si="40"/>
        <v>311.31528017256846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10.169411764705883</v>
      </c>
      <c r="CT14" s="12">
        <f>IF('Données projet'!$A$140&gt;35,CT13+CS14-DB13,IF(A14&lt;'Données projet'!$A$140,$CQ$205^A14,IF(A14='Données projet'!$A$140,'Données projet'!$B$140,CT13+CS14-DB13)))</f>
        <v>28.051267378313966</v>
      </c>
      <c r="CU14" s="17">
        <f>CT14*VLOOKUP('Données projet'!$B$13,Paramètres!$A$1:$I$89,3,0)*VLOOKUP('Données projet'!$B$13,Paramètres!$A$1:$I$89,5,0)</f>
        <v>15.680658464477508</v>
      </c>
      <c r="CV14" s="13">
        <f t="shared" si="41"/>
        <v>5.245367928543474</v>
      </c>
      <c r="CW14" s="20">
        <f t="shared" si="13"/>
        <v>36.446162634511545</v>
      </c>
      <c r="CX14" s="59">
        <f t="shared" si="14"/>
        <v>230.94196124362568</v>
      </c>
      <c r="CY14" s="59">
        <f ca="1">AVERAGE(OFFSET($CX$3,0,0,'Données projet'!$E$13+1,1))-AVERAGE(OFFSET($H$3,0,0,'Données projet'!$E$13+1,1))</f>
        <v>420.4890915162182</v>
      </c>
      <c r="CZ14" s="59">
        <f t="shared" si="42"/>
        <v>553.48432338023565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4.0628205128205126</v>
      </c>
      <c r="DO14" s="12">
        <f>IF('Données projet'!$A$166&gt;35,DO13+DN14-DW13,IF(A14&lt;'Données projet'!$A$166,$DL$205^A14,IF(A14='Données projet'!$A$166,'Données projet'!$B$166,DO13+DN14-DW13)))</f>
        <v>5.8189942330107201</v>
      </c>
      <c r="DP14" s="17">
        <f>DO14*VLOOKUP('Données projet'!$B$14,Paramètres!$A$1:$I$89,3,0)*VLOOKUP('Données projet'!$B$14,Paramètres!$A$1:$I$89,5,0)</f>
        <v>6.2635653924127377</v>
      </c>
      <c r="DQ14" s="13">
        <f t="shared" si="43"/>
        <v>2.3314367863069263</v>
      </c>
      <c r="DR14" s="20">
        <f t="shared" si="16"/>
        <v>14.969628794603414</v>
      </c>
      <c r="DS14" s="59">
        <f t="shared" si="17"/>
        <v>209.46542740371754</v>
      </c>
      <c r="DT14" s="59">
        <f ca="1">AVERAGE(OFFSET($DS$3,0,0,'Données projet'!$E$14+1,1))-AVERAGE(OFFSET($H$3,0,0,'Données projet'!$E$14+1,1))</f>
        <v>659.55755908012691</v>
      </c>
      <c r="DU14" s="59">
        <f t="shared" si="44"/>
        <v>343.96647464823627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4.0628205128205126</v>
      </c>
      <c r="EJ14" s="12">
        <f>IF('Données projet'!$A$192&gt;35,EJ13+EI14-ER13,IF(A14&lt;'Données projet'!$A$192,$EG$205^A14,IF(A14='Données projet'!$A$192,'Données projet'!$B$192,EJ13+EI14-ER13)))</f>
        <v>5.8189942330107201</v>
      </c>
      <c r="EK14" s="17">
        <f>EJ14*VLOOKUP('Données projet'!$B$15,Paramètres!$A$1:$I$89,3,0)*VLOOKUP('Données projet'!$B$15,Paramètres!$A$1:$I$89,5,0)</f>
        <v>5.6281312221679691</v>
      </c>
      <c r="EL14" s="13">
        <f t="shared" si="45"/>
        <v>2.1211622279069138</v>
      </c>
      <c r="EM14" s="20">
        <f t="shared" si="19"/>
        <v>13.496686092213752</v>
      </c>
      <c r="EN14" s="59">
        <f t="shared" si="20"/>
        <v>207.9924847013279</v>
      </c>
      <c r="EO14" s="59">
        <f ca="1">AVERAGE(OFFSET($EN$3,0,0,'Données projet'!$E$15+1,1))-AVERAGE(OFFSET($H$3,0,0,'Données projet'!$E$15+1,1))</f>
        <v>600.96600099541388</v>
      </c>
      <c r="EP14" s="59">
        <f t="shared" si="46"/>
        <v>315.40159257508969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211.804101668192</v>
      </c>
      <c r="S15" s="59">
        <f ca="1">AVERAGE(OFFSET($R$3,0,0,'Données projet'!$E$9+1,1))-AVERAGE(OFFSET($H$3,0,0,'Données projet'!$E$9+1,1))</f>
        <v>567.42635821336114</v>
      </c>
      <c r="T15" s="59">
        <f t="shared" si="34"/>
        <v>299.0473530693472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11.19213180983215</v>
      </c>
      <c r="AJ15" s="13">
        <f>AI15*VLOOKUP('Données projet'!$B$10,Paramètres!$A$1:$I$89,3,0)*VLOOKUP('Données projet'!$B$10,Paramètres!$A$1:$I$89,5,0)</f>
        <v>9.6028490928359851</v>
      </c>
      <c r="AK15" s="13">
        <f t="shared" si="35"/>
        <v>3.4009543049268385</v>
      </c>
      <c r="AL15" s="20">
        <f t="shared" si="4"/>
        <v>22.64829091777025</v>
      </c>
      <c r="AM15" s="59">
        <f t="shared" si="5"/>
        <v>219.67806837050313</v>
      </c>
      <c r="AN15" s="59">
        <f ca="1">AVERAGE(OFFSET($AM$3,0,0,'Données projet'!$E$10+1,1))-AVERAGE(OFFSET($H$3,0,0,'Données projet'!$E$10+1,1))</f>
        <v>570.05585579662738</v>
      </c>
      <c r="AO15" s="59">
        <f t="shared" si="36"/>
        <v>331.25104323342907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3.9732905982905979</v>
      </c>
      <c r="BD15" s="12">
        <f>IF('Données projet'!$A$88&gt;35,BD14+BC15-BL14,IF(A15&lt;'Données projet'!$A$88,$BA$205^A15,IF(A15='Données projet'!$A$88,'Données projet'!$B$88,BD14+BC15-BL14)))</f>
        <v>6.7687524900657969</v>
      </c>
      <c r="BE15" s="13">
        <f>BD15*VLOOKUP('Données projet'!$B$11,Paramètres!$A$1:$I$89,3,0)*VLOOKUP('Données projet'!$B$11,Paramètres!$A$1:$I$89,5,0)</f>
        <v>5.7019970976314278</v>
      </c>
      <c r="BF15" s="13">
        <f t="shared" si="37"/>
        <v>2.1457420637884543</v>
      </c>
      <c r="BG15" s="20">
        <f t="shared" si="7"/>
        <v>13.668145706139628</v>
      </c>
      <c r="BH15" s="59">
        <f t="shared" si="8"/>
        <v>210.6979231588725</v>
      </c>
      <c r="BI15" s="59">
        <f ca="1">AVERAGE(OFFSET($BH$3,0,0,'Données projet'!$E$11+1,1))-AVERAGE(OFFSET($H$3,0,0,'Données projet'!$E$11+1,1))</f>
        <v>458.88102603650725</v>
      </c>
      <c r="BJ15" s="59">
        <f t="shared" si="38"/>
        <v>277.79020316059552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4.0628205128205126</v>
      </c>
      <c r="BY15" s="12">
        <f>IF('Données projet'!$A$114&gt;35,BY14+BX15-CG14,IF(A15&lt;'Données projet'!$A$114,$BV$205^A15,IF(A15='Données projet'!$A$114,'Données projet'!$B$114,BY14+BX15-CG14)))</f>
        <v>6.8293529228851897</v>
      </c>
      <c r="BZ15" s="13">
        <f>BY15*VLOOKUP('Données projet'!$B$12,Paramètres!$A$1:$I$89,3,0)*VLOOKUP('Données projet'!$B$12,Paramètres!$A$1:$I$89,5,0)</f>
        <v>6.4988122414175455</v>
      </c>
      <c r="CA15" s="13">
        <f t="shared" si="39"/>
        <v>2.408641574812437</v>
      </c>
      <c r="CB15" s="20">
        <f t="shared" si="10"/>
        <v>15.513815396600551</v>
      </c>
      <c r="CC15" s="59">
        <f t="shared" si="11"/>
        <v>212.54359284933344</v>
      </c>
      <c r="CD15" s="59">
        <f ca="1">AVERAGE(OFFSET($CC$3,0,0,'Données projet'!$E$12+1,1))-AVERAGE(OFFSET($H$3,0,0,'Données projet'!$E$12+1,1))</f>
        <v>592.58528888957346</v>
      </c>
      <c r="CE15" s="59">
        <f t="shared" si="40"/>
        <v>311.31528017256846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10.169411764705883</v>
      </c>
      <c r="CT15" s="12">
        <f>IF('Données projet'!$A$140&gt;35,CT14+CS15-DB14,IF(A15&lt;'Données projet'!$A$140,$CQ$205^A15,IF(A15='Données projet'!$A$140,'Données projet'!$B$140,CT14+CS15-DB14)))</f>
        <v>37.982586201773081</v>
      </c>
      <c r="CU15" s="17">
        <f>CT15*VLOOKUP('Données projet'!$B$13,Paramètres!$A$1:$I$89,3,0)*VLOOKUP('Données projet'!$B$13,Paramètres!$A$1:$I$89,5,0)</f>
        <v>21.232265686791155</v>
      </c>
      <c r="CV15" s="13">
        <f t="shared" si="41"/>
        <v>6.8562403067985267</v>
      </c>
      <c r="CW15" s="20">
        <f t="shared" si="13"/>
        <v>48.920814605502024</v>
      </c>
      <c r="CX15" s="59">
        <f t="shared" si="14"/>
        <v>245.95059205823489</v>
      </c>
      <c r="CY15" s="59">
        <f ca="1">AVERAGE(OFFSET($CX$3,0,0,'Données projet'!$E$13+1,1))-AVERAGE(OFFSET($H$3,0,0,'Données projet'!$E$13+1,1))</f>
        <v>420.4890915162182</v>
      </c>
      <c r="CZ15" s="59">
        <f t="shared" si="42"/>
        <v>553.48432338023565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4.0628205128205126</v>
      </c>
      <c r="DO15" s="12">
        <f>IF('Données projet'!$A$166&gt;35,DO14+DN15-DW14,IF(A15&lt;'Données projet'!$A$166,$DL$205^A15,IF(A15='Données projet'!$A$166,'Données projet'!$B$166,DO14+DN15-DW14)))</f>
        <v>6.8293529228851897</v>
      </c>
      <c r="DP15" s="17">
        <f>DO15*VLOOKUP('Données projet'!$B$14,Paramètres!$A$1:$I$89,3,0)*VLOOKUP('Données projet'!$B$14,Paramètres!$A$1:$I$89,5,0)</f>
        <v>7.3511154861936179</v>
      </c>
      <c r="DQ15" s="13">
        <f t="shared" si="43"/>
        <v>2.6857265513455357</v>
      </c>
      <c r="DR15" s="20">
        <f t="shared" si="16"/>
        <v>17.480833215380692</v>
      </c>
      <c r="DS15" s="59">
        <f t="shared" si="17"/>
        <v>214.51061066811357</v>
      </c>
      <c r="DT15" s="59">
        <f ca="1">AVERAGE(OFFSET($DS$3,0,0,'Données projet'!$E$14+1,1))-AVERAGE(OFFSET($H$3,0,0,'Données projet'!$E$14+1,1))</f>
        <v>659.55755908012691</v>
      </c>
      <c r="DU15" s="59">
        <f t="shared" si="44"/>
        <v>343.96647464823627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4.0628205128205126</v>
      </c>
      <c r="EJ15" s="12">
        <f>IF('Données projet'!$A$192&gt;35,EJ14+EI15-ER14,IF(A15&lt;'Données projet'!$A$192,$EG$205^A15,IF(A15='Données projet'!$A$192,'Données projet'!$B$192,EJ14+EI15-ER14)))</f>
        <v>6.8293529228851897</v>
      </c>
      <c r="EK15" s="17">
        <f>EJ15*VLOOKUP('Données projet'!$B$15,Paramètres!$A$1:$I$89,3,0)*VLOOKUP('Données projet'!$B$15,Paramètres!$A$1:$I$89,5,0)</f>
        <v>6.6053501470145557</v>
      </c>
      <c r="EL15" s="13">
        <f t="shared" si="45"/>
        <v>2.4434982533774234</v>
      </c>
      <c r="EM15" s="20">
        <f t="shared" si="19"/>
        <v>15.760077630682696</v>
      </c>
      <c r="EN15" s="59">
        <f t="shared" si="20"/>
        <v>212.78985508341557</v>
      </c>
      <c r="EO15" s="59">
        <f ca="1">AVERAGE(OFFSET($EN$3,0,0,'Données projet'!$E$15+1,1))-AVERAGE(OFFSET($H$3,0,0,'Données projet'!$E$15+1,1))</f>
        <v>600.96600099541388</v>
      </c>
      <c r="EP15" s="59">
        <f t="shared" si="46"/>
        <v>315.40159257508969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216.79366597092417</v>
      </c>
      <c r="S16" s="59">
        <f ca="1">AVERAGE(OFFSET($R$3,0,0,'Données projet'!$E$9+1,1))-AVERAGE(OFFSET($H$3,0,0,'Données projet'!$E$9+1,1))</f>
        <v>567.42635821336114</v>
      </c>
      <c r="T16" s="59">
        <f t="shared" si="34"/>
        <v>299.0473530693472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13.687439657435972</v>
      </c>
      <c r="AJ16" s="13">
        <f>AI16*VLOOKUP('Données projet'!$B$10,Paramètres!$A$1:$I$89,3,0)*VLOOKUP('Données projet'!$B$10,Paramètres!$A$1:$I$89,5,0)</f>
        <v>11.743823226080066</v>
      </c>
      <c r="AK16" s="13">
        <f t="shared" si="35"/>
        <v>4.0628963576462231</v>
      </c>
      <c r="AL16" s="20">
        <f t="shared" si="4"/>
        <v>27.530036608323286</v>
      </c>
      <c r="AM16" s="59">
        <f t="shared" si="5"/>
        <v>227.0710368599421</v>
      </c>
      <c r="AN16" s="59">
        <f ca="1">AVERAGE(OFFSET($AM$3,0,0,'Données projet'!$E$10+1,1))-AVERAGE(OFFSET($H$3,0,0,'Données projet'!$E$10+1,1))</f>
        <v>570.05585579662738</v>
      </c>
      <c r="AO16" s="59">
        <f t="shared" si="36"/>
        <v>331.25104323342907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3.9732905982905979</v>
      </c>
      <c r="BD16" s="12">
        <f>IF('Données projet'!$A$88&gt;35,BD15+BC16-BL15,IF(A16&lt;'Données projet'!$A$88,$BA$205^A16,IF(A16='Données projet'!$A$88,'Données projet'!$B$88,BD15+BC16-BL15)))</f>
        <v>7.9381204885351178</v>
      </c>
      <c r="BE16" s="13">
        <f>BD16*VLOOKUP('Données projet'!$B$11,Paramètres!$A$1:$I$89,3,0)*VLOOKUP('Données projet'!$B$11,Paramètres!$A$1:$I$89,5,0)</f>
        <v>6.687072699541984</v>
      </c>
      <c r="BF16" s="13">
        <f t="shared" si="37"/>
        <v>2.4701915627063342</v>
      </c>
      <c r="BG16" s="20">
        <f t="shared" si="7"/>
        <v>15.94890192341582</v>
      </c>
      <c r="BH16" s="59">
        <f t="shared" si="8"/>
        <v>215.48990217503464</v>
      </c>
      <c r="BI16" s="59">
        <f ca="1">AVERAGE(OFFSET($BH$3,0,0,'Données projet'!$E$11+1,1))-AVERAGE(OFFSET($H$3,0,0,'Données projet'!$E$11+1,1))</f>
        <v>458.88102603650725</v>
      </c>
      <c r="BJ16" s="59">
        <f t="shared" si="38"/>
        <v>277.79020316059552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4.0628205128205126</v>
      </c>
      <c r="BY16" s="12">
        <f>IF('Données projet'!$A$114&gt;35,BY15+BX16-CG15,IF(A16&lt;'Données projet'!$A$114,$BV$205^A16,IF(A16='Données projet'!$A$114,'Données projet'!$B$114,BY15+BX16-CG15)))</f>
        <v>8.0151413590917304</v>
      </c>
      <c r="BZ16" s="13">
        <f>BY16*VLOOKUP('Données projet'!$B$12,Paramètres!$A$1:$I$89,3,0)*VLOOKUP('Données projet'!$B$12,Paramètres!$A$1:$I$89,5,0)</f>
        <v>7.6272085173116917</v>
      </c>
      <c r="CA16" s="13">
        <f t="shared" si="39"/>
        <v>2.7746635328661533</v>
      </c>
      <c r="CB16" s="20">
        <f t="shared" si="10"/>
        <v>18.116593820726411</v>
      </c>
      <c r="CC16" s="59">
        <f t="shared" si="11"/>
        <v>217.65759407234523</v>
      </c>
      <c r="CD16" s="59">
        <f ca="1">AVERAGE(OFFSET($CC$3,0,0,'Données projet'!$E$12+1,1))-AVERAGE(OFFSET($H$3,0,0,'Données projet'!$E$12+1,1))</f>
        <v>592.58528888957346</v>
      </c>
      <c r="CE16" s="59">
        <f t="shared" si="40"/>
        <v>311.31528017256846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10.169411764705883</v>
      </c>
      <c r="CT16" s="12">
        <f>IF('Données projet'!$A$140&gt;35,CT15+CS16-DB15,IF(A16&lt;'Données projet'!$A$140,$CQ$205^A16,IF(A16='Données projet'!$A$140,'Données projet'!$B$140,CT15+CS16-DB15)))</f>
        <v>51.430006178274702</v>
      </c>
      <c r="CU16" s="17">
        <f>CT16*VLOOKUP('Données projet'!$B$13,Paramètres!$A$1:$I$89,3,0)*VLOOKUP('Données projet'!$B$13,Paramètres!$A$1:$I$89,5,0)</f>
        <v>28.749373453655558</v>
      </c>
      <c r="CV16" s="13">
        <f t="shared" si="41"/>
        <v>8.9618176999114372</v>
      </c>
      <c r="CW16" s="20">
        <f t="shared" si="13"/>
        <v>65.680324592462512</v>
      </c>
      <c r="CX16" s="59">
        <f t="shared" si="14"/>
        <v>265.22132484408132</v>
      </c>
      <c r="CY16" s="59">
        <f ca="1">AVERAGE(OFFSET($CX$3,0,0,'Données projet'!$E$13+1,1))-AVERAGE(OFFSET($H$3,0,0,'Données projet'!$E$13+1,1))</f>
        <v>420.4890915162182</v>
      </c>
      <c r="CZ16" s="59">
        <f t="shared" si="42"/>
        <v>553.48432338023565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4.0628205128205126</v>
      </c>
      <c r="DO16" s="12">
        <f>IF('Données projet'!$A$166&gt;35,DO15+DN16-DW15,IF(A16&lt;'Données projet'!$A$166,$DL$205^A16,IF(A16='Données projet'!$A$166,'Données projet'!$B$166,DO15+DN16-DW15)))</f>
        <v>8.0151413590917304</v>
      </c>
      <c r="DP16" s="17">
        <f>DO16*VLOOKUP('Données projet'!$B$14,Paramètres!$A$1:$I$89,3,0)*VLOOKUP('Données projet'!$B$14,Paramètres!$A$1:$I$89,5,0)</f>
        <v>8.627498158926338</v>
      </c>
      <c r="DQ16" s="13">
        <f t="shared" si="43"/>
        <v>3.0938548928140652</v>
      </c>
      <c r="DR16" s="20">
        <f t="shared" si="16"/>
        <v>20.414689898447865</v>
      </c>
      <c r="DS16" s="59">
        <f t="shared" si="17"/>
        <v>219.95569015006669</v>
      </c>
      <c r="DT16" s="59">
        <f ca="1">AVERAGE(OFFSET($DS$3,0,0,'Données projet'!$E$14+1,1))-AVERAGE(OFFSET($H$3,0,0,'Données projet'!$E$14+1,1))</f>
        <v>659.55755908012691</v>
      </c>
      <c r="DU16" s="59">
        <f t="shared" si="44"/>
        <v>343.96647464823627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4.0628205128205126</v>
      </c>
      <c r="EJ16" s="12">
        <f>IF('Données projet'!$A$192&gt;35,EJ15+EI16-ER15,IF(A16&lt;'Données projet'!$A$192,$EG$205^A16,IF(A16='Données projet'!$A$192,'Données projet'!$B$192,EJ15+EI16-ER15)))</f>
        <v>8.0151413590917304</v>
      </c>
      <c r="EK16" s="17">
        <f>EJ16*VLOOKUP('Données projet'!$B$15,Paramètres!$A$1:$I$89,3,0)*VLOOKUP('Données projet'!$B$15,Paramètres!$A$1:$I$89,5,0)</f>
        <v>7.752244722513522</v>
      </c>
      <c r="EL16" s="13">
        <f t="shared" si="45"/>
        <v>2.8148171015425705</v>
      </c>
      <c r="EM16" s="20">
        <f t="shared" si="19"/>
        <v>18.404299343564364</v>
      </c>
      <c r="EN16" s="59">
        <f t="shared" si="20"/>
        <v>217.94529959518317</v>
      </c>
      <c r="EO16" s="59">
        <f ca="1">AVERAGE(OFFSET($EN$3,0,0,'Données projet'!$E$15+1,1))-AVERAGE(OFFSET($H$3,0,0,'Données projet'!$E$15+1,1))</f>
        <v>600.96600099541388</v>
      </c>
      <c r="EP16" s="59">
        <f t="shared" si="46"/>
        <v>315.40159257508969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222.17797449414502</v>
      </c>
      <c r="S17" s="59">
        <f ca="1">AVERAGE(OFFSET($R$3,0,0,'Données projet'!$E$9+1,1))-AVERAGE(OFFSET($H$3,0,0,'Données projet'!$E$9+1,1))</f>
        <v>567.42635821336114</v>
      </c>
      <c r="T17" s="59">
        <f t="shared" si="34"/>
        <v>299.0473530693472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16.739081308117708</v>
      </c>
      <c r="AJ17" s="13">
        <f>AI17*VLOOKUP('Données projet'!$B$10,Paramètres!$A$1:$I$89,3,0)*VLOOKUP('Données projet'!$B$10,Paramètres!$A$1:$I$89,5,0)</f>
        <v>14.362131762364994</v>
      </c>
      <c r="AK17" s="13">
        <f t="shared" si="35"/>
        <v>4.8536749785381312</v>
      </c>
      <c r="AL17" s="20">
        <f t="shared" si="4"/>
        <v>33.46753007373961</v>
      </c>
      <c r="AM17" s="59">
        <f t="shared" si="5"/>
        <v>235.49739184601282</v>
      </c>
      <c r="AN17" s="59">
        <f ca="1">AVERAGE(OFFSET($AM$3,0,0,'Données projet'!$E$10+1,1))-AVERAGE(OFFSET($H$3,0,0,'Données projet'!$E$10+1,1))</f>
        <v>570.05585579662738</v>
      </c>
      <c r="AO17" s="59">
        <f t="shared" si="36"/>
        <v>331.25104323342907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3.9732905982905979</v>
      </c>
      <c r="BD17" s="12">
        <f>IF('Données projet'!$A$88&gt;35,BD16+BC17-BL16,IF(A17&lt;'Données projet'!$A$88,$BA$205^A17,IF(A17='Données projet'!$A$88,'Données projet'!$B$88,BD16+BC17-BL16)))</f>
        <v>9.3095082118874259</v>
      </c>
      <c r="BE17" s="13">
        <f>BD17*VLOOKUP('Données projet'!$B$11,Paramètres!$A$1:$I$89,3,0)*VLOOKUP('Données projet'!$B$11,Paramètres!$A$1:$I$89,5,0)</f>
        <v>7.8423297176939677</v>
      </c>
      <c r="BF17" s="13">
        <f t="shared" si="37"/>
        <v>2.8436998367326272</v>
      </c>
      <c r="BG17" s="20">
        <f t="shared" si="7"/>
        <v>18.611501473959652</v>
      </c>
      <c r="BH17" s="59">
        <f t="shared" si="8"/>
        <v>220.64136324623286</v>
      </c>
      <c r="BI17" s="59">
        <f ca="1">AVERAGE(OFFSET($BH$3,0,0,'Données projet'!$E$11+1,1))-AVERAGE(OFFSET($H$3,0,0,'Données projet'!$E$11+1,1))</f>
        <v>458.88102603650725</v>
      </c>
      <c r="BJ17" s="59">
        <f t="shared" si="38"/>
        <v>277.79020316059552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4.0628205128205126</v>
      </c>
      <c r="BY17" s="12">
        <f>IF('Données projet'!$A$114&gt;35,BY16+BX17-CG16,IF(A17&lt;'Données projet'!$A$114,$BV$205^A17,IF(A17='Données projet'!$A$114,'Données projet'!$B$114,BY16+BX17-CG16)))</f>
        <v>9.4068196111151305</v>
      </c>
      <c r="BZ17" s="13">
        <f>BY17*VLOOKUP('Données projet'!$B$12,Paramètres!$A$1:$I$89,3,0)*VLOOKUP('Données projet'!$B$12,Paramètres!$A$1:$I$89,5,0)</f>
        <v>8.9515295419371572</v>
      </c>
      <c r="CA17" s="13">
        <f t="shared" si="39"/>
        <v>3.1963069147043139</v>
      </c>
      <c r="CB17" s="20">
        <f t="shared" si="10"/>
        <v>21.15748182865056</v>
      </c>
      <c r="CC17" s="59">
        <f t="shared" si="11"/>
        <v>223.18734360092375</v>
      </c>
      <c r="CD17" s="59">
        <f ca="1">AVERAGE(OFFSET($CC$3,0,0,'Données projet'!$E$12+1,1))-AVERAGE(OFFSET($H$3,0,0,'Données projet'!$E$12+1,1))</f>
        <v>592.58528888957346</v>
      </c>
      <c r="CE17" s="59">
        <f t="shared" si="40"/>
        <v>311.31528017256846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10.169411764705883</v>
      </c>
      <c r="CT17" s="12">
        <f>IF('Données projet'!$A$140&gt;35,CT16+CS17-DB16,IF(A17&lt;'Données projet'!$A$140,$CQ$205^A17,IF(A17='Données projet'!$A$140,'Données projet'!$B$140,CT16+CS17-DB16)))</f>
        <v>69.638373791774598</v>
      </c>
      <c r="CU17" s="17">
        <f>CT17*VLOOKUP('Données projet'!$B$13,Paramètres!$A$1:$I$89,3,0)*VLOOKUP('Données projet'!$B$13,Paramètres!$A$1:$I$89,5,0)</f>
        <v>38.927850949602004</v>
      </c>
      <c r="CV17" s="13">
        <f t="shared" si="41"/>
        <v>11.71402589358018</v>
      </c>
      <c r="CW17" s="20">
        <f t="shared" si="13"/>
        <v>88.201268835208964</v>
      </c>
      <c r="CX17" s="59">
        <f t="shared" si="14"/>
        <v>290.23113060748216</v>
      </c>
      <c r="CY17" s="59">
        <f ca="1">AVERAGE(OFFSET($CX$3,0,0,'Données projet'!$E$13+1,1))-AVERAGE(OFFSET($H$3,0,0,'Données projet'!$E$13+1,1))</f>
        <v>420.4890915162182</v>
      </c>
      <c r="CZ17" s="59">
        <f t="shared" si="42"/>
        <v>553.48432338023565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4.0628205128205126</v>
      </c>
      <c r="DO17" s="12">
        <f>IF('Données projet'!$A$166&gt;35,DO16+DN17-DW16,IF(A17&lt;'Données projet'!$A$166,$DL$205^A17,IF(A17='Données projet'!$A$166,'Données projet'!$B$166,DO16+DN17-DW16)))</f>
        <v>9.4068196111151305</v>
      </c>
      <c r="DP17" s="17">
        <f>DO17*VLOOKUP('Données projet'!$B$14,Paramètres!$A$1:$I$89,3,0)*VLOOKUP('Données projet'!$B$14,Paramètres!$A$1:$I$89,5,0)</f>
        <v>10.125500629404325</v>
      </c>
      <c r="DQ17" s="13">
        <f t="shared" si="43"/>
        <v>3.5640032277277203</v>
      </c>
      <c r="DR17" s="20">
        <f t="shared" si="16"/>
        <v>23.842552551171647</v>
      </c>
      <c r="DS17" s="59">
        <f t="shared" si="17"/>
        <v>225.87241432344484</v>
      </c>
      <c r="DT17" s="59">
        <f ca="1">AVERAGE(OFFSET($DS$3,0,0,'Données projet'!$E$14+1,1))-AVERAGE(OFFSET($H$3,0,0,'Données projet'!$E$14+1,1))</f>
        <v>659.55755908012691</v>
      </c>
      <c r="DU17" s="59">
        <f t="shared" si="44"/>
        <v>343.96647464823627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4.0628205128205126</v>
      </c>
      <c r="EJ17" s="12">
        <f>IF('Données projet'!$A$192&gt;35,EJ16+EI17-ER16,IF(A17&lt;'Données projet'!$A$192,$EG$205^A17,IF(A17='Données projet'!$A$192,'Données projet'!$B$192,EJ16+EI17-ER16)))</f>
        <v>9.4068196111151305</v>
      </c>
      <c r="EK17" s="17">
        <f>EJ17*VLOOKUP('Données projet'!$B$15,Paramètres!$A$1:$I$89,3,0)*VLOOKUP('Données projet'!$B$15,Paramètres!$A$1:$I$89,5,0)</f>
        <v>9.0982759278705547</v>
      </c>
      <c r="EL17" s="13">
        <f t="shared" si="45"/>
        <v>3.2425622994348409</v>
      </c>
      <c r="EM17" s="20">
        <f t="shared" si="19"/>
        <v>21.493626579223562</v>
      </c>
      <c r="EN17" s="59">
        <f t="shared" si="20"/>
        <v>223.52348835149675</v>
      </c>
      <c r="EO17" s="59">
        <f ca="1">AVERAGE(OFFSET($EN$3,0,0,'Données projet'!$E$15+1,1))-AVERAGE(OFFSET($H$3,0,0,'Données projet'!$E$15+1,1))</f>
        <v>600.96600099541388</v>
      </c>
      <c r="EP17" s="59">
        <f t="shared" si="46"/>
        <v>315.40159257508969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228.02782997431032</v>
      </c>
      <c r="S18" s="59">
        <f ca="1">AVERAGE(OFFSET($R$3,0,0,'Données projet'!$E$9+1,1))-AVERAGE(OFFSET($H$3,0,0,'Données projet'!$E$9+1,1))</f>
        <v>567.42635821336114</v>
      </c>
      <c r="T18" s="59">
        <f t="shared" si="34"/>
        <v>299.0473530693472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20.471092479852732</v>
      </c>
      <c r="AJ18" s="13">
        <f>AI18*VLOOKUP('Données projet'!$B$10,Paramètres!$A$1:$I$89,3,0)*VLOOKUP('Données projet'!$B$10,Paramètres!$A$1:$I$89,5,0)</f>
        <v>17.564197347713648</v>
      </c>
      <c r="AK18" s="13">
        <f t="shared" si="35"/>
        <v>5.7983661712048189</v>
      </c>
      <c r="AL18" s="20">
        <f t="shared" si="4"/>
        <v>40.689798128782996</v>
      </c>
      <c r="AM18" s="59">
        <f t="shared" si="5"/>
        <v>245.18654806166404</v>
      </c>
      <c r="AN18" s="59">
        <f ca="1">AVERAGE(OFFSET($AM$3,0,0,'Données projet'!$E$10+1,1))-AVERAGE(OFFSET($H$3,0,0,'Données projet'!$E$10+1,1))</f>
        <v>570.05585579662738</v>
      </c>
      <c r="AO18" s="59">
        <f t="shared" si="36"/>
        <v>331.25104323342907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3.9732905982905979</v>
      </c>
      <c r="BD18" s="12">
        <f>IF('Données projet'!$A$88&gt;35,BD17+BC18-BL17,IF(A18&lt;'Données projet'!$A$88,$BA$205^A18,IF(A18='Données projet'!$A$88,'Données projet'!$B$88,BD17+BC18-BL17)))</f>
        <v>10.917816537601178</v>
      </c>
      <c r="BE18" s="13">
        <f>BD18*VLOOKUP('Données projet'!$B$11,Paramètres!$A$1:$I$89,3,0)*VLOOKUP('Données projet'!$B$11,Paramètres!$A$1:$I$89,5,0)</f>
        <v>9.1971686512752324</v>
      </c>
      <c r="BF18" s="13">
        <f t="shared" si="37"/>
        <v>3.2736848767200426</v>
      </c>
      <c r="BG18" s="20">
        <f t="shared" si="7"/>
        <v>21.720069894591763</v>
      </c>
      <c r="BH18" s="59">
        <f t="shared" si="8"/>
        <v>226.21681982747282</v>
      </c>
      <c r="BI18" s="59">
        <f ca="1">AVERAGE(OFFSET($BH$3,0,0,'Données projet'!$E$11+1,1))-AVERAGE(OFFSET($H$3,0,0,'Données projet'!$E$11+1,1))</f>
        <v>458.88102603650725</v>
      </c>
      <c r="BJ18" s="59">
        <f t="shared" si="38"/>
        <v>277.79020316059552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4.0628205128205126</v>
      </c>
      <c r="BY18" s="12">
        <f>IF('Données projet'!$A$114&gt;35,BY17+BX18-CG17,IF(A18&lt;'Données projet'!$A$114,$BV$205^A18,IF(A18='Données projet'!$A$114,'Données projet'!$B$114,BY17+BX18-CG17)))</f>
        <v>11.040136565487554</v>
      </c>
      <c r="BZ18" s="13">
        <f>BY18*VLOOKUP('Données projet'!$B$12,Paramètres!$A$1:$I$89,3,0)*VLOOKUP('Données projet'!$B$12,Paramètres!$A$1:$I$89,5,0)</f>
        <v>10.505793955717957</v>
      </c>
      <c r="CA18" s="13">
        <f t="shared" si="39"/>
        <v>3.6820240623674367</v>
      </c>
      <c r="CB18" s="20">
        <f t="shared" si="10"/>
        <v>24.710449714832063</v>
      </c>
      <c r="CC18" s="59">
        <f t="shared" si="11"/>
        <v>229.20719964771311</v>
      </c>
      <c r="CD18" s="59">
        <f ca="1">AVERAGE(OFFSET($CC$3,0,0,'Données projet'!$E$12+1,1))-AVERAGE(OFFSET($H$3,0,0,'Données projet'!$E$12+1,1))</f>
        <v>592.58528888957346</v>
      </c>
      <c r="CE18" s="59">
        <f t="shared" si="40"/>
        <v>311.31528017256846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10.169411764705883</v>
      </c>
      <c r="CT18" s="12">
        <f>IF('Données projet'!$A$140&gt;35,CT17+CS18-DB17,IF(A18&lt;'Données projet'!$A$140,$CQ$205^A18,IF(A18='Données projet'!$A$140,'Données projet'!$B$140,CT17+CS18-DB17)))</f>
        <v>94.293263110893193</v>
      </c>
      <c r="CU18" s="17">
        <f>CT18*VLOOKUP('Données projet'!$B$13,Paramètres!$A$1:$I$89,3,0)*VLOOKUP('Données projet'!$B$13,Paramètres!$A$1:$I$89,5,0)</f>
        <v>52.709934078989292</v>
      </c>
      <c r="CV18" s="13">
        <f t="shared" si="41"/>
        <v>15.311447658305164</v>
      </c>
      <c r="CW18" s="20">
        <f t="shared" si="13"/>
        <v>118.47057319245452</v>
      </c>
      <c r="CX18" s="59">
        <f t="shared" si="14"/>
        <v>322.96732312533555</v>
      </c>
      <c r="CY18" s="59">
        <f ca="1">AVERAGE(OFFSET($CX$3,0,0,'Données projet'!$E$13+1,1))-AVERAGE(OFFSET($H$3,0,0,'Données projet'!$E$13+1,1))</f>
        <v>420.4890915162182</v>
      </c>
      <c r="CZ18" s="59">
        <f t="shared" si="42"/>
        <v>553.48432338023565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4.0628205128205126</v>
      </c>
      <c r="DO18" s="12">
        <f>IF('Données projet'!$A$166&gt;35,DO17+DN18-DW17,IF(A18&lt;'Données projet'!$A$166,$DL$205^A18,IF(A18='Données projet'!$A$166,'Données projet'!$B$166,DO17+DN18-DW17)))</f>
        <v>11.040136565487554</v>
      </c>
      <c r="DP18" s="17">
        <f>DO18*VLOOKUP('Données projet'!$B$14,Paramètres!$A$1:$I$89,3,0)*VLOOKUP('Données projet'!$B$14,Paramètres!$A$1:$I$89,5,0)</f>
        <v>11.883602999090803</v>
      </c>
      <c r="DQ18" s="13">
        <f t="shared" si="43"/>
        <v>4.1055962374822954</v>
      </c>
      <c r="DR18" s="20">
        <f t="shared" si="16"/>
        <v>27.847855337031476</v>
      </c>
      <c r="DS18" s="59">
        <f t="shared" si="17"/>
        <v>232.34460526991251</v>
      </c>
      <c r="DT18" s="59">
        <f ca="1">AVERAGE(OFFSET($DS$3,0,0,'Données projet'!$E$14+1,1))-AVERAGE(OFFSET($H$3,0,0,'Données projet'!$E$14+1,1))</f>
        <v>659.55755908012691</v>
      </c>
      <c r="DU18" s="59">
        <f t="shared" si="44"/>
        <v>343.96647464823627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4.0628205128205126</v>
      </c>
      <c r="EJ18" s="12">
        <f>IF('Données projet'!$A$192&gt;35,EJ17+EI18-ER17,IF(A18&lt;'Données projet'!$A$192,$EG$205^A18,IF(A18='Données projet'!$A$192,'Données projet'!$B$192,EJ17+EI18-ER17)))</f>
        <v>11.040136565487554</v>
      </c>
      <c r="EK18" s="17">
        <f>EJ18*VLOOKUP('Données projet'!$B$15,Paramètres!$A$1:$I$89,3,0)*VLOOKUP('Données projet'!$B$15,Paramètres!$A$1:$I$89,5,0)</f>
        <v>10.678020086139563</v>
      </c>
      <c r="EL18" s="13">
        <f t="shared" si="45"/>
        <v>3.7353085072398455</v>
      </c>
      <c r="EM18" s="20">
        <f t="shared" si="19"/>
        <v>25.103213966802468</v>
      </c>
      <c r="EN18" s="59">
        <f t="shared" si="20"/>
        <v>229.5999638996835</v>
      </c>
      <c r="EO18" s="59">
        <f ca="1">AVERAGE(OFFSET($EN$3,0,0,'Données projet'!$E$15+1,1))-AVERAGE(OFFSET($H$3,0,0,'Données projet'!$E$15+1,1))</f>
        <v>600.96600099541388</v>
      </c>
      <c r="EP18" s="59">
        <f t="shared" si="46"/>
        <v>315.40159257508969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234.42594953184124</v>
      </c>
      <c r="S19" s="59">
        <f ca="1">AVERAGE(OFFSET($R$3,0,0,'Données projet'!$E$9+1,1))-AVERAGE(OFFSET($H$3,0,0,'Données projet'!$E$9+1,1))</f>
        <v>567.42635821336114</v>
      </c>
      <c r="T19" s="59">
        <f t="shared" si="34"/>
        <v>299.0473530693472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25.035162898423533</v>
      </c>
      <c r="AJ19" s="13">
        <f>AI19*VLOOKUP('Données projet'!$B$10,Paramètres!$A$1:$I$89,3,0)*VLOOKUP('Données projet'!$B$10,Paramètres!$A$1:$I$89,5,0)</f>
        <v>21.480169766847393</v>
      </c>
      <c r="AK19" s="13">
        <f t="shared" si="35"/>
        <v>6.9269265873873334</v>
      </c>
      <c r="AL19" s="20">
        <f t="shared" si="4"/>
        <v>49.475692816958805</v>
      </c>
      <c r="AM19" s="59">
        <f t="shared" si="5"/>
        <v>256.41773873907289</v>
      </c>
      <c r="AN19" s="59">
        <f ca="1">AVERAGE(OFFSET($AM$3,0,0,'Données projet'!$E$10+1,1))-AVERAGE(OFFSET($H$3,0,0,'Données projet'!$E$10+1,1))</f>
        <v>570.05585579662738</v>
      </c>
      <c r="AO19" s="59">
        <f t="shared" si="36"/>
        <v>331.25104323342907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3.9732905982905979</v>
      </c>
      <c r="BD19" s="12">
        <f>IF('Données projet'!$A$88&gt;35,BD18+BC19-BL18,IF(A19&lt;'Données projet'!$A$88,$BA$205^A19,IF(A19='Données projet'!$A$88,'Données projet'!$B$88,BD18+BC19-BL18)))</f>
        <v>12.803975810076782</v>
      </c>
      <c r="BE19" s="13">
        <f>BD19*VLOOKUP('Données projet'!$B$11,Paramètres!$A$1:$I$89,3,0)*VLOOKUP('Données projet'!$B$11,Paramètres!$A$1:$I$89,5,0)</f>
        <v>10.786069222408683</v>
      </c>
      <c r="BF19" s="13">
        <f t="shared" si="37"/>
        <v>3.7686863197134151</v>
      </c>
      <c r="BG19" s="20">
        <f t="shared" si="7"/>
        <v>25.349532569195986</v>
      </c>
      <c r="BH19" s="59">
        <f t="shared" si="8"/>
        <v>232.29157849131005</v>
      </c>
      <c r="BI19" s="59">
        <f ca="1">AVERAGE(OFFSET($BH$3,0,0,'Données projet'!$E$11+1,1))-AVERAGE(OFFSET($H$3,0,0,'Données projet'!$E$11+1,1))</f>
        <v>458.88102603650725</v>
      </c>
      <c r="BJ19" s="59">
        <f t="shared" si="38"/>
        <v>277.79020316059552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4.0628205128205126</v>
      </c>
      <c r="BY19" s="12">
        <f>IF('Données projet'!$A$114&gt;35,BY18+BX19-CG18,IF(A19&lt;'Données projet'!$A$114,$BV$205^A19,IF(A19='Données projet'!$A$114,'Données projet'!$B$114,BY18+BX19-CG18)))</f>
        <v>12.957048229201293</v>
      </c>
      <c r="BZ19" s="13">
        <f>BY19*VLOOKUP('Données projet'!$B$12,Paramètres!$A$1:$I$89,3,0)*VLOOKUP('Données projet'!$B$12,Paramètres!$A$1:$I$89,5,0)</f>
        <v>12.32992709490795</v>
      </c>
      <c r="CA19" s="13">
        <f t="shared" si="39"/>
        <v>4.2415517525816071</v>
      </c>
      <c r="CB19" s="20">
        <f t="shared" si="10"/>
        <v>28.861992326044312</v>
      </c>
      <c r="CC19" s="59">
        <f t="shared" si="11"/>
        <v>235.80403824815838</v>
      </c>
      <c r="CD19" s="59">
        <f ca="1">AVERAGE(OFFSET($CC$3,0,0,'Données projet'!$E$12+1,1))-AVERAGE(OFFSET($H$3,0,0,'Données projet'!$E$12+1,1))</f>
        <v>592.58528888957346</v>
      </c>
      <c r="CE19" s="59">
        <f t="shared" si="40"/>
        <v>311.31528017256846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10.169411764705883</v>
      </c>
      <c r="CT19" s="12">
        <f>IF('Données projet'!$A$140&gt;35,CT18+CS19-DB18,IF(A19&lt;'Données projet'!$A$140,$CQ$205^A19,IF(A19='Données projet'!$A$140,'Données projet'!$B$140,CT18+CS19-DB18)))</f>
        <v>127.67701173904101</v>
      </c>
      <c r="CU19" s="17">
        <f>CT19*VLOOKUP('Données projet'!$B$13,Paramètres!$A$1:$I$89,3,0)*VLOOKUP('Données projet'!$B$13,Paramètres!$A$1:$I$89,5,0)</f>
        <v>71.371449562123928</v>
      </c>
      <c r="CV19" s="13">
        <f t="shared" si="41"/>
        <v>20.013651286318474</v>
      </c>
      <c r="CW19" s="20">
        <f t="shared" si="13"/>
        <v>159.16238397770385</v>
      </c>
      <c r="CX19" s="59">
        <f t="shared" si="14"/>
        <v>366.10442989981789</v>
      </c>
      <c r="CY19" s="59">
        <f ca="1">AVERAGE(OFFSET($CX$3,0,0,'Données projet'!$E$13+1,1))-AVERAGE(OFFSET($H$3,0,0,'Données projet'!$E$13+1,1))</f>
        <v>420.4890915162182</v>
      </c>
      <c r="CZ19" s="59">
        <f t="shared" si="42"/>
        <v>553.48432338023565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4.0628205128205126</v>
      </c>
      <c r="DO19" s="12">
        <f>IF('Données projet'!$A$166&gt;35,DO18+DN19-DW18,IF(A19&lt;'Données projet'!$A$166,$DL$205^A19,IF(A19='Données projet'!$A$166,'Données projet'!$B$166,DO18+DN19-DW18)))</f>
        <v>12.957048229201293</v>
      </c>
      <c r="DP19" s="17">
        <f>DO19*VLOOKUP('Données projet'!$B$14,Paramètres!$A$1:$I$89,3,0)*VLOOKUP('Données projet'!$B$14,Paramètres!$A$1:$I$89,5,0)</f>
        <v>13.946966713912271</v>
      </c>
      <c r="DQ19" s="13">
        <f t="shared" si="43"/>
        <v>4.7294907967789648</v>
      </c>
      <c r="DR19" s="20">
        <f t="shared" si="16"/>
        <v>32.528163497787233</v>
      </c>
      <c r="DS19" s="59">
        <f t="shared" si="17"/>
        <v>239.47020941990129</v>
      </c>
      <c r="DT19" s="59">
        <f ca="1">AVERAGE(OFFSET($DS$3,0,0,'Données projet'!$E$14+1,1))-AVERAGE(OFFSET($H$3,0,0,'Données projet'!$E$14+1,1))</f>
        <v>659.55755908012691</v>
      </c>
      <c r="DU19" s="59">
        <f t="shared" si="44"/>
        <v>343.96647464823627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4.0628205128205126</v>
      </c>
      <c r="EJ19" s="12">
        <f>IF('Données projet'!$A$192&gt;35,EJ18+EI19-ER18,IF(A19&lt;'Données projet'!$A$192,$EG$205^A19,IF(A19='Données projet'!$A$192,'Données projet'!$B$192,EJ18+EI19-ER18)))</f>
        <v>12.957048229201293</v>
      </c>
      <c r="EK19" s="17">
        <f>EJ19*VLOOKUP('Données projet'!$B$15,Paramètres!$A$1:$I$89,3,0)*VLOOKUP('Données projet'!$B$15,Paramètres!$A$1:$I$89,5,0)</f>
        <v>12.532057047283491</v>
      </c>
      <c r="EL19" s="13">
        <f t="shared" si="45"/>
        <v>4.3029334075370569</v>
      </c>
      <c r="EM19" s="20">
        <f t="shared" si="19"/>
        <v>29.320941708812455</v>
      </c>
      <c r="EN19" s="59">
        <f t="shared" si="20"/>
        <v>236.26298763092652</v>
      </c>
      <c r="EO19" s="59">
        <f ca="1">AVERAGE(OFFSET($EN$3,0,0,'Données projet'!$E$15+1,1))-AVERAGE(OFFSET($H$3,0,0,'Données projet'!$E$15+1,1))</f>
        <v>600.96600099541388</v>
      </c>
      <c r="EP19" s="59">
        <f t="shared" si="46"/>
        <v>315.40159257508969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241.46898830206896</v>
      </c>
      <c r="S20" s="59">
        <f ca="1">AVERAGE(OFFSET($R$3,0,0,'Données projet'!$E$9+1,1))-AVERAGE(OFFSET($H$3,0,0,'Données projet'!$E$9+1,1))</f>
        <v>567.42635821336114</v>
      </c>
      <c r="T20" s="59">
        <f t="shared" si="34"/>
        <v>299.0473530693472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30.61680181296855</v>
      </c>
      <c r="AJ20" s="13">
        <f>AI20*VLOOKUP('Données projet'!$B$10,Paramètres!$A$1:$I$89,3,0)*VLOOKUP('Données projet'!$B$10,Paramètres!$A$1:$I$89,5,0)</f>
        <v>26.26921595552702</v>
      </c>
      <c r="AK20" s="13">
        <f t="shared" si="35"/>
        <v>8.2751434680579159</v>
      </c>
      <c r="AL20" s="20">
        <f t="shared" si="4"/>
        <v>60.164759329410423</v>
      </c>
      <c r="AM20" s="59">
        <f t="shared" si="5"/>
        <v>269.53088364528315</v>
      </c>
      <c r="AN20" s="59">
        <f ca="1">AVERAGE(OFFSET($AM$3,0,0,'Données projet'!$E$10+1,1))-AVERAGE(OFFSET($H$3,0,0,'Données projet'!$E$10+1,1))</f>
        <v>570.05585579662738</v>
      </c>
      <c r="AO20" s="59">
        <f t="shared" si="36"/>
        <v>331.25104323342907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3.9732905982905979</v>
      </c>
      <c r="BD20" s="12">
        <f>IF('Données projet'!$A$88&gt;35,BD19+BC20-BL19,IF(A20&lt;'Données projet'!$A$88,$BA$205^A20,IF(A20='Données projet'!$A$88,'Données projet'!$B$88,BD19+BC20-BL19)))</f>
        <v>15.015987489844015</v>
      </c>
      <c r="BE20" s="13">
        <f>BD20*VLOOKUP('Données projet'!$B$11,Paramètres!$A$1:$I$89,3,0)*VLOOKUP('Données projet'!$B$11,Paramètres!$A$1:$I$89,5,0)</f>
        <v>12.649467861444599</v>
      </c>
      <c r="BF20" s="13">
        <f t="shared" si="37"/>
        <v>4.3385350488056895</v>
      </c>
      <c r="BG20" s="20">
        <f t="shared" si="7"/>
        <v>29.587438402019249</v>
      </c>
      <c r="BH20" s="59">
        <f t="shared" si="8"/>
        <v>238.95356271789197</v>
      </c>
      <c r="BI20" s="59">
        <f ca="1">AVERAGE(OFFSET($BH$3,0,0,'Données projet'!$E$11+1,1))-AVERAGE(OFFSET($H$3,0,0,'Données projet'!$E$11+1,1))</f>
        <v>458.88102603650725</v>
      </c>
      <c r="BJ20" s="59">
        <f t="shared" si="38"/>
        <v>277.79020316059552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4.0628205128205126</v>
      </c>
      <c r="BY20" s="12">
        <f>IF('Données projet'!$A$114&gt;35,BY19+BX20-CG19,IF(A20&lt;'Données projet'!$A$114,$BV$205^A20,IF(A20='Données projet'!$A$114,'Données projet'!$B$114,BY19+BX20-CG19)))</f>
        <v>15.206795479203771</v>
      </c>
      <c r="BZ20" s="13">
        <f>BY20*VLOOKUP('Données projet'!$B$12,Paramètres!$A$1:$I$89,3,0)*VLOOKUP('Données projet'!$B$12,Paramètres!$A$1:$I$89,5,0)</f>
        <v>14.470786578010308</v>
      </c>
      <c r="CA20" s="13">
        <f t="shared" si="39"/>
        <v>4.8861063820046198</v>
      </c>
      <c r="CB20" s="20">
        <f t="shared" si="10"/>
        <v>33.713255238692668</v>
      </c>
      <c r="CC20" s="59">
        <f t="shared" si="11"/>
        <v>243.07937955456538</v>
      </c>
      <c r="CD20" s="59">
        <f ca="1">AVERAGE(OFFSET($CC$3,0,0,'Données projet'!$E$12+1,1))-AVERAGE(OFFSET($H$3,0,0,'Données projet'!$E$12+1,1))</f>
        <v>592.58528888957346</v>
      </c>
      <c r="CE20" s="59">
        <f t="shared" si="40"/>
        <v>311.31528017256846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>
        <f>VLOOKUP(A20,'Données projet'!$A$139:$I$159,2,0)</f>
        <v>172.88</v>
      </c>
      <c r="CR20" s="12">
        <f>VLOOKUP(A20,'Données projet'!$A$139:$I$159,9,0)</f>
        <v>10.169411764705883</v>
      </c>
      <c r="CS20" s="12">
        <f t="array" ref="CS20">INDEX(CR:CR,MIN(IF(ISNUMBER(CR20:CR216),ROW(CR20:CR216),"")))</f>
        <v>10.169411764705883</v>
      </c>
      <c r="CT20" s="12">
        <f>IF('Données projet'!$A$140&gt;35,CT19+CS20-DB19,IF(A20&lt;'Données projet'!$A$140,$CQ$205^A20,IF(A20='Données projet'!$A$140,'Données projet'!$B$140,CT19+CS20-DB19)))</f>
        <v>172.88</v>
      </c>
      <c r="CU20" s="17">
        <f>CT20*VLOOKUP('Données projet'!$B$13,Paramètres!$A$1:$I$89,3,0)*VLOOKUP('Données projet'!$B$13,Paramètres!$A$1:$I$89,5,0)</f>
        <v>96.639919999999989</v>
      </c>
      <c r="CV20" s="13">
        <f t="shared" si="41"/>
        <v>26.159919476529339</v>
      </c>
      <c r="CW20" s="20">
        <f t="shared" si="13"/>
        <v>213.87638708828857</v>
      </c>
      <c r="CX20" s="59">
        <f t="shared" si="14"/>
        <v>423.24251140416129</v>
      </c>
      <c r="CY20" s="59">
        <f ca="1">AVERAGE(OFFSET($CX$3,0,0,'Données projet'!$E$13+1,1))-AVERAGE(OFFSET($H$3,0,0,'Données projet'!$E$13+1,1))</f>
        <v>420.4890915162182</v>
      </c>
      <c r="CZ20" s="59">
        <f t="shared" si="42"/>
        <v>553.48432338023565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4.0628205128205126</v>
      </c>
      <c r="DO20" s="12">
        <f>IF('Données projet'!$A$166&gt;35,DO19+DN20-DW19,IF(A20&lt;'Données projet'!$A$166,$DL$205^A20,IF(A20='Données projet'!$A$166,'Données projet'!$B$166,DO19+DN20-DW19)))</f>
        <v>15.206795479203771</v>
      </c>
      <c r="DP20" s="17">
        <f>DO20*VLOOKUP('Données projet'!$B$14,Paramètres!$A$1:$I$89,3,0)*VLOOKUP('Données projet'!$B$14,Paramètres!$A$1:$I$89,5,0)</f>
        <v>16.368594653814938</v>
      </c>
      <c r="DQ20" s="13">
        <f t="shared" si="43"/>
        <v>5.4481936125637764</v>
      </c>
      <c r="DR20" s="20">
        <f t="shared" si="16"/>
        <v>37.997572897276264</v>
      </c>
      <c r="DS20" s="59">
        <f t="shared" si="17"/>
        <v>247.36369721314898</v>
      </c>
      <c r="DT20" s="59">
        <f ca="1">AVERAGE(OFFSET($DS$3,0,0,'Données projet'!$E$14+1,1))-AVERAGE(OFFSET($H$3,0,0,'Données projet'!$E$14+1,1))</f>
        <v>659.55755908012691</v>
      </c>
      <c r="DU20" s="59">
        <f t="shared" si="44"/>
        <v>343.96647464823627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4.0628205128205126</v>
      </c>
      <c r="EJ20" s="12">
        <f>IF('Données projet'!$A$192&gt;35,EJ19+EI20-ER19,IF(A20&lt;'Données projet'!$A$192,$EG$205^A20,IF(A20='Données projet'!$A$192,'Données projet'!$B$192,EJ19+EI20-ER19)))</f>
        <v>15.206795479203771</v>
      </c>
      <c r="EK20" s="17">
        <f>EJ20*VLOOKUP('Données projet'!$B$15,Paramètres!$A$1:$I$89,3,0)*VLOOKUP('Données projet'!$B$15,Paramètres!$A$1:$I$89,5,0)</f>
        <v>14.708012587485888</v>
      </c>
      <c r="EL20" s="13">
        <f t="shared" si="45"/>
        <v>4.9568157151710226</v>
      </c>
      <c r="EM20" s="20">
        <f t="shared" si="19"/>
        <v>34.249575960460788</v>
      </c>
      <c r="EN20" s="59">
        <f t="shared" si="20"/>
        <v>243.61570027633351</v>
      </c>
      <c r="EO20" s="59">
        <f ca="1">AVERAGE(OFFSET($EN$3,0,0,'Données projet'!$E$15+1,1))-AVERAGE(OFFSET($H$3,0,0,'Données projet'!$E$15+1,1))</f>
        <v>600.96600099541388</v>
      </c>
      <c r="EP20" s="59">
        <f t="shared" si="46"/>
        <v>315.40159257508969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249.26990736392435</v>
      </c>
      <c r="S21" s="59">
        <f ca="1">AVERAGE(OFFSET($R$3,0,0,'Données projet'!$E$9+1,1))-AVERAGE(OFFSET($H$3,0,0,'Données projet'!$E$9+1,1))</f>
        <v>567.42635821336114</v>
      </c>
      <c r="T21" s="59">
        <f t="shared" si="34"/>
        <v>299.0473530693472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37.442878125375486</v>
      </c>
      <c r="AJ21" s="13">
        <f>AI21*VLOOKUP('Données projet'!$B$10,Paramètres!$A$1:$I$89,3,0)*VLOOKUP('Données projet'!$B$10,Paramètres!$A$1:$I$89,5,0)</f>
        <v>32.125989431572172</v>
      </c>
      <c r="AK21" s="13">
        <f t="shared" si="35"/>
        <v>9.8857694755459775</v>
      </c>
      <c r="AL21" s="20">
        <f t="shared" si="4"/>
        <v>73.170480096564106</v>
      </c>
      <c r="AM21" s="59">
        <f t="shared" si="5"/>
        <v>284.93983328856723</v>
      </c>
      <c r="AN21" s="59">
        <f ca="1">AVERAGE(OFFSET($AM$3,0,0,'Données projet'!$E$10+1,1))-AVERAGE(OFFSET($H$3,0,0,'Données projet'!$E$10+1,1))</f>
        <v>570.05585579662738</v>
      </c>
      <c r="AO21" s="59">
        <f t="shared" si="36"/>
        <v>331.25104323342907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3.9732905982905979</v>
      </c>
      <c r="BD21" s="12">
        <f>IF('Données projet'!$A$88&gt;35,BD20+BC21-BL20,IF(A21&lt;'Données projet'!$A$88,$BA$205^A21,IF(A21='Données projet'!$A$88,'Données projet'!$B$88,BD20+BC21-BL20)))</f>
        <v>17.610145757827684</v>
      </c>
      <c r="BE21" s="13">
        <f>BD21*VLOOKUP('Données projet'!$B$11,Paramètres!$A$1:$I$89,3,0)*VLOOKUP('Données projet'!$B$11,Paramètres!$A$1:$I$89,5,0)</f>
        <v>14.834786786394043</v>
      </c>
      <c r="BF21" s="13">
        <f t="shared" si="37"/>
        <v>4.9945484375432834</v>
      </c>
      <c r="BG21" s="20">
        <f t="shared" si="7"/>
        <v>34.53609218169084</v>
      </c>
      <c r="BH21" s="59">
        <f t="shared" si="8"/>
        <v>246.30544537369394</v>
      </c>
      <c r="BI21" s="59">
        <f ca="1">AVERAGE(OFFSET($BH$3,0,0,'Données projet'!$E$11+1,1))-AVERAGE(OFFSET($H$3,0,0,'Données projet'!$E$11+1,1))</f>
        <v>458.88102603650725</v>
      </c>
      <c r="BJ21" s="59">
        <f t="shared" si="38"/>
        <v>277.79020316059552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4.0628205128205126</v>
      </c>
      <c r="BY21" s="12">
        <f>IF('Données projet'!$A$114&gt;35,BY20+BX21-CG20,IF(A21&lt;'Données projet'!$A$114,$BV$205^A21,IF(A21='Données projet'!$A$114,'Données projet'!$B$114,BY20+BX21-CG20)))</f>
        <v>17.847168942782186</v>
      </c>
      <c r="BZ21" s="13">
        <f>BY21*VLOOKUP('Données projet'!$B$12,Paramètres!$A$1:$I$89,3,0)*VLOOKUP('Données projet'!$B$12,Paramètres!$A$1:$I$89,5,0)</f>
        <v>16.983365965951528</v>
      </c>
      <c r="CA21" s="13">
        <f t="shared" si="39"/>
        <v>5.6286088132097909</v>
      </c>
      <c r="CB21" s="20">
        <f t="shared" si="10"/>
        <v>39.382522740372629</v>
      </c>
      <c r="CC21" s="59">
        <f t="shared" si="11"/>
        <v>251.15187593237573</v>
      </c>
      <c r="CD21" s="59">
        <f ca="1">AVERAGE(OFFSET($CC$3,0,0,'Données projet'!$E$12+1,1))-AVERAGE(OFFSET($H$3,0,0,'Données projet'!$E$12+1,1))</f>
        <v>592.58528888957346</v>
      </c>
      <c r="CE21" s="59">
        <f t="shared" si="40"/>
        <v>311.31528017256846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>
        <f>VLOOKUP(A21,'Données projet'!$A$139:$I$159,2,0)</f>
        <v>202.42</v>
      </c>
      <c r="CR21" s="12">
        <f>VLOOKUP(A21,'Données projet'!$A$139:$I$159,9,0)</f>
        <v>29.539999999999992</v>
      </c>
      <c r="CS21" s="12">
        <f t="array" ref="CS21">INDEX(CR:CR,MIN(IF(ISNUMBER(CR21:CR217),ROW(CR21:CR217),"")))</f>
        <v>29.539999999999992</v>
      </c>
      <c r="CT21" s="12">
        <f>IF('Données projet'!$A$140&gt;35,CT20+CS21-DB20,IF(A21&lt;'Données projet'!$A$140,$CQ$205^A21,IF(A21='Données projet'!$A$140,'Données projet'!$B$140,CT20+CS21-DB20)))</f>
        <v>202.42</v>
      </c>
      <c r="CU21" s="17">
        <f>CT21*VLOOKUP('Données projet'!$B$13,Paramètres!$A$1:$I$89,3,0)*VLOOKUP('Données projet'!$B$13,Paramètres!$A$1:$I$89,5,0)</f>
        <v>113.15278000000001</v>
      </c>
      <c r="CV21" s="13">
        <f t="shared" si="41"/>
        <v>30.072578047950454</v>
      </c>
      <c r="CW21" s="20">
        <f t="shared" si="13"/>
        <v>249.45083193351374</v>
      </c>
      <c r="CX21" s="59">
        <f t="shared" si="14"/>
        <v>461.22018512551688</v>
      </c>
      <c r="CY21" s="59">
        <f ca="1">AVERAGE(OFFSET($CX$3,0,0,'Données projet'!$E$13+1,1))-AVERAGE(OFFSET($H$3,0,0,'Données projet'!$E$13+1,1))</f>
        <v>420.4890915162182</v>
      </c>
      <c r="CZ21" s="59">
        <f t="shared" si="42"/>
        <v>553.48432338023565</v>
      </c>
      <c r="DA21" s="15">
        <f>IF(ISNA(VLOOKUP(A21,'Données projet'!$A$139:$I$159,3,0)),0,VLOOKUP(A21,'Données projet'!$A$139:$I$159,3,0))</f>
        <v>1</v>
      </c>
      <c r="DB21" s="15">
        <f>IF(ISNA(VLOOKUP(A21,'Données projet'!$A$139:$I$159,4,0)),0,VLOOKUP(A21,'Données projet'!$A$139:$I$159,4,0))</f>
        <v>74.819999999999993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1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47.354913860019963</v>
      </c>
      <c r="DI21" s="22">
        <f t="shared" si="15"/>
        <v>47.354913860019963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4.0628205128205126</v>
      </c>
      <c r="DO21" s="12">
        <f>IF('Données projet'!$A$166&gt;35,DO20+DN21-DW20,IF(A21&lt;'Données projet'!$A$166,$DL$205^A21,IF(A21='Données projet'!$A$166,'Données projet'!$B$166,DO20+DN21-DW20)))</f>
        <v>17.847168942782186</v>
      </c>
      <c r="DP21" s="17">
        <f>DO21*VLOOKUP('Données projet'!$B$14,Paramètres!$A$1:$I$89,3,0)*VLOOKUP('Données projet'!$B$14,Paramètres!$A$1:$I$89,5,0)</f>
        <v>19.210692650010746</v>
      </c>
      <c r="DQ21" s="13">
        <f t="shared" si="43"/>
        <v>6.2761119358126942</v>
      </c>
      <c r="DR21" s="20">
        <f t="shared" si="16"/>
        <v>44.389517986975818</v>
      </c>
      <c r="DS21" s="59">
        <f t="shared" si="17"/>
        <v>256.15887117897893</v>
      </c>
      <c r="DT21" s="59">
        <f ca="1">AVERAGE(OFFSET($DS$3,0,0,'Données projet'!$E$14+1,1))-AVERAGE(OFFSET($H$3,0,0,'Données projet'!$E$14+1,1))</f>
        <v>659.55755908012691</v>
      </c>
      <c r="DU21" s="59">
        <f t="shared" si="44"/>
        <v>343.96647464823627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4.0628205128205126</v>
      </c>
      <c r="EJ21" s="12">
        <f>IF('Données projet'!$A$192&gt;35,EJ20+EI21-ER20,IF(A21&lt;'Données projet'!$A$192,$EG$205^A21,IF(A21='Données projet'!$A$192,'Données projet'!$B$192,EJ20+EI21-ER20)))</f>
        <v>17.847168942782186</v>
      </c>
      <c r="EK21" s="17">
        <f>EJ21*VLOOKUP('Données projet'!$B$15,Paramètres!$A$1:$I$89,3,0)*VLOOKUP('Données projet'!$B$15,Paramètres!$A$1:$I$89,5,0)</f>
        <v>17.26178180145893</v>
      </c>
      <c r="EL21" s="13">
        <f t="shared" si="45"/>
        <v>5.710063277095883</v>
      </c>
      <c r="EM21" s="20">
        <f t="shared" si="19"/>
        <v>40.009296845149635</v>
      </c>
      <c r="EN21" s="59">
        <f t="shared" si="20"/>
        <v>251.77865003715274</v>
      </c>
      <c r="EO21" s="59">
        <f ca="1">AVERAGE(OFFSET($EN$3,0,0,'Données projet'!$E$15+1,1))-AVERAGE(OFFSET($H$3,0,0,'Données projet'!$E$15+1,1))</f>
        <v>600.96600099541388</v>
      </c>
      <c r="EP21" s="59">
        <f t="shared" si="46"/>
        <v>315.40159257508969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257.96074467695155</v>
      </c>
      <c r="S22" s="59">
        <f ca="1">AVERAGE(OFFSET($R$3,0,0,'Données projet'!$E$9+1,1))-AVERAGE(OFFSET($H$3,0,0,'Données projet'!$E$9+1,1))</f>
        <v>567.42635821336114</v>
      </c>
      <c r="T22" s="59">
        <f t="shared" si="34"/>
        <v>299.0473530693472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45.79084160638493</v>
      </c>
      <c r="AJ22" s="13">
        <f>AI22*VLOOKUP('Données projet'!$B$10,Paramètres!$A$1:$I$89,3,0)*VLOOKUP('Données projet'!$B$10,Paramètres!$A$1:$I$89,5,0)</f>
        <v>39.28854209827827</v>
      </c>
      <c r="AK22" s="13">
        <f t="shared" si="35"/>
        <v>11.809878402817876</v>
      </c>
      <c r="AL22" s="20">
        <f t="shared" si="4"/>
        <v>88.99641570607578</v>
      </c>
      <c r="AM22" s="59">
        <f t="shared" si="5"/>
        <v>303.14850994909932</v>
      </c>
      <c r="AN22" s="59">
        <f ca="1">AVERAGE(OFFSET($AM$3,0,0,'Données projet'!$E$10+1,1))-AVERAGE(OFFSET($H$3,0,0,'Données projet'!$E$10+1,1))</f>
        <v>570.05585579662738</v>
      </c>
      <c r="AO22" s="59">
        <f t="shared" si="36"/>
        <v>331.25104323342907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3.9732905982905979</v>
      </c>
      <c r="BD22" s="12">
        <f>IF('Données projet'!$A$88&gt;35,BD21+BC22-BL21,IF(A22&lt;'Données projet'!$A$88,$BA$205^A22,IF(A22='Données projet'!$A$88,'Données projet'!$B$88,BD21+BC22-BL21)))</f>
        <v>20.652470163662738</v>
      </c>
      <c r="BE22" s="13">
        <f>BD22*VLOOKUP('Données projet'!$B$11,Paramètres!$A$1:$I$89,3,0)*VLOOKUP('Données projet'!$B$11,Paramètres!$A$1:$I$89,5,0)</f>
        <v>17.397640865869491</v>
      </c>
      <c r="BF22" s="13">
        <f t="shared" si="37"/>
        <v>5.7497551164956144</v>
      </c>
      <c r="BG22" s="20">
        <f t="shared" si="7"/>
        <v>40.315048002619221</v>
      </c>
      <c r="BH22" s="59">
        <f t="shared" si="8"/>
        <v>254.46714224564275</v>
      </c>
      <c r="BI22" s="59">
        <f ca="1">AVERAGE(OFFSET($BH$3,0,0,'Données projet'!$E$11+1,1))-AVERAGE(OFFSET($H$3,0,0,'Données projet'!$E$11+1,1))</f>
        <v>458.88102603650725</v>
      </c>
      <c r="BJ22" s="59">
        <f t="shared" si="38"/>
        <v>277.79020316059552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4.0628205128205126</v>
      </c>
      <c r="BY22" s="12">
        <f>IF('Données projet'!$A$114&gt;35,BY21+BX22-CG21,IF(A22&lt;'Données projet'!$A$114,$BV$205^A22,IF(A22='Données projet'!$A$114,'Données projet'!$B$114,BY21+BX22-CG21)))</f>
        <v>20.945993500590358</v>
      </c>
      <c r="BZ22" s="13">
        <f>BY22*VLOOKUP('Données projet'!$B$12,Paramètres!$A$1:$I$89,3,0)*VLOOKUP('Données projet'!$B$12,Paramètres!$A$1:$I$89,5,0)</f>
        <v>19.932207415161784</v>
      </c>
      <c r="CA22" s="13">
        <f t="shared" si="39"/>
        <v>6.4839433887121185</v>
      </c>
      <c r="CB22" s="20">
        <f t="shared" si="10"/>
        <v>46.008129316747045</v>
      </c>
      <c r="CC22" s="59">
        <f t="shared" si="11"/>
        <v>260.16022355977054</v>
      </c>
      <c r="CD22" s="59">
        <f ca="1">AVERAGE(OFFSET($CC$3,0,0,'Données projet'!$E$12+1,1))-AVERAGE(OFFSET($H$3,0,0,'Données projet'!$E$12+1,1))</f>
        <v>592.58528888957346</v>
      </c>
      <c r="CE22" s="59">
        <f t="shared" si="40"/>
        <v>311.31528017256846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26.926666666666673</v>
      </c>
      <c r="CT22" s="12">
        <f>IF('Données projet'!$A$140&gt;35,CT21+CS22-DB21,IF(A22&lt;'Données projet'!$A$140,$CQ$205^A22,IF(A22='Données projet'!$A$140,'Données projet'!$B$140,CT21+CS22-DB21)))</f>
        <v>154.52666666666667</v>
      </c>
      <c r="CU22" s="17">
        <f>CT22*VLOOKUP('Données projet'!$B$13,Paramètres!$A$1:$I$89,3,0)*VLOOKUP('Données projet'!$B$13,Paramètres!$A$1:$I$89,5,0)</f>
        <v>86.380406666666673</v>
      </c>
      <c r="CV22" s="13">
        <f t="shared" si="41"/>
        <v>23.690191684477199</v>
      </c>
      <c r="CW22" s="20">
        <f t="shared" si="13"/>
        <v>191.70629212824224</v>
      </c>
      <c r="CX22" s="59">
        <f t="shared" si="14"/>
        <v>405.85838637126574</v>
      </c>
      <c r="CY22" s="59">
        <f ca="1">AVERAGE(OFFSET($CX$3,0,0,'Données projet'!$E$13+1,1))-AVERAGE(OFFSET($H$3,0,0,'Données projet'!$E$13+1,1))</f>
        <v>420.4890915162182</v>
      </c>
      <c r="CZ22" s="59">
        <f t="shared" si="42"/>
        <v>553.48432338023565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33.484980712924944</v>
      </c>
      <c r="DI22" s="22">
        <f t="shared" si="15"/>
        <v>33.484980712924944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4.0628205128205126</v>
      </c>
      <c r="DO22" s="12">
        <f>IF('Données projet'!$A$166&gt;35,DO21+DN22-DW21,IF(A22&lt;'Données projet'!$A$166,$DL$205^A22,IF(A22='Données projet'!$A$166,'Données projet'!$B$166,DO21+DN22-DW21)))</f>
        <v>20.945993500590358</v>
      </c>
      <c r="DP22" s="17">
        <f>DO22*VLOOKUP('Données projet'!$B$14,Paramètres!$A$1:$I$89,3,0)*VLOOKUP('Données projet'!$B$14,Paramètres!$A$1:$I$89,5,0)</f>
        <v>22.546267404035461</v>
      </c>
      <c r="DQ22" s="13">
        <f t="shared" si="43"/>
        <v>7.2298423719774645</v>
      </c>
      <c r="DR22" s="20">
        <f t="shared" si="16"/>
        <v>51.860057859889174</v>
      </c>
      <c r="DS22" s="59">
        <f t="shared" si="17"/>
        <v>266.01215210291269</v>
      </c>
      <c r="DT22" s="59">
        <f ca="1">AVERAGE(OFFSET($DS$3,0,0,'Données projet'!$E$14+1,1))-AVERAGE(OFFSET($H$3,0,0,'Données projet'!$E$14+1,1))</f>
        <v>659.55755908012691</v>
      </c>
      <c r="DU22" s="59">
        <f t="shared" si="44"/>
        <v>343.96647464823627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4.0628205128205126</v>
      </c>
      <c r="EJ22" s="12">
        <f>IF('Données projet'!$A$192&gt;35,EJ21+EI22-ER21,IF(A22&lt;'Données projet'!$A$192,$EG$205^A22,IF(A22='Données projet'!$A$192,'Données projet'!$B$192,EJ21+EI22-ER21)))</f>
        <v>20.945993500590358</v>
      </c>
      <c r="EK22" s="17">
        <f>EJ22*VLOOKUP('Données projet'!$B$15,Paramètres!$A$1:$I$89,3,0)*VLOOKUP('Données projet'!$B$15,Paramètres!$A$1:$I$89,5,0)</f>
        <v>20.258964913770992</v>
      </c>
      <c r="EL22" s="13">
        <f t="shared" si="45"/>
        <v>6.5777758347253874</v>
      </c>
      <c r="EM22" s="20">
        <f t="shared" si="19"/>
        <v>46.74065680363119</v>
      </c>
      <c r="EN22" s="59">
        <f t="shared" si="20"/>
        <v>260.89275104665472</v>
      </c>
      <c r="EO22" s="59">
        <f ca="1">AVERAGE(OFFSET($EN$3,0,0,'Données projet'!$E$15+1,1))-AVERAGE(OFFSET($H$3,0,0,'Données projet'!$E$15+1,1))</f>
        <v>600.96600099541388</v>
      </c>
      <c r="EP22" s="59">
        <f t="shared" si="46"/>
        <v>315.40159257508969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267.69585776850914</v>
      </c>
      <c r="S23" s="59">
        <f ca="1">AVERAGE(OFFSET($R$3,0,0,'Données projet'!$E$9+1,1))-AVERAGE(OFFSET($H$3,0,0,'Données projet'!$E$9+1,1))</f>
        <v>567.42635821336114</v>
      </c>
      <c r="T23" s="59">
        <f t="shared" si="34"/>
        <v>299.0473530693472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56</v>
      </c>
      <c r="AG23" s="12">
        <f>VLOOKUP(A23,'Données projet'!$A$61:$I$81,9,0)</f>
        <v>2.8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56</v>
      </c>
      <c r="AJ23" s="13">
        <f>AI23*VLOOKUP('Données projet'!$B$10,Paramètres!$A$1:$I$89,3,0)*VLOOKUP('Données projet'!$B$10,Paramètres!$A$1:$I$89,5,0)</f>
        <v>48.048000000000009</v>
      </c>
      <c r="AK23" s="13">
        <f t="shared" si="35"/>
        <v>14.108484750160622</v>
      </c>
      <c r="AL23" s="20">
        <f t="shared" si="4"/>
        <v>108.25587760652975</v>
      </c>
      <c r="AM23" s="59">
        <f t="shared" si="5"/>
        <v>324.77058049342548</v>
      </c>
      <c r="AN23" s="59">
        <f ca="1">AVERAGE(OFFSET($AM$3,0,0,'Données projet'!$E$10+1,1))-AVERAGE(OFFSET($H$3,0,0,'Données projet'!$E$10+1,1))</f>
        <v>570.05585579662738</v>
      </c>
      <c r="AO23" s="59">
        <f t="shared" si="36"/>
        <v>331.25104323342907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3.9732905982905979</v>
      </c>
      <c r="BD23" s="12">
        <f>IF('Données projet'!$A$88&gt;35,BD22+BC23-BL22,IF(A23&lt;'Données projet'!$A$88,$BA$205^A23,IF(A23='Données projet'!$A$88,'Données projet'!$B$88,BD22+BC23-BL22)))</f>
        <v>24.220385777976311</v>
      </c>
      <c r="BE23" s="13">
        <f>BD23*VLOOKUP('Données projet'!$B$11,Paramètres!$A$1:$I$89,3,0)*VLOOKUP('Données projet'!$B$11,Paramètres!$A$1:$I$89,5,0)</f>
        <v>20.403252979367245</v>
      </c>
      <c r="BF23" s="13">
        <f t="shared" si="37"/>
        <v>6.6191537259229927</v>
      </c>
      <c r="BG23" s="20">
        <f t="shared" si="7"/>
        <v>47.064025011713824</v>
      </c>
      <c r="BH23" s="59">
        <f t="shared" si="8"/>
        <v>263.57872789860954</v>
      </c>
      <c r="BI23" s="59">
        <f ca="1">AVERAGE(OFFSET($BH$3,0,0,'Données projet'!$E$11+1,1))-AVERAGE(OFFSET($H$3,0,0,'Données projet'!$E$11+1,1))</f>
        <v>458.88102603650725</v>
      </c>
      <c r="BJ23" s="59">
        <f t="shared" si="38"/>
        <v>277.79020316059552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4.0628205128205126</v>
      </c>
      <c r="BY23" s="12">
        <f>IF('Données projet'!$A$114&gt;35,BY22+BX23-CG22,IF(A23&lt;'Données projet'!$A$114,$BV$205^A23,IF(A23='Données projet'!$A$114,'Données projet'!$B$114,BY22+BX23-CG22)))</f>
        <v>24.582870545650774</v>
      </c>
      <c r="BZ23" s="13">
        <f>BY23*VLOOKUP('Données projet'!$B$12,Paramètres!$A$1:$I$89,3,0)*VLOOKUP('Données projet'!$B$12,Paramètres!$A$1:$I$89,5,0)</f>
        <v>23.393059611241277</v>
      </c>
      <c r="CA23" s="13">
        <f t="shared" si="39"/>
        <v>7.4692563052803118</v>
      </c>
      <c r="CB23" s="20">
        <f t="shared" si="10"/>
        <v>53.751866887941766</v>
      </c>
      <c r="CC23" s="59">
        <f t="shared" si="11"/>
        <v>270.26656977483748</v>
      </c>
      <c r="CD23" s="59">
        <f ca="1">AVERAGE(OFFSET($CC$3,0,0,'Données projet'!$E$12+1,1))-AVERAGE(OFFSET($H$3,0,0,'Données projet'!$E$12+1,1))</f>
        <v>592.58528888957346</v>
      </c>
      <c r="CE23" s="59">
        <f t="shared" si="40"/>
        <v>311.31528017256846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26.926666666666673</v>
      </c>
      <c r="CT23" s="12">
        <f>IF('Données projet'!$A$140&gt;35,CT22+CS23-DB22,IF(A23&lt;'Données projet'!$A$140,$CQ$205^A23,IF(A23='Données projet'!$A$140,'Données projet'!$B$140,CT22+CS23-DB22)))</f>
        <v>181.45333333333335</v>
      </c>
      <c r="CU23" s="17">
        <f>CT23*VLOOKUP('Données projet'!$B$13,Paramètres!$A$1:$I$89,3,0)*VLOOKUP('Données projet'!$B$13,Paramètres!$A$1:$I$89,5,0)</f>
        <v>101.43241333333334</v>
      </c>
      <c r="CV23" s="13">
        <f t="shared" si="41"/>
        <v>27.302967287299122</v>
      </c>
      <c r="CW23" s="20">
        <f t="shared" si="13"/>
        <v>224.21412124760153</v>
      </c>
      <c r="CX23" s="59">
        <f t="shared" si="14"/>
        <v>440.72882413449724</v>
      </c>
      <c r="CY23" s="59">
        <f ca="1">AVERAGE(OFFSET($CX$3,0,0,'Données projet'!$E$13+1,1))-AVERAGE(OFFSET($H$3,0,0,'Données projet'!$E$13+1,1))</f>
        <v>420.4890915162182</v>
      </c>
      <c r="CZ23" s="59">
        <f t="shared" si="42"/>
        <v>553.48432338023565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23.677456930009985</v>
      </c>
      <c r="DI23" s="22">
        <f t="shared" si="15"/>
        <v>23.677456930009985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4.0628205128205126</v>
      </c>
      <c r="DO23" s="12">
        <f>IF('Données projet'!$A$166&gt;35,DO22+DN23-DW22,IF(A23&lt;'Données projet'!$A$166,$DL$205^A23,IF(A23='Données projet'!$A$166,'Données projet'!$B$166,DO22+DN23-DW22)))</f>
        <v>24.582870545650774</v>
      </c>
      <c r="DP23" s="17">
        <f>DO23*VLOOKUP('Données projet'!$B$14,Paramètres!$A$1:$I$89,3,0)*VLOOKUP('Données projet'!$B$14,Paramètres!$A$1:$I$89,5,0)</f>
        <v>26.461001855338495</v>
      </c>
      <c r="DQ23" s="13">
        <f t="shared" si="43"/>
        <v>8.3285035796405325</v>
      </c>
      <c r="DR23" s="20">
        <f t="shared" si="16"/>
        <v>60.591721965921806</v>
      </c>
      <c r="DS23" s="59">
        <f t="shared" si="17"/>
        <v>277.10642485281755</v>
      </c>
      <c r="DT23" s="59">
        <f ca="1">AVERAGE(OFFSET($DS$3,0,0,'Données projet'!$E$14+1,1))-AVERAGE(OFFSET($H$3,0,0,'Données projet'!$E$14+1,1))</f>
        <v>659.55755908012691</v>
      </c>
      <c r="DU23" s="59">
        <f t="shared" si="44"/>
        <v>343.96647464823627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4.0628205128205126</v>
      </c>
      <c r="EJ23" s="12">
        <f>IF('Données projet'!$A$192&gt;35,EJ22+EI23-ER22,IF(A23&lt;'Données projet'!$A$192,$EG$205^A23,IF(A23='Données projet'!$A$192,'Données projet'!$B$192,EJ22+EI23-ER22)))</f>
        <v>24.582870545650774</v>
      </c>
      <c r="EK23" s="17">
        <f>EJ23*VLOOKUP('Données projet'!$B$15,Paramètres!$A$1:$I$89,3,0)*VLOOKUP('Données projet'!$B$15,Paramètres!$A$1:$I$89,5,0)</f>
        <v>23.776552391753427</v>
      </c>
      <c r="EL23" s="13">
        <f t="shared" si="45"/>
        <v>7.5773477161715004</v>
      </c>
      <c r="EM23" s="20">
        <f t="shared" si="19"/>
        <v>54.608042687969252</v>
      </c>
      <c r="EN23" s="59">
        <f t="shared" si="20"/>
        <v>271.12274557486495</v>
      </c>
      <c r="EO23" s="59">
        <f ca="1">AVERAGE(OFFSET($EN$3,0,0,'Données projet'!$E$15+1,1))-AVERAGE(OFFSET($H$3,0,0,'Données projet'!$E$15+1,1))</f>
        <v>600.96600099541388</v>
      </c>
      <c r="EP23" s="59">
        <f t="shared" si="46"/>
        <v>315.40159257508969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278.65571866132592</v>
      </c>
      <c r="S24" s="59">
        <f ca="1">AVERAGE(OFFSET($R$3,0,0,'Données projet'!$E$9+1,1))-AVERAGE(OFFSET($H$3,0,0,'Données projet'!$E$9+1,1))</f>
        <v>567.42635821336114</v>
      </c>
      <c r="T24" s="59">
        <f t="shared" si="34"/>
        <v>299.0473530693472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</v>
      </c>
      <c r="AI24" s="13">
        <f>IF('Données projet'!$A$62&gt;35,AI23+AH24-AQ23,IF(A24&lt;'Données projet'!$A$62,$AF$205^A24,IF(A24='Données projet'!$A$62,'Données projet'!$B$62,AI23+AH24-AQ23)))</f>
        <v>67</v>
      </c>
      <c r="AJ24" s="13">
        <f>AI24*VLOOKUP('Données projet'!$B$10,Paramètres!$A$1:$I$89,3,0)*VLOOKUP('Données projet'!$B$10,Paramètres!$A$1:$I$89,5,0)</f>
        <v>57.486000000000004</v>
      </c>
      <c r="AK24" s="13">
        <f t="shared" si="35"/>
        <v>16.531076211754396</v>
      </c>
      <c r="AL24" s="20">
        <f t="shared" si="4"/>
        <v>128.9130744021389</v>
      </c>
      <c r="AM24" s="59">
        <f t="shared" si="5"/>
        <v>347.77060277801331</v>
      </c>
      <c r="AN24" s="59">
        <f ca="1">AVERAGE(OFFSET($AM$3,0,0,'Données projet'!$E$10+1,1))-AVERAGE(OFFSET($H$3,0,0,'Données projet'!$E$10+1,1))</f>
        <v>570.05585579662738</v>
      </c>
      <c r="AO24" s="59">
        <f t="shared" si="36"/>
        <v>331.25104323342907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3.9732905982905979</v>
      </c>
      <c r="BD24" s="12">
        <f>IF('Données projet'!$A$88&gt;35,BD23+BC24-BL23,IF(A24&lt;'Données projet'!$A$88,$BA$205^A24,IF(A24='Données projet'!$A$88,'Données projet'!$B$88,BD23+BC24-BL23)))</f>
        <v>28.404693607360635</v>
      </c>
      <c r="BE24" s="13">
        <f>BD24*VLOOKUP('Données projet'!$B$11,Paramètres!$A$1:$I$89,3,0)*VLOOKUP('Données projet'!$B$11,Paramètres!$A$1:$I$89,5,0)</f>
        <v>23.9281138948406</v>
      </c>
      <c r="BF24" s="13">
        <f t="shared" si="37"/>
        <v>7.6200107934516144</v>
      </c>
      <c r="BG24" s="20">
        <f t="shared" si="7"/>
        <v>54.946317165442274</v>
      </c>
      <c r="BH24" s="59">
        <f t="shared" si="8"/>
        <v>273.80384554131666</v>
      </c>
      <c r="BI24" s="59">
        <f ca="1">AVERAGE(OFFSET($BH$3,0,0,'Données projet'!$E$11+1,1))-AVERAGE(OFFSET($H$3,0,0,'Données projet'!$E$11+1,1))</f>
        <v>458.88102603650725</v>
      </c>
      <c r="BJ24" s="59">
        <f t="shared" si="38"/>
        <v>277.79020316059552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4.0628205128205126</v>
      </c>
      <c r="BY24" s="12">
        <f>IF('Données projet'!$A$114&gt;35,BY23+BX24-CG23,IF(A24&lt;'Données projet'!$A$114,$BV$205^A24,IF(A24='Données projet'!$A$114,'Données projet'!$B$114,BY23+BX24-CG23)))</f>
        <v>28.851222752799568</v>
      </c>
      <c r="BZ24" s="13">
        <f>BY24*VLOOKUP('Données projet'!$B$12,Paramètres!$A$1:$I$89,3,0)*VLOOKUP('Données projet'!$B$12,Paramètres!$A$1:$I$89,5,0)</f>
        <v>27.45482357156407</v>
      </c>
      <c r="CA24" s="13">
        <f t="shared" si="39"/>
        <v>8.6042993298019912</v>
      </c>
      <c r="CB24" s="20">
        <f t="shared" si="10"/>
        <v>62.802972386545882</v>
      </c>
      <c r="CC24" s="59">
        <f t="shared" si="11"/>
        <v>281.66050076242027</v>
      </c>
      <c r="CD24" s="59">
        <f ca="1">AVERAGE(OFFSET($CC$3,0,0,'Données projet'!$E$12+1,1))-AVERAGE(OFFSET($H$3,0,0,'Données projet'!$E$12+1,1))</f>
        <v>592.58528888957346</v>
      </c>
      <c r="CE24" s="59">
        <f t="shared" si="40"/>
        <v>311.31528017256846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26.926666666666673</v>
      </c>
      <c r="CT24" s="12">
        <f>IF('Données projet'!$A$140&gt;35,CT23+CS24-DB23,IF(A24&lt;'Données projet'!$A$140,$CQ$205^A24,IF(A24='Données projet'!$A$140,'Données projet'!$B$140,CT23+CS24-DB23)))</f>
        <v>208.38000000000002</v>
      </c>
      <c r="CU24" s="17">
        <f>CT24*VLOOKUP('Données projet'!$B$13,Paramètres!$A$1:$I$89,3,0)*VLOOKUP('Données projet'!$B$13,Paramètres!$A$1:$I$89,5,0)</f>
        <v>116.48442000000001</v>
      </c>
      <c r="CV24" s="13">
        <f t="shared" si="41"/>
        <v>30.853634445731519</v>
      </c>
      <c r="CW24" s="20">
        <f t="shared" si="13"/>
        <v>256.61377815964903</v>
      </c>
      <c r="CX24" s="59">
        <f t="shared" si="14"/>
        <v>475.47130653552341</v>
      </c>
      <c r="CY24" s="59">
        <f ca="1">AVERAGE(OFFSET($CX$3,0,0,'Données projet'!$E$13+1,1))-AVERAGE(OFFSET($H$3,0,0,'Données projet'!$E$13+1,1))</f>
        <v>420.4890915162182</v>
      </c>
      <c r="CZ24" s="59">
        <f t="shared" si="42"/>
        <v>553.48432338023565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16.742490356462476</v>
      </c>
      <c r="DI24" s="22">
        <f t="shared" si="15"/>
        <v>16.742490356462476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4.0628205128205126</v>
      </c>
      <c r="DO24" s="12">
        <f>IF('Données projet'!$A$166&gt;35,DO23+DN24-DW23,IF(A24&lt;'Données projet'!$A$166,$DL$205^A24,IF(A24='Données projet'!$A$166,'Données projet'!$B$166,DO23+DN24-DW23)))</f>
        <v>28.851222752799568</v>
      </c>
      <c r="DP24" s="17">
        <f>DO24*VLOOKUP('Données projet'!$B$14,Paramètres!$A$1:$I$89,3,0)*VLOOKUP('Données projet'!$B$14,Paramètres!$A$1:$I$89,5,0)</f>
        <v>31.055456171113452</v>
      </c>
      <c r="DQ24" s="13">
        <f t="shared" si="43"/>
        <v>9.5941195267184156</v>
      </c>
      <c r="DR24" s="20">
        <f t="shared" si="16"/>
        <v>70.798011007057156</v>
      </c>
      <c r="DS24" s="59">
        <f t="shared" si="17"/>
        <v>289.65553938293152</v>
      </c>
      <c r="DT24" s="59">
        <f ca="1">AVERAGE(OFFSET($DS$3,0,0,'Données projet'!$E$14+1,1))-AVERAGE(OFFSET($H$3,0,0,'Données projet'!$E$14+1,1))</f>
        <v>659.55755908012691</v>
      </c>
      <c r="DU24" s="59">
        <f t="shared" si="44"/>
        <v>343.96647464823627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4.0628205128205126</v>
      </c>
      <c r="EJ24" s="12">
        <f>IF('Données projet'!$A$192&gt;35,EJ23+EI24-ER23,IF(A24&lt;'Données projet'!$A$192,$EG$205^A24,IF(A24='Données projet'!$A$192,'Données projet'!$B$192,EJ23+EI24-ER23)))</f>
        <v>28.851222752799568</v>
      </c>
      <c r="EK24" s="17">
        <f>EJ24*VLOOKUP('Données projet'!$B$15,Paramètres!$A$1:$I$89,3,0)*VLOOKUP('Données projet'!$B$15,Paramètres!$A$1:$I$89,5,0)</f>
        <v>27.904902646507743</v>
      </c>
      <c r="EL24" s="13">
        <f t="shared" si="45"/>
        <v>8.7288165261968871</v>
      </c>
      <c r="EM24" s="20">
        <f t="shared" si="19"/>
        <v>63.803727559127225</v>
      </c>
      <c r="EN24" s="59">
        <f t="shared" si="20"/>
        <v>282.66125593500158</v>
      </c>
      <c r="EO24" s="59">
        <f ca="1">AVERAGE(OFFSET($EN$3,0,0,'Données projet'!$E$15+1,1))-AVERAGE(OFFSET($H$3,0,0,'Données projet'!$E$15+1,1))</f>
        <v>600.96600099541388</v>
      </c>
      <c r="EP24" s="59">
        <f t="shared" si="46"/>
        <v>315.40159257508969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291.05135529127796</v>
      </c>
      <c r="S25" s="59">
        <f ca="1">AVERAGE(OFFSET($R$3,0,0,'Données projet'!$E$9+1,1))-AVERAGE(OFFSET($H$3,0,0,'Données projet'!$E$9+1,1))</f>
        <v>567.42635821336114</v>
      </c>
      <c r="T25" s="59">
        <f t="shared" si="34"/>
        <v>299.0473530693472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</v>
      </c>
      <c r="AI25" s="13">
        <f>IF('Données projet'!$A$62&gt;35,AI24+AH25-AQ24,IF(A25&lt;'Données projet'!$A$62,$AF$205^A25,IF(A25='Données projet'!$A$62,'Données projet'!$B$62,AI24+AH25-AQ24)))</f>
        <v>78</v>
      </c>
      <c r="AJ25" s="13">
        <f>AI25*VLOOKUP('Données projet'!$B$10,Paramètres!$A$1:$I$89,3,0)*VLOOKUP('Données projet'!$B$10,Paramètres!$A$1:$I$89,5,0)</f>
        <v>66.924000000000007</v>
      </c>
      <c r="AK25" s="13">
        <f t="shared" si="35"/>
        <v>18.90759204786767</v>
      </c>
      <c r="AL25" s="20">
        <f t="shared" si="4"/>
        <v>149.49002281670286</v>
      </c>
      <c r="AM25" s="59">
        <f t="shared" si="5"/>
        <v>370.67093672017126</v>
      </c>
      <c r="AN25" s="59">
        <f ca="1">AVERAGE(OFFSET($AM$3,0,0,'Données projet'!$E$10+1,1))-AVERAGE(OFFSET($H$3,0,0,'Données projet'!$E$10+1,1))</f>
        <v>570.05585579662738</v>
      </c>
      <c r="AO25" s="59">
        <f t="shared" si="36"/>
        <v>331.25104323342907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3.9732905982905979</v>
      </c>
      <c r="BD25" s="12">
        <f>IF('Données projet'!$A$88&gt;35,BD24+BC25-BL24,IF(A25&lt;'Données projet'!$A$88,$BA$205^A25,IF(A25='Données projet'!$A$88,'Données projet'!$B$88,BD24+BC25-BL24)))</f>
        <v>33.311881417747053</v>
      </c>
      <c r="BE25" s="13">
        <f>BD25*VLOOKUP('Données projet'!$B$11,Paramètres!$A$1:$I$89,3,0)*VLOOKUP('Données projet'!$B$11,Paramètres!$A$1:$I$89,5,0)</f>
        <v>28.061928906310122</v>
      </c>
      <c r="BF25" s="13">
        <f t="shared" si="37"/>
        <v>8.77220365269919</v>
      </c>
      <c r="BG25" s="20">
        <f t="shared" si="7"/>
        <v>64.152780873607881</v>
      </c>
      <c r="BH25" s="59">
        <f t="shared" si="8"/>
        <v>285.33369477707629</v>
      </c>
      <c r="BI25" s="59">
        <f ca="1">AVERAGE(OFFSET($BH$3,0,0,'Données projet'!$E$11+1,1))-AVERAGE(OFFSET($H$3,0,0,'Données projet'!$E$11+1,1))</f>
        <v>458.88102603650725</v>
      </c>
      <c r="BJ25" s="59">
        <f t="shared" si="38"/>
        <v>277.79020316059552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4.0628205128205126</v>
      </c>
      <c r="BY25" s="12">
        <f>IF('Données projet'!$A$114&gt;35,BY24+BX25-CG24,IF(A25&lt;'Données projet'!$A$114,$BV$205^A25,IF(A25='Données projet'!$A$114,'Données projet'!$B$114,BY24+BX25-CG24)))</f>
        <v>33.860693883812012</v>
      </c>
      <c r="BZ25" s="13">
        <f>BY25*VLOOKUP('Données projet'!$B$12,Paramètres!$A$1:$I$89,3,0)*VLOOKUP('Données projet'!$B$12,Paramètres!$A$1:$I$89,5,0)</f>
        <v>32.221836299835509</v>
      </c>
      <c r="CA25" s="13">
        <f t="shared" si="39"/>
        <v>9.9118257468944293</v>
      </c>
      <c r="CB25" s="20">
        <f t="shared" si="10"/>
        <v>73.382794731387975</v>
      </c>
      <c r="CC25" s="59">
        <f t="shared" si="11"/>
        <v>294.56370863485637</v>
      </c>
      <c r="CD25" s="59">
        <f ca="1">AVERAGE(OFFSET($CC$3,0,0,'Données projet'!$E$12+1,1))-AVERAGE(OFFSET($H$3,0,0,'Données projet'!$E$12+1,1))</f>
        <v>592.58528888957346</v>
      </c>
      <c r="CE25" s="59">
        <f t="shared" si="40"/>
        <v>311.31528017256846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26.926666666666673</v>
      </c>
      <c r="CT25" s="12">
        <f>IF('Données projet'!$A$140&gt;35,CT24+CS25-DB24,IF(A25&lt;'Données projet'!$A$140,$CQ$205^A25,IF(A25='Données projet'!$A$140,'Données projet'!$B$140,CT24+CS25-DB24)))</f>
        <v>235.3066666666667</v>
      </c>
      <c r="CU25" s="17">
        <f>CT25*VLOOKUP('Données projet'!$B$13,Paramètres!$A$1:$I$89,3,0)*VLOOKUP('Données projet'!$B$13,Paramètres!$A$1:$I$89,5,0)</f>
        <v>131.5364266666667</v>
      </c>
      <c r="CV25" s="13">
        <f t="shared" si="41"/>
        <v>34.351139290423262</v>
      </c>
      <c r="CW25" s="20">
        <f t="shared" si="13"/>
        <v>288.92084404193173</v>
      </c>
      <c r="CX25" s="59">
        <f t="shared" si="14"/>
        <v>510.1017579454001</v>
      </c>
      <c r="CY25" s="59">
        <f ca="1">AVERAGE(OFFSET($CX$3,0,0,'Données projet'!$E$13+1,1))-AVERAGE(OFFSET($H$3,0,0,'Données projet'!$E$13+1,1))</f>
        <v>420.4890915162182</v>
      </c>
      <c r="CZ25" s="59">
        <f t="shared" si="42"/>
        <v>553.48432338023565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11.838728465004994</v>
      </c>
      <c r="DI25" s="22">
        <f t="shared" si="15"/>
        <v>11.838728465004994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4.0628205128205126</v>
      </c>
      <c r="DO25" s="12">
        <f>IF('Données projet'!$A$166&gt;35,DO24+DN25-DW24,IF(A25&lt;'Données projet'!$A$166,$DL$205^A25,IF(A25='Données projet'!$A$166,'Données projet'!$B$166,DO24+DN25-DW24)))</f>
        <v>33.860693883812012</v>
      </c>
      <c r="DP25" s="17">
        <f>DO25*VLOOKUP('Données projet'!$B$14,Paramètres!$A$1:$I$89,3,0)*VLOOKUP('Données projet'!$B$14,Paramètres!$A$1:$I$89,5,0)</f>
        <v>36.447650896535251</v>
      </c>
      <c r="DQ25" s="13">
        <f t="shared" si="43"/>
        <v>11.052060987038981</v>
      </c>
      <c r="DR25" s="20">
        <f t="shared" si="16"/>
        <v>82.728664863891794</v>
      </c>
      <c r="DS25" s="59">
        <f t="shared" si="17"/>
        <v>303.90957876736019</v>
      </c>
      <c r="DT25" s="59">
        <f ca="1">AVERAGE(OFFSET($DS$3,0,0,'Données projet'!$E$14+1,1))-AVERAGE(OFFSET($H$3,0,0,'Données projet'!$E$14+1,1))</f>
        <v>659.55755908012691</v>
      </c>
      <c r="DU25" s="59">
        <f t="shared" si="44"/>
        <v>343.96647464823627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4.0628205128205126</v>
      </c>
      <c r="EJ25" s="12">
        <f>IF('Données projet'!$A$192&gt;35,EJ24+EI25-ER24,IF(A25&lt;'Données projet'!$A$192,$EG$205^A25,IF(A25='Données projet'!$A$192,'Données projet'!$B$192,EJ24+EI25-ER24)))</f>
        <v>33.860693883812012</v>
      </c>
      <c r="EK25" s="17">
        <f>EJ25*VLOOKUP('Données projet'!$B$15,Paramètres!$A$1:$I$89,3,0)*VLOOKUP('Données projet'!$B$15,Paramètres!$A$1:$I$89,5,0)</f>
        <v>32.750063124422979</v>
      </c>
      <c r="EL25" s="13">
        <f t="shared" si="45"/>
        <v>10.055264823785132</v>
      </c>
      <c r="EM25" s="20">
        <f t="shared" si="19"/>
        <v>74.552612843129126</v>
      </c>
      <c r="EN25" s="59">
        <f t="shared" si="20"/>
        <v>295.73352674659753</v>
      </c>
      <c r="EO25" s="59">
        <f ca="1">AVERAGE(OFFSET($EN$3,0,0,'Données projet'!$E$15+1,1))-AVERAGE(OFFSET($H$3,0,0,'Données projet'!$E$15+1,1))</f>
        <v>600.96600099541388</v>
      </c>
      <c r="EP25" s="59">
        <f t="shared" si="46"/>
        <v>315.40159257508969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305.12954978125185</v>
      </c>
      <c r="S26" s="59">
        <f ca="1">AVERAGE(OFFSET($R$3,0,0,'Données projet'!$E$9+1,1))-AVERAGE(OFFSET($H$3,0,0,'Données projet'!$E$9+1,1))</f>
        <v>567.42635821336114</v>
      </c>
      <c r="T26" s="59">
        <f t="shared" si="34"/>
        <v>299.0473530693472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</v>
      </c>
      <c r="AI26" s="13">
        <f>IF('Données projet'!$A$62&gt;35,AI25+AH26-AQ25,IF(A26&lt;'Données projet'!$A$62,$AF$205^A26,IF(A26='Données projet'!$A$62,'Données projet'!$B$62,AI25+AH26-AQ25)))</f>
        <v>89</v>
      </c>
      <c r="AJ26" s="13">
        <f>AI26*VLOOKUP('Données projet'!$B$10,Paramètres!$A$1:$I$89,3,0)*VLOOKUP('Données projet'!$B$10,Paramètres!$A$1:$I$89,5,0)</f>
        <v>76.362000000000009</v>
      </c>
      <c r="AK26" s="13">
        <f t="shared" si="35"/>
        <v>21.245279172340783</v>
      </c>
      <c r="AL26" s="20">
        <f t="shared" si="4"/>
        <v>169.99934455849356</v>
      </c>
      <c r="AM26" s="59">
        <f t="shared" si="5"/>
        <v>393.48454126804006</v>
      </c>
      <c r="AN26" s="59">
        <f ca="1">AVERAGE(OFFSET($AM$3,0,0,'Données projet'!$E$10+1,1))-AVERAGE(OFFSET($H$3,0,0,'Données projet'!$E$10+1,1))</f>
        <v>570.05585579662738</v>
      </c>
      <c r="AO26" s="59">
        <f t="shared" si="36"/>
        <v>331.25104323342907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3.9732905982905979</v>
      </c>
      <c r="BD26" s="12">
        <f>IF('Données projet'!$A$88&gt;35,BD25+BC26-BL25,IF(A26&lt;'Données projet'!$A$88,$BA$205^A26,IF(A26='Données projet'!$A$88,'Données projet'!$B$88,BD25+BC26-BL25)))</f>
        <v>39.066833775052054</v>
      </c>
      <c r="BE26" s="13">
        <f>BD26*VLOOKUP('Données projet'!$B$11,Paramètres!$A$1:$I$89,3,0)*VLOOKUP('Données projet'!$B$11,Paramètres!$A$1:$I$89,5,0)</f>
        <v>32.909900772103853</v>
      </c>
      <c r="BF26" s="13">
        <f t="shared" si="37"/>
        <v>10.098615213322089</v>
      </c>
      <c r="BG26" s="20">
        <f t="shared" si="7"/>
        <v>74.906498674616856</v>
      </c>
      <c r="BH26" s="59">
        <f t="shared" si="8"/>
        <v>298.39169538416337</v>
      </c>
      <c r="BI26" s="59">
        <f ca="1">AVERAGE(OFFSET($BH$3,0,0,'Données projet'!$E$11+1,1))-AVERAGE(OFFSET($H$3,0,0,'Données projet'!$E$11+1,1))</f>
        <v>458.88102603650725</v>
      </c>
      <c r="BJ26" s="59">
        <f t="shared" si="38"/>
        <v>277.79020316059552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4.0628205128205126</v>
      </c>
      <c r="BY26" s="12">
        <f>IF('Données projet'!$A$114&gt;35,BY25+BX26-CG25,IF(A26&lt;'Données projet'!$A$114,$BV$205^A26,IF(A26='Données projet'!$A$114,'Données projet'!$B$114,BY25+BX26-CG25)))</f>
        <v>39.739965273463824</v>
      </c>
      <c r="BZ26" s="13">
        <f>BY26*VLOOKUP('Données projet'!$B$12,Paramètres!$A$1:$I$89,3,0)*VLOOKUP('Données projet'!$B$12,Paramètres!$A$1:$I$89,5,0)</f>
        <v>37.816550954228177</v>
      </c>
      <c r="CA26" s="13">
        <f t="shared" si="39"/>
        <v>11.418046475500782</v>
      </c>
      <c r="CB26" s="20">
        <f t="shared" si="10"/>
        <v>85.75025719011127</v>
      </c>
      <c r="CC26" s="59">
        <f t="shared" si="11"/>
        <v>309.23545389965778</v>
      </c>
      <c r="CD26" s="59">
        <f ca="1">AVERAGE(OFFSET($CC$3,0,0,'Données projet'!$E$12+1,1))-AVERAGE(OFFSET($H$3,0,0,'Données projet'!$E$12+1,1))</f>
        <v>592.58528888957346</v>
      </c>
      <c r="CE26" s="59">
        <f t="shared" si="40"/>
        <v>311.31528017256846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26.926666666666673</v>
      </c>
      <c r="CT26" s="12">
        <f>IF('Données projet'!$A$140&gt;35,CT25+CS26-DB25,IF(A26&lt;'Données projet'!$A$140,$CQ$205^A26,IF(A26='Données projet'!$A$140,'Données projet'!$B$140,CT25+CS26-DB25)))</f>
        <v>262.23333333333335</v>
      </c>
      <c r="CU26" s="17">
        <f>CT26*VLOOKUP('Données projet'!$B$13,Paramètres!$A$1:$I$89,3,0)*VLOOKUP('Données projet'!$B$13,Paramètres!$A$1:$I$89,5,0)</f>
        <v>146.58843333333334</v>
      </c>
      <c r="CV26" s="13">
        <f t="shared" si="41"/>
        <v>37.80225981907045</v>
      </c>
      <c r="CW26" s="20">
        <f t="shared" si="13"/>
        <v>321.14712390710332</v>
      </c>
      <c r="CX26" s="59">
        <f t="shared" si="14"/>
        <v>544.63232061664985</v>
      </c>
      <c r="CY26" s="59">
        <f ca="1">AVERAGE(OFFSET($CX$3,0,0,'Données projet'!$E$13+1,1))-AVERAGE(OFFSET($H$3,0,0,'Données projet'!$E$13+1,1))</f>
        <v>420.4890915162182</v>
      </c>
      <c r="CZ26" s="59">
        <f t="shared" si="42"/>
        <v>553.48432338023565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8.3712451782312378</v>
      </c>
      <c r="DI26" s="22">
        <f t="shared" si="15"/>
        <v>8.3712451782312378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4.0628205128205126</v>
      </c>
      <c r="DO26" s="12">
        <f>IF('Données projet'!$A$166&gt;35,DO25+DN26-DW25,IF(A26&lt;'Données projet'!$A$166,$DL$205^A26,IF(A26='Données projet'!$A$166,'Données projet'!$B$166,DO25+DN26-DW25)))</f>
        <v>39.739965273463824</v>
      </c>
      <c r="DP26" s="17">
        <f>DO26*VLOOKUP('Données projet'!$B$14,Paramètres!$A$1:$I$89,3,0)*VLOOKUP('Données projet'!$B$14,Paramètres!$A$1:$I$89,5,0)</f>
        <v>42.776098620356457</v>
      </c>
      <c r="DQ26" s="13">
        <f t="shared" si="43"/>
        <v>12.731554127615578</v>
      </c>
      <c r="DR26" s="20">
        <f t="shared" si="16"/>
        <v>96.67582853605127</v>
      </c>
      <c r="DS26" s="59">
        <f t="shared" si="17"/>
        <v>320.16102524559778</v>
      </c>
      <c r="DT26" s="59">
        <f ca="1">AVERAGE(OFFSET($DS$3,0,0,'Données projet'!$E$14+1,1))-AVERAGE(OFFSET($H$3,0,0,'Données projet'!$E$14+1,1))</f>
        <v>659.55755908012691</v>
      </c>
      <c r="DU26" s="59">
        <f t="shared" si="44"/>
        <v>343.96647464823627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4.0628205128205126</v>
      </c>
      <c r="EJ26" s="12">
        <f>IF('Données projet'!$A$192&gt;35,EJ25+EI26-ER25,IF(A26&lt;'Données projet'!$A$192,$EG$205^A26,IF(A26='Données projet'!$A$192,'Données projet'!$B$192,EJ25+EI26-ER25)))</f>
        <v>39.739965273463824</v>
      </c>
      <c r="EK26" s="17">
        <f>EJ26*VLOOKUP('Données projet'!$B$15,Paramètres!$A$1:$I$89,3,0)*VLOOKUP('Données projet'!$B$15,Paramètres!$A$1:$I$89,5,0)</f>
        <v>38.436494412494213</v>
      </c>
      <c r="EL26" s="13">
        <f t="shared" si="45"/>
        <v>11.583282839432428</v>
      </c>
      <c r="EM26" s="20">
        <f t="shared" si="19"/>
        <v>87.117778713772225</v>
      </c>
      <c r="EN26" s="59">
        <f t="shared" si="20"/>
        <v>310.60297542331875</v>
      </c>
      <c r="EO26" s="59">
        <f ca="1">AVERAGE(OFFSET($EN$3,0,0,'Données projet'!$E$15+1,1))-AVERAGE(OFFSET($H$3,0,0,'Données projet'!$E$15+1,1))</f>
        <v>600.96600099541388</v>
      </c>
      <c r="EP26" s="59">
        <f t="shared" si="46"/>
        <v>315.40159257508969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321.17892281340664</v>
      </c>
      <c r="S27" s="59">
        <f ca="1">AVERAGE(OFFSET($R$3,0,0,'Données projet'!$E$9+1,1))-AVERAGE(OFFSET($H$3,0,0,'Données projet'!$E$9+1,1))</f>
        <v>567.42635821336114</v>
      </c>
      <c r="T27" s="59">
        <f t="shared" si="34"/>
        <v>299.0473530693472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</v>
      </c>
      <c r="AI27" s="13">
        <f>IF('Données projet'!$A$62&gt;35,AI26+AH27-AQ26,IF(A27&lt;'Données projet'!$A$62,$AF$205^A27,IF(A27='Données projet'!$A$62,'Données projet'!$B$62,AI26+AH27-AQ26)))</f>
        <v>100</v>
      </c>
      <c r="AJ27" s="13">
        <f>AI27*VLOOKUP('Données projet'!$B$10,Paramètres!$A$1:$I$89,3,0)*VLOOKUP('Données projet'!$B$10,Paramètres!$A$1:$I$89,5,0)</f>
        <v>85.800000000000011</v>
      </c>
      <c r="AK27" s="13">
        <f t="shared" si="35"/>
        <v>23.549485995669766</v>
      </c>
      <c r="AL27" s="20">
        <f t="shared" si="4"/>
        <v>190.45035477579154</v>
      </c>
      <c r="AM27" s="59">
        <f t="shared" si="5"/>
        <v>416.22106295941137</v>
      </c>
      <c r="AN27" s="59">
        <f ca="1">AVERAGE(OFFSET($AM$3,0,0,'Données projet'!$E$10+1,1))-AVERAGE(OFFSET($H$3,0,0,'Données projet'!$E$10+1,1))</f>
        <v>570.05585579662738</v>
      </c>
      <c r="AO27" s="59">
        <f t="shared" si="36"/>
        <v>331.25104323342907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3.9732905982905979</v>
      </c>
      <c r="BD27" s="12">
        <f>IF('Données projet'!$A$88&gt;35,BD26+BC27-BL26,IF(A27&lt;'Données projet'!$A$88,$BA$205^A27,IF(A27='Données projet'!$A$88,'Données projet'!$B$88,BD26+BC27-BL26)))</f>
        <v>45.81601027177193</v>
      </c>
      <c r="BE27" s="13">
        <f>BD27*VLOOKUP('Données projet'!$B$11,Paramètres!$A$1:$I$89,3,0)*VLOOKUP('Données projet'!$B$11,Paramètres!$A$1:$I$89,5,0)</f>
        <v>38.595407052940679</v>
      </c>
      <c r="BF27" s="13">
        <f t="shared" si="37"/>
        <v>11.625588422740357</v>
      </c>
      <c r="BG27" s="20">
        <f t="shared" si="7"/>
        <v>87.46823378681114</v>
      </c>
      <c r="BH27" s="59">
        <f t="shared" si="8"/>
        <v>313.23894197043091</v>
      </c>
      <c r="BI27" s="59">
        <f ca="1">AVERAGE(OFFSET($BH$3,0,0,'Données projet'!$E$11+1,1))-AVERAGE(OFFSET($H$3,0,0,'Données projet'!$E$11+1,1))</f>
        <v>458.88102603650725</v>
      </c>
      <c r="BJ27" s="59">
        <f t="shared" si="38"/>
        <v>277.79020316059552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4.0628205128205126</v>
      </c>
      <c r="BY27" s="12">
        <f>IF('Données projet'!$A$114&gt;35,BY26+BX27-CG26,IF(A27&lt;'Données projet'!$A$114,$BV$205^A27,IF(A27='Données projet'!$A$114,'Données projet'!$B$114,BY26+BX27-CG26)))</f>
        <v>46.640061345320483</v>
      </c>
      <c r="BZ27" s="13">
        <f>BY27*VLOOKUP('Données projet'!$B$12,Paramètres!$A$1:$I$89,3,0)*VLOOKUP('Données projet'!$B$12,Paramètres!$A$1:$I$89,5,0)</f>
        <v>44.382682376206972</v>
      </c>
      <c r="CA27" s="13">
        <f t="shared" si="39"/>
        <v>13.153155497870197</v>
      </c>
      <c r="CB27" s="20">
        <f t="shared" si="10"/>
        <v>100.20825096401774</v>
      </c>
      <c r="CC27" s="59">
        <f t="shared" si="11"/>
        <v>325.97895914763751</v>
      </c>
      <c r="CD27" s="59">
        <f ca="1">AVERAGE(OFFSET($CC$3,0,0,'Données projet'!$E$12+1,1))-AVERAGE(OFFSET($H$3,0,0,'Données projet'!$E$12+1,1))</f>
        <v>592.58528888957346</v>
      </c>
      <c r="CE27" s="59">
        <f t="shared" si="40"/>
        <v>311.31528017256846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289.16000000000003</v>
      </c>
      <c r="CR27" s="12">
        <f>VLOOKUP(A27,'Données projet'!$A$139:$I$159,9,0)</f>
        <v>26.926666666666673</v>
      </c>
      <c r="CS27" s="12">
        <f t="array" ref="CS27">INDEX(CR:CR,MIN(IF(ISNUMBER(CR27:CR223),ROW(CR27:CR223),"")))</f>
        <v>26.926666666666673</v>
      </c>
      <c r="CT27" s="12">
        <f>IF('Données projet'!$A$140&gt;35,CT26+CS27-DB26,IF(A27&lt;'Données projet'!$A$140,$CQ$205^A27,IF(A27='Données projet'!$A$140,'Données projet'!$B$140,CT26+CS27-DB26)))</f>
        <v>289.16000000000003</v>
      </c>
      <c r="CU27" s="17">
        <f>CT27*VLOOKUP('Données projet'!$B$13,Paramètres!$A$1:$I$89,3,0)*VLOOKUP('Données projet'!$B$13,Paramètres!$A$1:$I$89,5,0)</f>
        <v>161.64044000000001</v>
      </c>
      <c r="CV27" s="13">
        <f t="shared" si="41"/>
        <v>41.212301279363686</v>
      </c>
      <c r="CW27" s="20">
        <f t="shared" si="13"/>
        <v>353.30185772822512</v>
      </c>
      <c r="CX27" s="59">
        <f t="shared" si="14"/>
        <v>579.07256591184489</v>
      </c>
      <c r="CY27" s="59">
        <f ca="1">AVERAGE(OFFSET($CX$3,0,0,'Données projet'!$E$13+1,1))-AVERAGE(OFFSET($H$3,0,0,'Données projet'!$E$13+1,1))</f>
        <v>420.4890915162182</v>
      </c>
      <c r="CZ27" s="59">
        <f t="shared" si="42"/>
        <v>553.48432338023565</v>
      </c>
      <c r="DA27" s="15">
        <f>IF(ISNA(VLOOKUP(A27,'Données projet'!$A$139:$I$159,3,0)),0,VLOOKUP(A27,'Données projet'!$A$139:$I$159,3,0))</f>
        <v>2</v>
      </c>
      <c r="DB27" s="15">
        <f>IF(ISNA(VLOOKUP(A27,'Données projet'!$A$139:$I$159,4,0)),0,VLOOKUP(A27,'Données projet'!$A$139:$I$159,4,0))</f>
        <v>51.39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0.55000000000000004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20.877001064528184</v>
      </c>
      <c r="DH27" s="21">
        <f>EXP(-LN(2)/2)*DH26+(1-EXP(-LN(2)/2))/(LN(2)/2)*DB27*DE27*VLOOKUP('Données projet'!$B$13,Paramètres!$A$1:$I$89,3,0)*0.475*44/12</f>
        <v>5.9193642325024971</v>
      </c>
      <c r="DI27" s="22">
        <f t="shared" si="15"/>
        <v>26.796365297030682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4.0628205128205126</v>
      </c>
      <c r="DO27" s="12">
        <f>IF('Données projet'!$A$166&gt;35,DO26+DN27-DW26,IF(A27&lt;'Données projet'!$A$166,$DL$205^A27,IF(A27='Données projet'!$A$166,'Données projet'!$B$166,DO26+DN27-DW26)))</f>
        <v>46.640061345320483</v>
      </c>
      <c r="DP27" s="17">
        <f>DO27*VLOOKUP('Données projet'!$B$14,Paramètres!$A$1:$I$89,3,0)*VLOOKUP('Données projet'!$B$14,Paramètres!$A$1:$I$89,5,0)</f>
        <v>50.203362032102966</v>
      </c>
      <c r="DQ27" s="13">
        <f t="shared" si="43"/>
        <v>14.666266381853569</v>
      </c>
      <c r="DR27" s="20">
        <f t="shared" si="16"/>
        <v>112.98126948764094</v>
      </c>
      <c r="DS27" s="59">
        <f t="shared" si="17"/>
        <v>338.75197767126076</v>
      </c>
      <c r="DT27" s="59">
        <f ca="1">AVERAGE(OFFSET($DS$3,0,0,'Données projet'!$E$14+1,1))-AVERAGE(OFFSET($H$3,0,0,'Données projet'!$E$14+1,1))</f>
        <v>659.55755908012691</v>
      </c>
      <c r="DU27" s="59">
        <f t="shared" si="44"/>
        <v>343.96647464823627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4.0628205128205126</v>
      </c>
      <c r="EJ27" s="12">
        <f>IF('Données projet'!$A$192&gt;35,EJ26+EI27-ER26,IF(A27&lt;'Données projet'!$A$192,$EG$205^A27,IF(A27='Données projet'!$A$192,'Données projet'!$B$192,EJ26+EI27-ER26)))</f>
        <v>46.640061345320483</v>
      </c>
      <c r="EK27" s="17">
        <f>EJ27*VLOOKUP('Données projet'!$B$15,Paramètres!$A$1:$I$89,3,0)*VLOOKUP('Données projet'!$B$15,Paramètres!$A$1:$I$89,5,0)</f>
        <v>45.110267333193974</v>
      </c>
      <c r="EL27" s="13">
        <f t="shared" si="45"/>
        <v>13.343501507878033</v>
      </c>
      <c r="EM27" s="20">
        <f t="shared" si="19"/>
        <v>101.80698073153373</v>
      </c>
      <c r="EN27" s="59">
        <f t="shared" si="20"/>
        <v>327.57768891515354</v>
      </c>
      <c r="EO27" s="59">
        <f ca="1">AVERAGE(OFFSET($EN$3,0,0,'Données projet'!$E$15+1,1))-AVERAGE(OFFSET($H$3,0,0,'Données projet'!$E$15+1,1))</f>
        <v>600.96600099541388</v>
      </c>
      <c r="EP27" s="59">
        <f t="shared" si="46"/>
        <v>315.40159257508969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339.53705545259567</v>
      </c>
      <c r="S28" s="59">
        <f ca="1">AVERAGE(OFFSET($R$3,0,0,'Données projet'!$E$9+1,1))-AVERAGE(OFFSET($H$3,0,0,'Données projet'!$E$9+1,1))</f>
        <v>567.42635821336114</v>
      </c>
      <c r="T28" s="59">
        <f t="shared" si="34"/>
        <v>299.0473530693472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111</v>
      </c>
      <c r="AG28" s="12">
        <f>VLOOKUP(A28,'Données projet'!$A$61:$I$81,9,0)</f>
        <v>11</v>
      </c>
      <c r="AH28" s="12">
        <f t="array" ref="AH28">INDEX(AG:AG,MIN(IF(ISNUMBER(AG28:AG224),ROW(AG28:AG224),"")))</f>
        <v>11</v>
      </c>
      <c r="AI28" s="13">
        <f>IF('Données projet'!$A$62&gt;35,AI27+AH28-AQ27,IF(A28&lt;'Données projet'!$A$62,$AF$205^A28,IF(A28='Données projet'!$A$62,'Données projet'!$B$62,AI27+AH28-AQ27)))</f>
        <v>111</v>
      </c>
      <c r="AJ28" s="13">
        <f>AI28*VLOOKUP('Données projet'!$B$10,Paramètres!$A$1:$I$89,3,0)*VLOOKUP('Données projet'!$B$10,Paramètres!$A$1:$I$89,5,0)</f>
        <v>95.238000000000014</v>
      </c>
      <c r="AK28" s="13">
        <f t="shared" si="35"/>
        <v>25.824315354051141</v>
      </c>
      <c r="AL28" s="20">
        <f t="shared" si="4"/>
        <v>210.85019924163907</v>
      </c>
      <c r="AM28" s="59">
        <f t="shared" si="5"/>
        <v>438.88797320797119</v>
      </c>
      <c r="AN28" s="59">
        <f ca="1">AVERAGE(OFFSET($AM$3,0,0,'Données projet'!$E$10+1,1))-AVERAGE(OFFSET($H$3,0,0,'Données projet'!$E$10+1,1))</f>
        <v>570.05585579662738</v>
      </c>
      <c r="AO28" s="59">
        <f t="shared" si="36"/>
        <v>331.25104323342907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26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3.9732905982905979</v>
      </c>
      <c r="BD28" s="12">
        <f>IF('Données projet'!$A$88&gt;35,BD27+BC28-BL27,IF(A28&lt;'Données projet'!$A$88,$BA$205^A28,IF(A28='Données projet'!$A$88,'Données projet'!$B$88,BD27+BC28-BL27)))</f>
        <v>53.731172823214408</v>
      </c>
      <c r="BE28" s="13">
        <f>BD28*VLOOKUP('Données projet'!$B$11,Paramètres!$A$1:$I$89,3,0)*VLOOKUP('Données projet'!$B$11,Paramètres!$A$1:$I$89,5,0)</f>
        <v>45.263139986275824</v>
      </c>
      <c r="BF28" s="13">
        <f t="shared" si="37"/>
        <v>13.383449445292175</v>
      </c>
      <c r="BG28" s="20">
        <f t="shared" si="7"/>
        <v>102.1428099266476</v>
      </c>
      <c r="BH28" s="59">
        <f t="shared" si="8"/>
        <v>330.18058389297971</v>
      </c>
      <c r="BI28" s="59">
        <f ca="1">AVERAGE(OFFSET($BH$3,0,0,'Données projet'!$E$11+1,1))-AVERAGE(OFFSET($H$3,0,0,'Données projet'!$E$11+1,1))</f>
        <v>458.88102603650725</v>
      </c>
      <c r="BJ28" s="59">
        <f t="shared" si="38"/>
        <v>277.79020316059552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4.0628205128205126</v>
      </c>
      <c r="BY28" s="12">
        <f>IF('Données projet'!$A$114&gt;35,BY27+BX28-CG27,IF(A28&lt;'Données projet'!$A$114,$BV$205^A28,IF(A28='Données projet'!$A$114,'Données projet'!$B$114,BY27+BX28-CG27)))</f>
        <v>54.738229068051083</v>
      </c>
      <c r="BZ28" s="13">
        <f>BY28*VLOOKUP('Données projet'!$B$12,Paramètres!$A$1:$I$89,3,0)*VLOOKUP('Données projet'!$B$12,Paramètres!$A$1:$I$89,5,0)</f>
        <v>52.088898781157418</v>
      </c>
      <c r="CA28" s="13">
        <f t="shared" si="39"/>
        <v>15.151935133769465</v>
      </c>
      <c r="CB28" s="20">
        <f t="shared" si="10"/>
        <v>117.11111906849764</v>
      </c>
      <c r="CC28" s="59">
        <f t="shared" si="11"/>
        <v>345.14889303482977</v>
      </c>
      <c r="CD28" s="59">
        <f ca="1">AVERAGE(OFFSET($CC$3,0,0,'Données projet'!$E$12+1,1))-AVERAGE(OFFSET($H$3,0,0,'Données projet'!$E$12+1,1))</f>
        <v>592.58528888957346</v>
      </c>
      <c r="CE28" s="59">
        <f t="shared" si="40"/>
        <v>311.31528017256846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28.819999999999993</v>
      </c>
      <c r="CT28" s="12">
        <f>IF('Données projet'!$A$140&gt;35,CT27+CS28-DB27,IF(A28&lt;'Données projet'!$A$140,$CQ$205^A28,IF(A28='Données projet'!$A$140,'Données projet'!$B$140,CT27+CS28-DB27)))</f>
        <v>266.59000000000003</v>
      </c>
      <c r="CU28" s="17">
        <f>CT28*VLOOKUP('Données projet'!$B$13,Paramètres!$A$1:$I$89,3,0)*VLOOKUP('Données projet'!$B$13,Paramètres!$A$1:$I$89,5,0)</f>
        <v>149.02381000000003</v>
      </c>
      <c r="CV28" s="13">
        <f t="shared" si="41"/>
        <v>38.356658710715394</v>
      </c>
      <c r="CW28" s="20">
        <f t="shared" si="13"/>
        <v>326.3543163378294</v>
      </c>
      <c r="CX28" s="59">
        <f t="shared" si="14"/>
        <v>554.39209030416146</v>
      </c>
      <c r="CY28" s="59">
        <f ca="1">AVERAGE(OFFSET($CX$3,0,0,'Données projet'!$E$13+1,1))-AVERAGE(OFFSET($H$3,0,0,'Données projet'!$E$13+1,1))</f>
        <v>420.4890915162182</v>
      </c>
      <c r="CZ28" s="59">
        <f t="shared" si="42"/>
        <v>553.48432338023565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20.306118372544891</v>
      </c>
      <c r="DH28" s="21">
        <f>EXP(-LN(2)/2)*DH27+(1-EXP(-LN(2)/2))/(LN(2)/2)*DB28*DE28*VLOOKUP('Données projet'!$B$13,Paramètres!$A$1:$I$89,3,0)*0.475*44/12</f>
        <v>4.1856225891156189</v>
      </c>
      <c r="DI28" s="22">
        <f t="shared" si="15"/>
        <v>24.491740961660511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4.0628205128205126</v>
      </c>
      <c r="DO28" s="12">
        <f>IF('Données projet'!$A$166&gt;35,DO27+DN28-DW27,IF(A28&lt;'Données projet'!$A$166,$DL$205^A28,IF(A28='Données projet'!$A$166,'Données projet'!$B$166,DO27+DN28-DW27)))</f>
        <v>54.738229068051083</v>
      </c>
      <c r="DP28" s="17">
        <f>DO28*VLOOKUP('Données projet'!$B$14,Paramètres!$A$1:$I$89,3,0)*VLOOKUP('Données projet'!$B$14,Paramètres!$A$1:$I$89,5,0)</f>
        <v>58.920229768850184</v>
      </c>
      <c r="DQ28" s="13">
        <f t="shared" si="43"/>
        <v>16.894981353213087</v>
      </c>
      <c r="DR28" s="20">
        <f t="shared" si="16"/>
        <v>132.04482603759354</v>
      </c>
      <c r="DS28" s="59">
        <f t="shared" si="17"/>
        <v>360.08260000392568</v>
      </c>
      <c r="DT28" s="59">
        <f ca="1">AVERAGE(OFFSET($DS$3,0,0,'Données projet'!$E$14+1,1))-AVERAGE(OFFSET($H$3,0,0,'Données projet'!$E$14+1,1))</f>
        <v>659.55755908012691</v>
      </c>
      <c r="DU28" s="59">
        <f t="shared" si="44"/>
        <v>343.96647464823627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4.0628205128205126</v>
      </c>
      <c r="EJ28" s="12">
        <f>IF('Données projet'!$A$192&gt;35,EJ27+EI28-ER27,IF(A28&lt;'Données projet'!$A$192,$EG$205^A28,IF(A28='Données projet'!$A$192,'Données projet'!$B$192,EJ27+EI28-ER27)))</f>
        <v>54.738229068051083</v>
      </c>
      <c r="EK28" s="17">
        <f>EJ28*VLOOKUP('Données projet'!$B$15,Paramètres!$A$1:$I$89,3,0)*VLOOKUP('Données projet'!$B$15,Paramètres!$A$1:$I$89,5,0)</f>
        <v>52.942815154619012</v>
      </c>
      <c r="EL28" s="13">
        <f t="shared" si="45"/>
        <v>15.371206501547148</v>
      </c>
      <c r="EM28" s="20">
        <f t="shared" si="19"/>
        <v>118.9802543844894</v>
      </c>
      <c r="EN28" s="59">
        <f t="shared" si="20"/>
        <v>347.01802835082151</v>
      </c>
      <c r="EO28" s="59">
        <f ca="1">AVERAGE(OFFSET($EN$3,0,0,'Données projet'!$E$15+1,1))-AVERAGE(OFFSET($H$3,0,0,'Données projet'!$E$15+1,1))</f>
        <v>600.96600099541388</v>
      </c>
      <c r="EP28" s="59">
        <f t="shared" si="46"/>
        <v>315.40159257508969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360.59882567306897</v>
      </c>
      <c r="S29" s="59">
        <f ca="1">AVERAGE(OFFSET($R$3,0,0,'Données projet'!$E$9+1,1))-AVERAGE(OFFSET($H$3,0,0,'Données projet'!$E$9+1,1))</f>
        <v>567.42635821336114</v>
      </c>
      <c r="T29" s="59">
        <f t="shared" si="34"/>
        <v>299.0473530693472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12.2</v>
      </c>
      <c r="AI29" s="13">
        <f>IF('Données projet'!$A$62&gt;35,AI28+AH29-AQ28,IF(A29&lt;'Données projet'!$A$62,$AF$205^A29,IF(A29='Données projet'!$A$62,'Données projet'!$B$62,AI28+AH29-AQ28)))</f>
        <v>97.2</v>
      </c>
      <c r="AJ29" s="13">
        <f>AI29*VLOOKUP('Données projet'!$B$10,Paramètres!$A$1:$I$89,3,0)*VLOOKUP('Données projet'!$B$10,Paramètres!$A$1:$I$89,5,0)</f>
        <v>83.397600000000011</v>
      </c>
      <c r="AK29" s="13">
        <f t="shared" si="35"/>
        <v>22.965893371329315</v>
      </c>
      <c r="AL29" s="20">
        <f t="shared" si="4"/>
        <v>185.24975095506522</v>
      </c>
      <c r="AM29" s="59">
        <f t="shared" si="5"/>
        <v>415.53646500425543</v>
      </c>
      <c r="AN29" s="59">
        <f ca="1">AVERAGE(OFFSET($AM$3,0,0,'Données projet'!$E$10+1,1))-AVERAGE(OFFSET($H$3,0,0,'Données projet'!$E$10+1,1))</f>
        <v>570.05585579662738</v>
      </c>
      <c r="AO29" s="59">
        <f t="shared" si="36"/>
        <v>331.25104323342907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3.9732905982905979</v>
      </c>
      <c r="BD29" s="12">
        <f>IF('Données projet'!$A$88&gt;35,BD28+BC29-BL28,IF(A29&lt;'Données projet'!$A$88,$BA$205^A29,IF(A29='Données projet'!$A$88,'Données projet'!$B$88,BD28+BC29-BL28)))</f>
        <v>63.013756890501014</v>
      </c>
      <c r="BE29" s="13">
        <f>BD29*VLOOKUP('Données projet'!$B$11,Paramètres!$A$1:$I$89,3,0)*VLOOKUP('Données projet'!$B$11,Paramètres!$A$1:$I$89,5,0)</f>
        <v>53.082788804558064</v>
      </c>
      <c r="BF29" s="13">
        <f t="shared" si="37"/>
        <v>15.407109949319045</v>
      </c>
      <c r="BG29" s="20">
        <f t="shared" si="7"/>
        <v>119.28657366300263</v>
      </c>
      <c r="BH29" s="59">
        <f t="shared" si="8"/>
        <v>349.57328771219284</v>
      </c>
      <c r="BI29" s="59">
        <f ca="1">AVERAGE(OFFSET($BH$3,0,0,'Données projet'!$E$11+1,1))-AVERAGE(OFFSET($H$3,0,0,'Données projet'!$E$11+1,1))</f>
        <v>458.88102603650725</v>
      </c>
      <c r="BJ29" s="59">
        <f t="shared" si="38"/>
        <v>277.79020316059552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4.0628205128205126</v>
      </c>
      <c r="BY29" s="12">
        <f>IF('Données projet'!$A$114&gt;35,BY28+BX29-CG28,IF(A29&lt;'Données projet'!$A$114,$BV$205^A29,IF(A29='Données projet'!$A$114,'Données projet'!$B$114,BY28+BX29-CG28)))</f>
        <v>64.242491006222849</v>
      </c>
      <c r="BZ29" s="13">
        <f>BY29*VLOOKUP('Données projet'!$B$12,Paramètres!$A$1:$I$89,3,0)*VLOOKUP('Données projet'!$B$12,Paramètres!$A$1:$I$89,5,0)</f>
        <v>61.133154441521668</v>
      </c>
      <c r="CA29" s="13">
        <f t="shared" si="39"/>
        <v>17.454453293366154</v>
      </c>
      <c r="CB29" s="20">
        <f t="shared" si="10"/>
        <v>136.87341680492963</v>
      </c>
      <c r="CC29" s="59">
        <f t="shared" si="11"/>
        <v>367.16013085411981</v>
      </c>
      <c r="CD29" s="59">
        <f ca="1">AVERAGE(OFFSET($CC$3,0,0,'Données projet'!$E$12+1,1))-AVERAGE(OFFSET($H$3,0,0,'Données projet'!$E$12+1,1))</f>
        <v>592.58528888957346</v>
      </c>
      <c r="CE29" s="59">
        <f t="shared" si="40"/>
        <v>311.31528017256846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28.819999999999993</v>
      </c>
      <c r="CT29" s="12">
        <f>IF('Données projet'!$A$140&gt;35,CT28+CS29-DB28,IF(A29&lt;'Données projet'!$A$140,$CQ$205^A29,IF(A29='Données projet'!$A$140,'Données projet'!$B$140,CT28+CS29-DB28)))</f>
        <v>295.41000000000003</v>
      </c>
      <c r="CU29" s="17">
        <f>CT29*VLOOKUP('Données projet'!$B$13,Paramètres!$A$1:$I$89,3,0)*VLOOKUP('Données projet'!$B$13,Paramètres!$A$1:$I$89,5,0)</f>
        <v>165.13419000000002</v>
      </c>
      <c r="CV29" s="13">
        <f t="shared" si="41"/>
        <v>41.998408993833188</v>
      </c>
      <c r="CW29" s="20">
        <f t="shared" si="13"/>
        <v>360.75594324759282</v>
      </c>
      <c r="CX29" s="59">
        <f t="shared" si="14"/>
        <v>591.04265729678298</v>
      </c>
      <c r="CY29" s="59">
        <f ca="1">AVERAGE(OFFSET($CX$3,0,0,'Données projet'!$E$13+1,1))-AVERAGE(OFFSET($H$3,0,0,'Données projet'!$E$13+1,1))</f>
        <v>420.4890915162182</v>
      </c>
      <c r="CZ29" s="59">
        <f t="shared" si="42"/>
        <v>553.48432338023565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19.750846497795294</v>
      </c>
      <c r="DH29" s="21">
        <f>EXP(-LN(2)/2)*DH28+(1-EXP(-LN(2)/2))/(LN(2)/2)*DB29*DE29*VLOOKUP('Données projet'!$B$13,Paramètres!$A$1:$I$89,3,0)*0.475*44/12</f>
        <v>2.9596821162512486</v>
      </c>
      <c r="DI29" s="22">
        <f t="shared" si="15"/>
        <v>22.710528614046542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4.0628205128205126</v>
      </c>
      <c r="DO29" s="12">
        <f>IF('Données projet'!$A$166&gt;35,DO28+DN29-DW28,IF(A29&lt;'Données projet'!$A$166,$DL$205^A29,IF(A29='Données projet'!$A$166,'Données projet'!$B$166,DO28+DN29-DW28)))</f>
        <v>64.242491006222849</v>
      </c>
      <c r="DP29" s="17">
        <f>DO29*VLOOKUP('Données projet'!$B$14,Paramètres!$A$1:$I$89,3,0)*VLOOKUP('Données projet'!$B$14,Paramètres!$A$1:$I$89,5,0)</f>
        <v>69.150617319098274</v>
      </c>
      <c r="DQ29" s="13">
        <f t="shared" si="43"/>
        <v>19.462376278572883</v>
      </c>
      <c r="DR29" s="20">
        <f t="shared" si="16"/>
        <v>154.33429718261061</v>
      </c>
      <c r="DS29" s="59">
        <f t="shared" si="17"/>
        <v>384.62101123180082</v>
      </c>
      <c r="DT29" s="59">
        <f ca="1">AVERAGE(OFFSET($DS$3,0,0,'Données projet'!$E$14+1,1))-AVERAGE(OFFSET($H$3,0,0,'Données projet'!$E$14+1,1))</f>
        <v>659.55755908012691</v>
      </c>
      <c r="DU29" s="59">
        <f t="shared" si="44"/>
        <v>343.96647464823627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4.0628205128205126</v>
      </c>
      <c r="EJ29" s="12">
        <f>IF('Données projet'!$A$192&gt;35,EJ28+EI29-ER28,IF(A29&lt;'Données projet'!$A$192,$EG$205^A29,IF(A29='Données projet'!$A$192,'Données projet'!$B$192,EJ28+EI29-ER28)))</f>
        <v>64.242491006222849</v>
      </c>
      <c r="EK29" s="17">
        <f>EJ29*VLOOKUP('Données projet'!$B$15,Paramètres!$A$1:$I$89,3,0)*VLOOKUP('Données projet'!$B$15,Paramètres!$A$1:$I$89,5,0)</f>
        <v>62.13533730121874</v>
      </c>
      <c r="EL29" s="13">
        <f t="shared" si="45"/>
        <v>17.707045573735556</v>
      </c>
      <c r="EM29" s="20">
        <f t="shared" si="19"/>
        <v>139.0588168405454</v>
      </c>
      <c r="EN29" s="59">
        <f t="shared" si="20"/>
        <v>369.34553088973558</v>
      </c>
      <c r="EO29" s="59">
        <f ca="1">AVERAGE(OFFSET($EN$3,0,0,'Données projet'!$E$15+1,1))-AVERAGE(OFFSET($H$3,0,0,'Données projet'!$E$15+1,1))</f>
        <v>600.96600099541388</v>
      </c>
      <c r="EP29" s="59">
        <f t="shared" si="46"/>
        <v>315.40159257508969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384.82616717909605</v>
      </c>
      <c r="S30" s="59">
        <f ca="1">AVERAGE(OFFSET($R$3,0,0,'Données projet'!$E$9+1,1))-AVERAGE(OFFSET($H$3,0,0,'Données projet'!$E$9+1,1))</f>
        <v>567.42635821336114</v>
      </c>
      <c r="T30" s="59">
        <f t="shared" si="34"/>
        <v>299.0473530693472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12.2</v>
      </c>
      <c r="AI30" s="13">
        <f>IF('Données projet'!$A$62&gt;35,AI29+AH30-AQ29,IF(A30&lt;'Données projet'!$A$62,$AF$205^A30,IF(A30='Données projet'!$A$62,'Données projet'!$B$62,AI29+AH30-AQ29)))</f>
        <v>109.4</v>
      </c>
      <c r="AJ30" s="13">
        <f>AI30*VLOOKUP('Données projet'!$B$10,Paramètres!$A$1:$I$89,3,0)*VLOOKUP('Données projet'!$B$10,Paramètres!$A$1:$I$89,5,0)</f>
        <v>93.865200000000016</v>
      </c>
      <c r="AK30" s="13">
        <f t="shared" si="35"/>
        <v>25.495124560846406</v>
      </c>
      <c r="AL30" s="20">
        <f t="shared" si="4"/>
        <v>207.88589861014086</v>
      </c>
      <c r="AM30" s="59">
        <f t="shared" si="5"/>
        <v>440.40374148270439</v>
      </c>
      <c r="AN30" s="59">
        <f ca="1">AVERAGE(OFFSET($AM$3,0,0,'Données projet'!$E$10+1,1))-AVERAGE(OFFSET($H$3,0,0,'Données projet'!$E$10+1,1))</f>
        <v>570.05585579662738</v>
      </c>
      <c r="AO30" s="59">
        <f t="shared" si="36"/>
        <v>331.25104323342907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3.9732905982905979</v>
      </c>
      <c r="BD30" s="12">
        <f>IF('Données projet'!$A$88&gt;35,BD29+BC30-BL29,IF(A30&lt;'Données projet'!$A$88,$BA$205^A30,IF(A30='Données projet'!$A$88,'Données projet'!$B$88,BD29+BC30-BL29)))</f>
        <v>73.899997874969515</v>
      </c>
      <c r="BE30" s="13">
        <f>BD30*VLOOKUP('Données projet'!$B$11,Paramètres!$A$1:$I$89,3,0)*VLOOKUP('Données projet'!$B$11,Paramètres!$A$1:$I$89,5,0)</f>
        <v>62.253358209874328</v>
      </c>
      <c r="BF30" s="13">
        <f t="shared" si="37"/>
        <v>17.736760463791171</v>
      </c>
      <c r="BG30" s="20">
        <f t="shared" si="7"/>
        <v>139.31612335663408</v>
      </c>
      <c r="BH30" s="59">
        <f t="shared" si="8"/>
        <v>371.83396622919759</v>
      </c>
      <c r="BI30" s="59">
        <f ca="1">AVERAGE(OFFSET($BH$3,0,0,'Données projet'!$E$11+1,1))-AVERAGE(OFFSET($H$3,0,0,'Données projet'!$E$11+1,1))</f>
        <v>458.88102603650725</v>
      </c>
      <c r="BJ30" s="59">
        <f t="shared" si="38"/>
        <v>277.79020316059552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4.0628205128205126</v>
      </c>
      <c r="BY30" s="12">
        <f>IF('Données projet'!$A$114&gt;35,BY29+BX30-CG29,IF(A30&lt;'Données projet'!$A$114,$BV$205^A30,IF(A30='Données projet'!$A$114,'Données projet'!$B$114,BY29+BX30-CG29)))</f>
        <v>75.396988922564091</v>
      </c>
      <c r="BZ30" s="13">
        <f>BY30*VLOOKUP('Données projet'!$B$12,Paramètres!$A$1:$I$89,3,0)*VLOOKUP('Données projet'!$B$12,Paramètres!$A$1:$I$89,5,0)</f>
        <v>71.74777465871199</v>
      </c>
      <c r="CA30" s="13">
        <f t="shared" si="39"/>
        <v>20.106866686044771</v>
      </c>
      <c r="CB30" s="20">
        <f t="shared" si="10"/>
        <v>159.98016700878466</v>
      </c>
      <c r="CC30" s="59">
        <f t="shared" si="11"/>
        <v>392.49800988134814</v>
      </c>
      <c r="CD30" s="59">
        <f ca="1">AVERAGE(OFFSET($CC$3,0,0,'Données projet'!$E$12+1,1))-AVERAGE(OFFSET($H$3,0,0,'Données projet'!$E$12+1,1))</f>
        <v>592.58528888957346</v>
      </c>
      <c r="CE30" s="59">
        <f t="shared" si="40"/>
        <v>311.31528017256846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28.819999999999993</v>
      </c>
      <c r="CT30" s="12">
        <f>IF('Données projet'!$A$140&gt;35,CT29+CS30-DB29,IF(A30&lt;'Données projet'!$A$140,$CQ$205^A30,IF(A30='Données projet'!$A$140,'Données projet'!$B$140,CT29+CS30-DB29)))</f>
        <v>324.23</v>
      </c>
      <c r="CU30" s="17">
        <f>CT30*VLOOKUP('Données projet'!$B$13,Paramètres!$A$1:$I$89,3,0)*VLOOKUP('Données projet'!$B$13,Paramètres!$A$1:$I$89,5,0)</f>
        <v>181.24457000000001</v>
      </c>
      <c r="CV30" s="13">
        <f t="shared" si="41"/>
        <v>45.598968922238527</v>
      </c>
      <c r="CW30" s="20">
        <f t="shared" si="13"/>
        <v>395.08583028956542</v>
      </c>
      <c r="CX30" s="59">
        <f t="shared" si="14"/>
        <v>627.60367316212887</v>
      </c>
      <c r="CY30" s="59">
        <f ca="1">AVERAGE(OFFSET($CX$3,0,0,'Données projet'!$E$13+1,1))-AVERAGE(OFFSET($H$3,0,0,'Données projet'!$E$13+1,1))</f>
        <v>420.4890915162182</v>
      </c>
      <c r="CZ30" s="59">
        <f t="shared" si="42"/>
        <v>553.48432338023565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19.210758561661205</v>
      </c>
      <c r="DH30" s="21">
        <f>EXP(-LN(2)/2)*DH29+(1-EXP(-LN(2)/2))/(LN(2)/2)*DB30*DE30*VLOOKUP('Données projet'!$B$13,Paramètres!$A$1:$I$89,3,0)*0.475*44/12</f>
        <v>2.0928112945578095</v>
      </c>
      <c r="DI30" s="22">
        <f t="shared" si="15"/>
        <v>21.303569856219013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4.0628205128205126</v>
      </c>
      <c r="DO30" s="12">
        <f>IF('Données projet'!$A$166&gt;35,DO29+DN30-DW29,IF(A30&lt;'Données projet'!$A$166,$DL$205^A30,IF(A30='Données projet'!$A$166,'Données projet'!$B$166,DO29+DN30-DW29)))</f>
        <v>75.396988922564091</v>
      </c>
      <c r="DP30" s="17">
        <f>DO30*VLOOKUP('Données projet'!$B$14,Paramètres!$A$1:$I$89,3,0)*VLOOKUP('Données projet'!$B$14,Paramètres!$A$1:$I$89,5,0)</f>
        <v>81.157318876247984</v>
      </c>
      <c r="DQ30" s="13">
        <f t="shared" si="43"/>
        <v>22.41991763647134</v>
      </c>
      <c r="DR30" s="20">
        <f t="shared" si="16"/>
        <v>180.39702025965281</v>
      </c>
      <c r="DS30" s="59">
        <f t="shared" si="17"/>
        <v>412.91486313221628</v>
      </c>
      <c r="DT30" s="59">
        <f ca="1">AVERAGE(OFFSET($DS$3,0,0,'Données projet'!$E$14+1,1))-AVERAGE(OFFSET($H$3,0,0,'Données projet'!$E$14+1,1))</f>
        <v>659.55755908012691</v>
      </c>
      <c r="DU30" s="59">
        <f t="shared" si="44"/>
        <v>343.96647464823627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4.0628205128205126</v>
      </c>
      <c r="EJ30" s="12">
        <f>IF('Données projet'!$A$192&gt;35,EJ29+EI30-ER29,IF(A30&lt;'Données projet'!$A$192,$EG$205^A30,IF(A30='Données projet'!$A$192,'Données projet'!$B$192,EJ29+EI30-ER29)))</f>
        <v>75.396988922564091</v>
      </c>
      <c r="EK30" s="17">
        <f>EJ30*VLOOKUP('Données projet'!$B$15,Paramètres!$A$1:$I$89,3,0)*VLOOKUP('Données projet'!$B$15,Paramètres!$A$1:$I$89,5,0)</f>
        <v>72.923967685903989</v>
      </c>
      <c r="EL30" s="13">
        <f t="shared" si="45"/>
        <v>20.397843391069493</v>
      </c>
      <c r="EM30" s="20">
        <f t="shared" si="19"/>
        <v>162.53548762572882</v>
      </c>
      <c r="EN30" s="59">
        <f t="shared" si="20"/>
        <v>395.05333049829233</v>
      </c>
      <c r="EO30" s="59">
        <f ca="1">AVERAGE(OFFSET($EN$3,0,0,'Données projet'!$E$15+1,1))-AVERAGE(OFFSET($H$3,0,0,'Données projet'!$E$15+1,1))</f>
        <v>600.96600099541388</v>
      </c>
      <c r="EP30" s="59">
        <f t="shared" si="46"/>
        <v>315.40159257508969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412.75949364982785</v>
      </c>
      <c r="S31" s="59">
        <f ca="1">AVERAGE(OFFSET($R$3,0,0,'Données projet'!$E$9+1,1))-AVERAGE(OFFSET($H$3,0,0,'Données projet'!$E$9+1,1))</f>
        <v>567.42635821336114</v>
      </c>
      <c r="T31" s="59">
        <f t="shared" si="34"/>
        <v>299.0473530693472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12.2</v>
      </c>
      <c r="AI31" s="13">
        <f>IF('Données projet'!$A$62&gt;35,AI30+AH31-AQ30,IF(A31&lt;'Données projet'!$A$62,$AF$205^A31,IF(A31='Données projet'!$A$62,'Données projet'!$B$62,AI30+AH31-AQ30)))</f>
        <v>121.60000000000001</v>
      </c>
      <c r="AJ31" s="13">
        <f>AI31*VLOOKUP('Données projet'!$B$10,Paramètres!$A$1:$I$89,3,0)*VLOOKUP('Données projet'!$B$10,Paramètres!$A$1:$I$89,5,0)</f>
        <v>104.33280000000002</v>
      </c>
      <c r="AK31" s="13">
        <f t="shared" si="35"/>
        <v>27.991665469945552</v>
      </c>
      <c r="AL31" s="20">
        <f t="shared" si="4"/>
        <v>230.46511069348855</v>
      </c>
      <c r="AM31" s="59">
        <f t="shared" si="5"/>
        <v>465.19658011547267</v>
      </c>
      <c r="AN31" s="59">
        <f ca="1">AVERAGE(OFFSET($AM$3,0,0,'Données projet'!$E$10+1,1))-AVERAGE(OFFSET($H$3,0,0,'Données projet'!$E$10+1,1))</f>
        <v>570.05585579662738</v>
      </c>
      <c r="AO31" s="59">
        <f t="shared" si="36"/>
        <v>331.25104323342907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3.9732905982905979</v>
      </c>
      <c r="BD31" s="12">
        <f>IF('Données projet'!$A$88&gt;35,BD30+BC31-BL30,IF(A31&lt;'Données projet'!$A$88,$BA$205^A31,IF(A31='Données projet'!$A$88,'Données projet'!$B$88,BD30+BC31-BL30)))</f>
        <v>86.666943147199447</v>
      </c>
      <c r="BE31" s="13">
        <f>BD31*VLOOKUP('Données projet'!$B$11,Paramètres!$A$1:$I$89,3,0)*VLOOKUP('Données projet'!$B$11,Paramètres!$A$1:$I$89,5,0)</f>
        <v>73.008232907200821</v>
      </c>
      <c r="BF31" s="13">
        <f t="shared" si="37"/>
        <v>20.418668574751724</v>
      </c>
      <c r="BG31" s="20">
        <f t="shared" si="7"/>
        <v>162.71852008106734</v>
      </c>
      <c r="BH31" s="59">
        <f t="shared" si="8"/>
        <v>397.44998950305143</v>
      </c>
      <c r="BI31" s="59">
        <f ca="1">AVERAGE(OFFSET($BH$3,0,0,'Données projet'!$E$11+1,1))-AVERAGE(OFFSET($H$3,0,0,'Données projet'!$E$11+1,1))</f>
        <v>458.88102603650725</v>
      </c>
      <c r="BJ31" s="59">
        <f t="shared" si="38"/>
        <v>277.79020316059552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4.0628205128205126</v>
      </c>
      <c r="BY31" s="12">
        <f>IF('Données projet'!$A$114&gt;35,BY30+BX31-CG30,IF(A31&lt;'Données projet'!$A$114,$BV$205^A31,IF(A31='Données projet'!$A$114,'Données projet'!$B$114,BY30+BX31-CG30)))</f>
        <v>88.488255196060223</v>
      </c>
      <c r="BZ31" s="13">
        <f>BY31*VLOOKUP('Données projet'!$B$12,Paramètres!$A$1:$I$89,3,0)*VLOOKUP('Données projet'!$B$12,Paramètres!$A$1:$I$89,5,0)</f>
        <v>84.205423644570914</v>
      </c>
      <c r="CA31" s="13">
        <f t="shared" si="39"/>
        <v>23.162346086430109</v>
      </c>
      <c r="CB31" s="20">
        <f t="shared" si="10"/>
        <v>186.99886561482674</v>
      </c>
      <c r="CC31" s="59">
        <f t="shared" si="11"/>
        <v>421.73033503681086</v>
      </c>
      <c r="CD31" s="59">
        <f ca="1">AVERAGE(OFFSET($CC$3,0,0,'Données projet'!$E$12+1,1))-AVERAGE(OFFSET($H$3,0,0,'Données projet'!$E$12+1,1))</f>
        <v>592.58528888957346</v>
      </c>
      <c r="CE31" s="59">
        <f t="shared" si="40"/>
        <v>311.31528017256846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28.819999999999993</v>
      </c>
      <c r="CT31" s="12">
        <f>IF('Données projet'!$A$140&gt;35,CT30+CS31-DB30,IF(A31&lt;'Données projet'!$A$140,$CQ$205^A31,IF(A31='Données projet'!$A$140,'Données projet'!$B$140,CT30+CS31-DB30)))</f>
        <v>353.05</v>
      </c>
      <c r="CU31" s="17">
        <f>CT31*VLOOKUP('Données projet'!$B$13,Paramètres!$A$1:$I$89,3,0)*VLOOKUP('Données projet'!$B$13,Paramètres!$A$1:$I$89,5,0)</f>
        <v>197.35495</v>
      </c>
      <c r="CV31" s="13">
        <f t="shared" si="41"/>
        <v>49.162416141827357</v>
      </c>
      <c r="CW31" s="20">
        <f t="shared" si="13"/>
        <v>429.35107936368263</v>
      </c>
      <c r="CX31" s="59">
        <f t="shared" si="14"/>
        <v>664.08254878566675</v>
      </c>
      <c r="CY31" s="59">
        <f ca="1">AVERAGE(OFFSET($CX$3,0,0,'Données projet'!$E$13+1,1))-AVERAGE(OFFSET($H$3,0,0,'Données projet'!$E$13+1,1))</f>
        <v>420.4890915162182</v>
      </c>
      <c r="CZ31" s="59">
        <f t="shared" si="42"/>
        <v>553.48432338023565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18.685439358542695</v>
      </c>
      <c r="DH31" s="21">
        <f>EXP(-LN(2)/2)*DH30+(1-EXP(-LN(2)/2))/(LN(2)/2)*DB31*DE31*VLOOKUP('Données projet'!$B$13,Paramètres!$A$1:$I$89,3,0)*0.475*44/12</f>
        <v>1.4798410581256243</v>
      </c>
      <c r="DI31" s="22">
        <f t="shared" si="15"/>
        <v>20.16528041666832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4.0628205128205126</v>
      </c>
      <c r="DO31" s="12">
        <f>IF('Données projet'!$A$166&gt;35,DO30+DN31-DW30,IF(A31&lt;'Données projet'!$A$166,$DL$205^A31,IF(A31='Données projet'!$A$166,'Données projet'!$B$166,DO30+DN31-DW30)))</f>
        <v>88.488255196060223</v>
      </c>
      <c r="DP31" s="17">
        <f>DO31*VLOOKUP('Données projet'!$B$14,Paramètres!$A$1:$I$89,3,0)*VLOOKUP('Données projet'!$B$14,Paramètres!$A$1:$I$89,5,0)</f>
        <v>95.248757893039226</v>
      </c>
      <c r="DQ31" s="13">
        <f t="shared" si="43"/>
        <v>25.826892853754671</v>
      </c>
      <c r="DR31" s="20">
        <f t="shared" si="16"/>
        <v>210.87342505066601</v>
      </c>
      <c r="DS31" s="59">
        <f t="shared" si="17"/>
        <v>445.60489447265013</v>
      </c>
      <c r="DT31" s="59">
        <f ca="1">AVERAGE(OFFSET($DS$3,0,0,'Données projet'!$E$14+1,1))-AVERAGE(OFFSET($H$3,0,0,'Données projet'!$E$14+1,1))</f>
        <v>659.55755908012691</v>
      </c>
      <c r="DU31" s="59">
        <f t="shared" si="44"/>
        <v>343.96647464823627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4.0628205128205126</v>
      </c>
      <c r="EJ31" s="12">
        <f>IF('Données projet'!$A$192&gt;35,EJ30+EI31-ER30,IF(A31&lt;'Données projet'!$A$192,$EG$205^A31,IF(A31='Données projet'!$A$192,'Données projet'!$B$192,EJ30+EI31-ER30)))</f>
        <v>88.488255196060223</v>
      </c>
      <c r="EK31" s="17">
        <f>EJ31*VLOOKUP('Données projet'!$B$15,Paramètres!$A$1:$I$89,3,0)*VLOOKUP('Données projet'!$B$15,Paramètres!$A$1:$I$89,5,0)</f>
        <v>85.585840425629442</v>
      </c>
      <c r="EL31" s="13">
        <f t="shared" si="45"/>
        <v>23.49754018952472</v>
      </c>
      <c r="EM31" s="20">
        <f t="shared" si="19"/>
        <v>189.98688790472684</v>
      </c>
      <c r="EN31" s="59">
        <f t="shared" si="20"/>
        <v>424.71835732671093</v>
      </c>
      <c r="EO31" s="59">
        <f ca="1">AVERAGE(OFFSET($EN$3,0,0,'Données projet'!$E$15+1,1))-AVERAGE(OFFSET($H$3,0,0,'Données projet'!$E$15+1,1))</f>
        <v>600.96600099541388</v>
      </c>
      <c r="EP31" s="59">
        <f t="shared" si="46"/>
        <v>315.40159257508969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445.03107317252352</v>
      </c>
      <c r="S32" s="59">
        <f ca="1">AVERAGE(OFFSET($R$3,0,0,'Données projet'!$E$9+1,1))-AVERAGE(OFFSET($H$3,0,0,'Données projet'!$E$9+1,1))</f>
        <v>567.42635821336114</v>
      </c>
      <c r="T32" s="59">
        <f t="shared" si="34"/>
        <v>299.0473530693472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12.2</v>
      </c>
      <c r="AI32" s="13">
        <f>IF('Données projet'!$A$62&gt;35,AI31+AH32-AQ31,IF(A32&lt;'Données projet'!$A$62,$AF$205^A32,IF(A32='Données projet'!$A$62,'Données projet'!$B$62,AI31+AH32-AQ31)))</f>
        <v>133.80000000000001</v>
      </c>
      <c r="AJ32" s="13">
        <f>AI32*VLOOKUP('Données projet'!$B$10,Paramètres!$A$1:$I$89,3,0)*VLOOKUP('Données projet'!$B$10,Paramètres!$A$1:$I$89,5,0)</f>
        <v>114.80040000000002</v>
      </c>
      <c r="AK32" s="13">
        <f t="shared" si="35"/>
        <v>30.459169258522444</v>
      </c>
      <c r="AL32" s="20">
        <f t="shared" si="4"/>
        <v>252.99374979192666</v>
      </c>
      <c r="AM32" s="59">
        <f t="shared" si="5"/>
        <v>489.92164711470252</v>
      </c>
      <c r="AN32" s="59">
        <f ca="1">AVERAGE(OFFSET($AM$3,0,0,'Données projet'!$E$10+1,1))-AVERAGE(OFFSET($H$3,0,0,'Données projet'!$E$10+1,1))</f>
        <v>570.05585579662738</v>
      </c>
      <c r="AO32" s="59">
        <f t="shared" si="36"/>
        <v>331.25104323342907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3.9732905982905979</v>
      </c>
      <c r="BD32" s="12">
        <f>IF('Données projet'!$A$88&gt;35,BD31+BC32-BL31,IF(A32&lt;'Données projet'!$A$88,$BA$205^A32,IF(A32='Données projet'!$A$88,'Données projet'!$B$88,BD31+BC32-BL31)))</f>
        <v>101.63950271267854</v>
      </c>
      <c r="BE32" s="13">
        <f>BD32*VLOOKUP('Données projet'!$B$11,Paramètres!$A$1:$I$89,3,0)*VLOOKUP('Données projet'!$B$11,Paramètres!$A$1:$I$89,5,0)</f>
        <v>85.621117085160407</v>
      </c>
      <c r="BF32" s="13">
        <f t="shared" si="37"/>
        <v>23.506097814010744</v>
      </c>
      <c r="BG32" s="20">
        <f t="shared" si="7"/>
        <v>190.06323261605641</v>
      </c>
      <c r="BH32" s="59">
        <f t="shared" si="8"/>
        <v>426.99112993883227</v>
      </c>
      <c r="BI32" s="59">
        <f ca="1">AVERAGE(OFFSET($BH$3,0,0,'Données projet'!$E$11+1,1))-AVERAGE(OFFSET($H$3,0,0,'Données projet'!$E$11+1,1))</f>
        <v>458.88102603650725</v>
      </c>
      <c r="BJ32" s="59">
        <f t="shared" si="38"/>
        <v>277.79020316059552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4.0628205128205126</v>
      </c>
      <c r="BY32" s="12">
        <f>IF('Données projet'!$A$114&gt;35,BY31+BX32-CG31,IF(A32&lt;'Données projet'!$A$114,$BV$205^A32,IF(A32='Données projet'!$A$114,'Données projet'!$B$114,BY31+BX32-CG31)))</f>
        <v>103.85257315361756</v>
      </c>
      <c r="BZ32" s="13">
        <f>BY32*VLOOKUP('Données projet'!$B$12,Paramètres!$A$1:$I$89,3,0)*VLOOKUP('Données projet'!$B$12,Paramètres!$A$1:$I$89,5,0)</f>
        <v>98.826108612982466</v>
      </c>
      <c r="CA32" s="13">
        <f t="shared" si="39"/>
        <v>26.682142205673451</v>
      </c>
      <c r="CB32" s="20">
        <f t="shared" si="10"/>
        <v>218.59353684249234</v>
      </c>
      <c r="CC32" s="59">
        <f t="shared" si="11"/>
        <v>455.52143416526815</v>
      </c>
      <c r="CD32" s="59">
        <f ca="1">AVERAGE(OFFSET($CC$3,0,0,'Données projet'!$E$12+1,1))-AVERAGE(OFFSET($H$3,0,0,'Données projet'!$E$12+1,1))</f>
        <v>592.58528888957346</v>
      </c>
      <c r="CE32" s="59">
        <f t="shared" si="40"/>
        <v>311.31528017256846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28.819999999999993</v>
      </c>
      <c r="CT32" s="12">
        <f>IF('Données projet'!$A$140&gt;35,CT31+CS32-DB31,IF(A32&lt;'Données projet'!$A$140,$CQ$205^A32,IF(A32='Données projet'!$A$140,'Données projet'!$B$140,CT31+CS32-DB31)))</f>
        <v>381.87</v>
      </c>
      <c r="CU32" s="17">
        <f>CT32*VLOOKUP('Données projet'!$B$13,Paramètres!$A$1:$I$89,3,0)*VLOOKUP('Données projet'!$B$13,Paramètres!$A$1:$I$89,5,0)</f>
        <v>213.46533000000002</v>
      </c>
      <c r="CV32" s="13">
        <f t="shared" si="41"/>
        <v>52.692124649376929</v>
      </c>
      <c r="CW32" s="20">
        <f t="shared" si="13"/>
        <v>463.55756684766487</v>
      </c>
      <c r="CX32" s="59">
        <f t="shared" si="14"/>
        <v>700.48546417044076</v>
      </c>
      <c r="CY32" s="59">
        <f ca="1">AVERAGE(OFFSET($CX$3,0,0,'Données projet'!$E$13+1,1))-AVERAGE(OFFSET($H$3,0,0,'Données projet'!$E$13+1,1))</f>
        <v>420.4890915162182</v>
      </c>
      <c r="CZ32" s="59">
        <f t="shared" si="42"/>
        <v>553.48432338023565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18.174485036658794</v>
      </c>
      <c r="DH32" s="21">
        <f>EXP(-LN(2)/2)*DH31+(1-EXP(-LN(2)/2))/(LN(2)/2)*DB32*DE32*VLOOKUP('Données projet'!$B$13,Paramètres!$A$1:$I$89,3,0)*0.475*44/12</f>
        <v>1.0464056472789047</v>
      </c>
      <c r="DI32" s="22">
        <f t="shared" si="15"/>
        <v>19.2208906839377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4.0628205128205126</v>
      </c>
      <c r="DO32" s="12">
        <f>IF('Données projet'!$A$166&gt;35,DO31+DN32-DW31,IF(A32&lt;'Données projet'!$A$166,$DL$205^A32,IF(A32='Données projet'!$A$166,'Données projet'!$B$166,DO31+DN32-DW31)))</f>
        <v>103.85257315361756</v>
      </c>
      <c r="DP32" s="17">
        <f>DO32*VLOOKUP('Données projet'!$B$14,Paramètres!$A$1:$I$89,3,0)*VLOOKUP('Données projet'!$B$14,Paramètres!$A$1:$I$89,5,0)</f>
        <v>111.78690974255393</v>
      </c>
      <c r="DQ32" s="13">
        <f t="shared" si="43"/>
        <v>29.751598792416779</v>
      </c>
      <c r="DR32" s="20">
        <f t="shared" si="16"/>
        <v>246.51290236507396</v>
      </c>
      <c r="DS32" s="59">
        <f t="shared" si="17"/>
        <v>483.44079968784979</v>
      </c>
      <c r="DT32" s="59">
        <f ca="1">AVERAGE(OFFSET($DS$3,0,0,'Données projet'!$E$14+1,1))-AVERAGE(OFFSET($H$3,0,0,'Données projet'!$E$14+1,1))</f>
        <v>659.55755908012691</v>
      </c>
      <c r="DU32" s="59">
        <f t="shared" si="44"/>
        <v>343.96647464823627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4.0628205128205126</v>
      </c>
      <c r="EJ32" s="12">
        <f>IF('Données projet'!$A$192&gt;35,EJ31+EI32-ER31,IF(A32&lt;'Données projet'!$A$192,$EG$205^A32,IF(A32='Données projet'!$A$192,'Données projet'!$B$192,EJ31+EI32-ER31)))</f>
        <v>103.85257315361756</v>
      </c>
      <c r="EK32" s="17">
        <f>EJ32*VLOOKUP('Données projet'!$B$15,Paramètres!$A$1:$I$89,3,0)*VLOOKUP('Données projet'!$B$15,Paramètres!$A$1:$I$89,5,0)</f>
        <v>100.4462087541789</v>
      </c>
      <c r="EL32" s="13">
        <f t="shared" si="45"/>
        <v>27.068273070478782</v>
      </c>
      <c r="EM32" s="20">
        <f t="shared" si="19"/>
        <v>222.0877225112788</v>
      </c>
      <c r="EN32" s="59">
        <f t="shared" si="20"/>
        <v>459.01561983405463</v>
      </c>
      <c r="EO32" s="59">
        <f ca="1">AVERAGE(OFFSET($EN$3,0,0,'Données projet'!$E$15+1,1))-AVERAGE(OFFSET($H$3,0,0,'Données projet'!$E$15+1,1))</f>
        <v>600.96600099541388</v>
      </c>
      <c r="EP32" s="59">
        <f t="shared" si="46"/>
        <v>315.40159257508969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482.38068640268057</v>
      </c>
      <c r="S33" s="59">
        <f ca="1">AVERAGE(OFFSET($R$3,0,0,'Données projet'!$E$9+1,1))-AVERAGE(OFFSET($H$3,0,0,'Données projet'!$E$9+1,1))</f>
        <v>567.42635821336114</v>
      </c>
      <c r="T33" s="59">
        <f t="shared" si="34"/>
        <v>299.0473530693472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12.2</v>
      </c>
      <c r="AH33" s="12">
        <f t="array" ref="AH33">INDEX(AG:AG,MIN(IF(ISNUMBER(AG33:AG229),ROW(AG33:AG229),"")))</f>
        <v>12.2</v>
      </c>
      <c r="AI33" s="13">
        <f>IF('Données projet'!$A$62&gt;35,AI32+AH33-AQ32,IF(A33&lt;'Données projet'!$A$62,$AF$205^A33,IF(A33='Données projet'!$A$62,'Données projet'!$B$62,AI32+AH33-AQ32)))</f>
        <v>146</v>
      </c>
      <c r="AJ33" s="13">
        <f>AI33*VLOOKUP('Données projet'!$B$10,Paramètres!$A$1:$I$89,3,0)*VLOOKUP('Données projet'!$B$10,Paramètres!$A$1:$I$89,5,0)</f>
        <v>125.26800000000003</v>
      </c>
      <c r="AK33" s="13">
        <f t="shared" si="35"/>
        <v>32.9005846700787</v>
      </c>
      <c r="AL33" s="20">
        <f t="shared" si="4"/>
        <v>275.47695163372049</v>
      </c>
      <c r="AM33" s="59">
        <f t="shared" si="5"/>
        <v>514.58437656676244</v>
      </c>
      <c r="AN33" s="59">
        <f ca="1">AVERAGE(OFFSET($AM$3,0,0,'Données projet'!$E$10+1,1))-AVERAGE(OFFSET($H$3,0,0,'Données projet'!$E$10+1,1))</f>
        <v>570.05585579662738</v>
      </c>
      <c r="AO33" s="59">
        <f t="shared" si="36"/>
        <v>331.25104323342907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119.19871794871794</v>
      </c>
      <c r="BB33" s="12">
        <f>VLOOKUP(A33,'Données projet'!$A$87:$I$107,9,0)</f>
        <v>3.9732905982905979</v>
      </c>
      <c r="BC33" s="12">
        <f t="array" ref="BC33">INDEX(BB:BB,MIN(IF(ISNUMBER(BB33:BB229),ROW(BB33:BB229),"")))</f>
        <v>3.9732905982905979</v>
      </c>
      <c r="BD33" s="12">
        <f>IF('Données projet'!$A$88&gt;35,BD32+BC33-BL32,IF(A33&lt;'Données projet'!$A$88,$BA$205^A33,IF(A33='Données projet'!$A$88,'Données projet'!$B$88,BD32+BC33-BL32)))</f>
        <v>119.19871794871794</v>
      </c>
      <c r="BE33" s="13">
        <f>BD33*VLOOKUP('Données projet'!$B$11,Paramètres!$A$1:$I$89,3,0)*VLOOKUP('Données projet'!$B$11,Paramètres!$A$1:$I$89,5,0)</f>
        <v>100.413</v>
      </c>
      <c r="BF33" s="13">
        <f t="shared" si="37"/>
        <v>27.060365489504466</v>
      </c>
      <c r="BG33" s="20">
        <f t="shared" si="7"/>
        <v>222.01611156088691</v>
      </c>
      <c r="BH33" s="59">
        <f t="shared" si="8"/>
        <v>461.1235364939289</v>
      </c>
      <c r="BI33" s="59">
        <f ca="1">AVERAGE(OFFSET($BH$3,0,0,'Données projet'!$E$11+1,1))-AVERAGE(OFFSET($H$3,0,0,'Données projet'!$E$11+1,1))</f>
        <v>458.88102603650725</v>
      </c>
      <c r="BJ33" s="59">
        <f t="shared" si="38"/>
        <v>277.79020316059552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121.88461538461537</v>
      </c>
      <c r="BW33" s="12">
        <f>VLOOKUP(A33,'Données projet'!$A$113:$I$133,9,0)</f>
        <v>4.0628205128205126</v>
      </c>
      <c r="BX33" s="12">
        <f t="array" ref="BX33">INDEX(BW:BW,MIN(IF(ISNUMBER(BW33:BW229),ROW(BW33:BW229),"")))</f>
        <v>4.0628205128205126</v>
      </c>
      <c r="BY33" s="12">
        <f>IF('Données projet'!$A$114&gt;35,BY32+BX33-CG32,IF(A33&lt;'Données projet'!$A$114,$BV$205^A33,IF(A33='Données projet'!$A$114,'Données projet'!$B$114,BY32+BX33-CG32)))</f>
        <v>121.88461538461537</v>
      </c>
      <c r="BZ33" s="13">
        <f>BY33*VLOOKUP('Données projet'!$B$12,Paramètres!$A$1:$I$89,3,0)*VLOOKUP('Données projet'!$B$12,Paramètres!$A$1:$I$89,5,0)</f>
        <v>115.98539999999998</v>
      </c>
      <c r="CA33" s="13">
        <f t="shared" si="39"/>
        <v>30.736813534656417</v>
      </c>
      <c r="CB33" s="20">
        <f t="shared" si="10"/>
        <v>255.54118857285985</v>
      </c>
      <c r="CC33" s="59">
        <f t="shared" si="11"/>
        <v>494.64861350590184</v>
      </c>
      <c r="CD33" s="59">
        <f ca="1">AVERAGE(OFFSET($CC$3,0,0,'Données projet'!$E$12+1,1))-AVERAGE(OFFSET($H$3,0,0,'Données projet'!$E$12+1,1))</f>
        <v>592.58528888957346</v>
      </c>
      <c r="CE33" s="59">
        <f t="shared" si="40"/>
        <v>311.31528017256846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410.69</v>
      </c>
      <c r="CR33" s="12">
        <f>VLOOKUP(A33,'Données projet'!$A$139:$I$159,9,0)</f>
        <v>28.819999999999993</v>
      </c>
      <c r="CS33" s="12">
        <f t="array" ref="CS33">INDEX(CR:CR,MIN(IF(ISNUMBER(CR33:CR229),ROW(CR33:CR229),"")))</f>
        <v>28.819999999999993</v>
      </c>
      <c r="CT33" s="12">
        <f>IF('Données projet'!$A$140&gt;35,CT32+CS33-DB32,IF(A33&lt;'Données projet'!$A$140,$CQ$205^A33,IF(A33='Données projet'!$A$140,'Données projet'!$B$140,CT32+CS33-DB32)))</f>
        <v>410.69</v>
      </c>
      <c r="CU33" s="17">
        <f>CT33*VLOOKUP('Données projet'!$B$13,Paramètres!$A$1:$I$89,3,0)*VLOOKUP('Données projet'!$B$13,Paramètres!$A$1:$I$89,5,0)</f>
        <v>229.57571000000002</v>
      </c>
      <c r="CV33" s="13">
        <f t="shared" si="41"/>
        <v>56.190930256761952</v>
      </c>
      <c r="CW33" s="20">
        <f t="shared" si="13"/>
        <v>497.71023178052701</v>
      </c>
      <c r="CX33" s="59">
        <f t="shared" si="14"/>
        <v>736.81765671356902</v>
      </c>
      <c r="CY33" s="59">
        <f ca="1">AVERAGE(OFFSET($CX$3,0,0,'Données projet'!$E$13+1,1))-AVERAGE(OFFSET($H$3,0,0,'Données projet'!$E$13+1,1))</f>
        <v>420.4890915162182</v>
      </c>
      <c r="CZ33" s="59">
        <f t="shared" si="42"/>
        <v>553.48432338023565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80.97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0.55000000000000004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50.571271540152075</v>
      </c>
      <c r="DH33" s="21">
        <f>EXP(-LN(2)/2)*DH32+(1-EXP(-LN(2)/2))/(LN(2)/2)*DB33*DE33*VLOOKUP('Données projet'!$B$13,Paramètres!$A$1:$I$89,3,0)*0.475*44/12</f>
        <v>0.73992052906281214</v>
      </c>
      <c r="DI33" s="22">
        <f t="shared" si="15"/>
        <v>51.31119206921489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121.88461538461537</v>
      </c>
      <c r="DM33" s="12">
        <f>VLOOKUP(A33,'Données projet'!$A$165:$I$185,9,0)</f>
        <v>4.0628205128205126</v>
      </c>
      <c r="DN33" s="12">
        <f t="array" ref="DN33">INDEX(DM:DM,MIN(IF(ISNUMBER(DM33:DM229),ROW(DM33:DM229),"")))</f>
        <v>4.0628205128205126</v>
      </c>
      <c r="DO33" s="12">
        <f>IF('Données projet'!$A$166&gt;35,DO32+DN33-DW32,IF(A33&lt;'Données projet'!$A$166,$DL$205^A33,IF(A33='Données projet'!$A$166,'Données projet'!$B$166,DO32+DN33-DW32)))</f>
        <v>121.88461538461537</v>
      </c>
      <c r="DP33" s="17">
        <f>DO33*VLOOKUP('Données projet'!$B$14,Paramètres!$A$1:$I$89,3,0)*VLOOKUP('Données projet'!$B$14,Paramètres!$A$1:$I$89,5,0)</f>
        <v>131.19659999999999</v>
      </c>
      <c r="DQ33" s="13">
        <f t="shared" si="43"/>
        <v>34.272710841259901</v>
      </c>
      <c r="DR33" s="20">
        <f t="shared" si="16"/>
        <v>288.19238304852763</v>
      </c>
      <c r="DS33" s="59">
        <f t="shared" si="17"/>
        <v>527.29980798156964</v>
      </c>
      <c r="DT33" s="59">
        <f ca="1">AVERAGE(OFFSET($DS$3,0,0,'Données projet'!$E$14+1,1))-AVERAGE(OFFSET($H$3,0,0,'Données projet'!$E$14+1,1))</f>
        <v>659.55755908012691</v>
      </c>
      <c r="DU33" s="59">
        <f t="shared" si="44"/>
        <v>343.96647464823627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121.88461538461537</v>
      </c>
      <c r="EH33" s="12">
        <f>VLOOKUP(A33,'Données projet'!$A$191:$I$211,9,0)</f>
        <v>4.0628205128205126</v>
      </c>
      <c r="EI33" s="12">
        <f t="array" ref="EI33">INDEX(EH:EH,MIN(IF(ISNUMBER(EH33:EH229),ROW(EH33:EH229),"")))</f>
        <v>4.0628205128205126</v>
      </c>
      <c r="EJ33" s="12">
        <f>IF('Données projet'!$A$192&gt;35,EJ32+EI33-ER32,IF(A33&lt;'Données projet'!$A$192,$EG$205^A33,IF(A33='Données projet'!$A$192,'Données projet'!$B$192,EJ32+EI33-ER32)))</f>
        <v>121.88461538461537</v>
      </c>
      <c r="EK33" s="17">
        <f>EJ33*VLOOKUP('Données projet'!$B$15,Paramètres!$A$1:$I$89,3,0)*VLOOKUP('Données projet'!$B$15,Paramètres!$A$1:$I$89,5,0)</f>
        <v>117.88679999999999</v>
      </c>
      <c r="EL33" s="13">
        <f t="shared" si="45"/>
        <v>31.181621612658997</v>
      </c>
      <c r="EM33" s="20">
        <f t="shared" si="19"/>
        <v>259.62750097538111</v>
      </c>
      <c r="EN33" s="59">
        <f t="shared" si="20"/>
        <v>498.73492590842307</v>
      </c>
      <c r="EO33" s="59">
        <f ca="1">AVERAGE(OFFSET($EN$3,0,0,'Données projet'!$E$15+1,1))-AVERAGE(OFFSET($H$3,0,0,'Données projet'!$E$15+1,1))</f>
        <v>600.96600099541388</v>
      </c>
      <c r="EP33" s="59">
        <f t="shared" si="46"/>
        <v>315.40159257508969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15.881076923076924</v>
      </c>
      <c r="N34" s="13">
        <f>IF('Données projet'!$A$36&gt;35,N33+M34-V33,IF(A34&lt;'Données projet'!$A$36,$K$205^A34,IF(A34='Données projet'!$A$36,'Données projet'!$B$36,N33+M34-V33)))</f>
        <v>137.76569230769229</v>
      </c>
      <c r="O34" s="13">
        <f>N34*VLOOKUP('Données projet'!$B$9,Paramètres!$A$1:$I$89,3,0)*VLOOKUP('Données projet'!$B$9,Paramètres!$A$1:$I$89,5,0)</f>
        <v>124.65039839999997</v>
      </c>
      <c r="P34" s="13">
        <f t="shared" si="33"/>
        <v>32.757216606444366</v>
      </c>
      <c r="Q34" s="20">
        <f t="shared" si="2"/>
        <v>274.15159613622387</v>
      </c>
      <c r="R34" s="59">
        <f t="shared" si="0"/>
        <v>514.1997193490414</v>
      </c>
      <c r="S34" s="59">
        <f ca="1">AVERAGE(OFFSET($R$3,0,0,'Données projet'!$E$9+1,1))-AVERAGE(OFFSET($H$3,0,0,'Données projet'!$E$9+1,1))</f>
        <v>567.42635821336114</v>
      </c>
      <c r="T34" s="59">
        <f t="shared" si="34"/>
        <v>299.0473530693472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123.80000000000001</v>
      </c>
      <c r="AJ34" s="13">
        <f>AI34*VLOOKUP('Données projet'!$B$10,Paramètres!$A$1:$I$89,3,0)*VLOOKUP('Données projet'!$B$10,Paramètres!$A$1:$I$89,5,0)</f>
        <v>106.22040000000003</v>
      </c>
      <c r="AK34" s="13">
        <f t="shared" si="35"/>
        <v>28.438677354079406</v>
      </c>
      <c r="AL34" s="20">
        <f t="shared" si="4"/>
        <v>234.53122639168836</v>
      </c>
      <c r="AM34" s="59">
        <f t="shared" si="5"/>
        <v>474.57934960450592</v>
      </c>
      <c r="AN34" s="59">
        <f ca="1">AVERAGE(OFFSET($AM$3,0,0,'Données projet'!$E$10+1,1))-AVERAGE(OFFSET($H$3,0,0,'Données projet'!$E$10+1,1))</f>
        <v>570.05585579662738</v>
      </c>
      <c r="AO34" s="59">
        <f t="shared" si="36"/>
        <v>331.25104323342907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152.27000000000001</v>
      </c>
      <c r="BB34" s="12">
        <f>VLOOKUP(A34,'Données projet'!$A$87:$I$107,9,0)</f>
        <v>33.071282051282068</v>
      </c>
      <c r="BC34" s="12">
        <f t="array" ref="BC34">INDEX(BB:BB,MIN(IF(ISNUMBER(BB34:BB230),ROW(BB34:BB230),"")))</f>
        <v>33.071282051282068</v>
      </c>
      <c r="BD34" s="12">
        <f>IF('Données projet'!$A$88&gt;35,BD33+BC34-BL33,IF(A34&lt;'Données projet'!$A$88,$BA$205^A34,IF(A34='Données projet'!$A$88,'Données projet'!$B$88,BD33+BC34-BL33)))</f>
        <v>152.27000000000001</v>
      </c>
      <c r="BE34" s="13">
        <f>BD34*VLOOKUP('Données projet'!$B$11,Paramètres!$A$1:$I$89,3,0)*VLOOKUP('Données projet'!$B$11,Paramètres!$A$1:$I$89,5,0)</f>
        <v>128.27224800000002</v>
      </c>
      <c r="BF34" s="13">
        <f t="shared" si="37"/>
        <v>33.596816228018859</v>
      </c>
      <c r="BG34" s="20">
        <f t="shared" si="7"/>
        <v>281.92195353046623</v>
      </c>
      <c r="BH34" s="59">
        <f t="shared" si="8"/>
        <v>521.97007674328381</v>
      </c>
      <c r="BI34" s="59">
        <f ca="1">AVERAGE(OFFSET($BH$3,0,0,'Données projet'!$E$11+1,1))-AVERAGE(OFFSET($H$3,0,0,'Données projet'!$E$11+1,1))</f>
        <v>458.88102603650725</v>
      </c>
      <c r="BJ34" s="59">
        <f t="shared" si="38"/>
        <v>277.79020316059552</v>
      </c>
      <c r="BK34" s="15">
        <f>IF(ISNA(VLOOKUP(A34,'Données projet'!$A$87:$I$107,3,0)),0,VLOOKUP(A34,'Données projet'!$A$87:$I$107,3,0))</f>
        <v>1</v>
      </c>
      <c r="BL34" s="15">
        <f>IF(ISNA(VLOOKUP(A34,'Données projet'!$A$87:$I$107,4,0)),0,VLOOKUP(A34,'Données projet'!$A$87:$I$107,4,0))</f>
        <v>63.58</v>
      </c>
      <c r="BM34" s="16">
        <f>IF(ISNA(VLOOKUP(A34,'Données projet'!$A$87:$I$107,5,0)),0%,VLOOKUP(A34,'Données projet'!$A$87:$I$107,5,0)*VLOOKUP('Données projet'!$B$11,Paramètres!$A$1:$I$89,7,0))</f>
        <v>0.43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25.459768343676725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25.459768343676725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15.881076923076924</v>
      </c>
      <c r="BY34" s="12">
        <f>IF('Données projet'!$A$114&gt;35,BY33+BX34-CG33,IF(A34&lt;'Données projet'!$A$114,$BV$205^A34,IF(A34='Données projet'!$A$114,'Données projet'!$B$114,BY33+BX34-CG33)))</f>
        <v>137.76569230769229</v>
      </c>
      <c r="BZ34" s="13">
        <f>BY34*VLOOKUP('Données projet'!$B$12,Paramètres!$A$1:$I$89,3,0)*VLOOKUP('Données projet'!$B$12,Paramètres!$A$1:$I$89,5,0)</f>
        <v>131.09783279999999</v>
      </c>
      <c r="CA34" s="13">
        <f t="shared" si="39"/>
        <v>34.249911969342861</v>
      </c>
      <c r="CB34" s="20">
        <f t="shared" si="10"/>
        <v>287.98065547327218</v>
      </c>
      <c r="CC34" s="59">
        <f t="shared" si="11"/>
        <v>528.02877868608971</v>
      </c>
      <c r="CD34" s="59">
        <f ca="1">AVERAGE(OFFSET($CC$3,0,0,'Données projet'!$E$12+1,1))-AVERAGE(OFFSET($H$3,0,0,'Données projet'!$E$12+1,1))</f>
        <v>592.58528888957346</v>
      </c>
      <c r="CE34" s="59">
        <f t="shared" si="40"/>
        <v>311.31528017256846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28.661666666666662</v>
      </c>
      <c r="CT34" s="12">
        <f>IF('Données projet'!$A$140&gt;35,CT33+CS34-DB33,IF(A34&lt;'Données projet'!$A$140,$CQ$205^A34,IF(A34='Données projet'!$A$140,'Données projet'!$B$140,CT33+CS34-DB33)))</f>
        <v>358.38166666666666</v>
      </c>
      <c r="CU34" s="17">
        <f>CT34*VLOOKUP('Données projet'!$B$13,Paramètres!$A$1:$I$89,3,0)*VLOOKUP('Données projet'!$B$13,Paramètres!$A$1:$I$89,5,0)</f>
        <v>200.33535166666667</v>
      </c>
      <c r="CV34" s="13">
        <f t="shared" si="41"/>
        <v>49.817860683914162</v>
      </c>
      <c r="CW34" s="20">
        <f t="shared" si="13"/>
        <v>435.68351151059488</v>
      </c>
      <c r="CX34" s="59">
        <f t="shared" si="14"/>
        <v>675.73163472341241</v>
      </c>
      <c r="CY34" s="59">
        <f ca="1">AVERAGE(OFFSET($CX$3,0,0,'Données projet'!$E$13+1,1))-AVERAGE(OFFSET($H$3,0,0,'Données projet'!$E$13+1,1))</f>
        <v>420.4890915162182</v>
      </c>
      <c r="CZ34" s="59">
        <f t="shared" si="42"/>
        <v>553.48432338023565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49.188397460459029</v>
      </c>
      <c r="DH34" s="21">
        <f>EXP(-LN(2)/2)*DH33+(1-EXP(-LN(2)/2))/(LN(2)/2)*DB34*DE34*VLOOKUP('Données projet'!$B$13,Paramètres!$A$1:$I$89,3,0)*0.475*44/12</f>
        <v>0.52320282363945236</v>
      </c>
      <c r="DI34" s="22">
        <f t="shared" si="15"/>
        <v>49.711600284098481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15.881076923076924</v>
      </c>
      <c r="DO34" s="12">
        <f>IF('Données projet'!$A$166&gt;35,DO33+DN34-DW33,IF(A34&lt;'Données projet'!$A$166,$DL$205^A34,IF(A34='Données projet'!$A$166,'Données projet'!$B$166,DO33+DN34-DW33)))</f>
        <v>137.76569230769229</v>
      </c>
      <c r="DP34" s="17">
        <f>DO34*VLOOKUP('Données projet'!$B$14,Paramètres!$A$1:$I$89,3,0)*VLOOKUP('Données projet'!$B$14,Paramètres!$A$1:$I$89,5,0)</f>
        <v>148.29099119999998</v>
      </c>
      <c r="DQ34" s="13">
        <f t="shared" si="43"/>
        <v>38.18994860805492</v>
      </c>
      <c r="DR34" s="20">
        <f t="shared" si="16"/>
        <v>324.78763683236224</v>
      </c>
      <c r="DS34" s="59">
        <f t="shared" si="17"/>
        <v>564.83576004517977</v>
      </c>
      <c r="DT34" s="59">
        <f ca="1">AVERAGE(OFFSET($DS$3,0,0,'Données projet'!$E$14+1,1))-AVERAGE(OFFSET($H$3,0,0,'Données projet'!$E$14+1,1))</f>
        <v>659.55755908012691</v>
      </c>
      <c r="DU34" s="59">
        <f t="shared" si="44"/>
        <v>343.96647464823627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15.881076923076924</v>
      </c>
      <c r="EJ34" s="12">
        <f>IF('Données projet'!$A$192&gt;35,EJ33+EI34-ER33,IF(A34&lt;'Données projet'!$A$192,$EG$205^A34,IF(A34='Données projet'!$A$192,'Données projet'!$B$192,EJ33+EI34-ER33)))</f>
        <v>137.76569230769229</v>
      </c>
      <c r="EK34" s="17">
        <f>EJ34*VLOOKUP('Données projet'!$B$15,Paramètres!$A$1:$I$89,3,0)*VLOOKUP('Données projet'!$B$15,Paramètres!$A$1:$I$89,5,0)</f>
        <v>133.24697760000001</v>
      </c>
      <c r="EL34" s="13">
        <f t="shared" si="45"/>
        <v>34.745559883452877</v>
      </c>
      <c r="EM34" s="20">
        <f t="shared" si="19"/>
        <v>292.58700278368042</v>
      </c>
      <c r="EN34" s="59">
        <f t="shared" si="20"/>
        <v>532.635125996498</v>
      </c>
      <c r="EO34" s="59">
        <f ca="1">AVERAGE(OFFSET($EN$3,0,0,'Données projet'!$E$15+1,1))-AVERAGE(OFFSET($H$3,0,0,'Données projet'!$E$15+1,1))</f>
        <v>600.96600099541388</v>
      </c>
      <c r="EP34" s="59">
        <f t="shared" si="46"/>
        <v>315.40159257508969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15.881076923076924</v>
      </c>
      <c r="N35" s="13">
        <f>IF('Données projet'!$A$36&gt;35,N34+M35-V34,IF(A35&lt;'Données projet'!$A$36,$K$205^A35,IF(A35='Données projet'!$A$36,'Données projet'!$B$36,N34+M35-V34)))</f>
        <v>153.64676923076922</v>
      </c>
      <c r="O35" s="13">
        <f>N35*VLOOKUP('Données projet'!$B$9,Paramètres!$A$1:$I$89,3,0)*VLOOKUP('Données projet'!$B$9,Paramètres!$A$1:$I$89,5,0)</f>
        <v>139.01959679999999</v>
      </c>
      <c r="P35" s="13">
        <f t="shared" si="33"/>
        <v>36.072317111421967</v>
      </c>
      <c r="Q35" s="20">
        <f t="shared" ref="Q35:Q66" si="53">(O35+P35)*0.475*44/12</f>
        <v>304.95175006239322</v>
      </c>
      <c r="R35" s="59">
        <f t="shared" si="0"/>
        <v>545.92425254291857</v>
      </c>
      <c r="S35" s="59">
        <f ca="1">AVERAGE(OFFSET($R$3,0,0,'Données projet'!$E$9+1,1))-AVERAGE(OFFSET($H$3,0,0,'Données projet'!$E$9+1,1))</f>
        <v>567.42635821336114</v>
      </c>
      <c r="T35" s="59">
        <f t="shared" si="34"/>
        <v>299.0473530693472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136.60000000000002</v>
      </c>
      <c r="AJ35" s="13">
        <f>AI35*VLOOKUP('Données projet'!$B$10,Paramètres!$A$1:$I$89,3,0)*VLOOKUP('Données projet'!$B$10,Paramètres!$A$1:$I$89,5,0)</f>
        <v>117.20280000000004</v>
      </c>
      <c r="AK35" s="13">
        <f t="shared" si="35"/>
        <v>31.021705481209352</v>
      </c>
      <c r="AL35" s="20">
        <f t="shared" si="4"/>
        <v>258.15768037977301</v>
      </c>
      <c r="AM35" s="59">
        <f t="shared" si="5"/>
        <v>499.13018286029831</v>
      </c>
      <c r="AN35" s="59">
        <f ca="1">AVERAGE(OFFSET($AM$3,0,0,'Données projet'!$E$10+1,1))-AVERAGE(OFFSET($H$3,0,0,'Données projet'!$E$10+1,1))</f>
        <v>570.05585579662738</v>
      </c>
      <c r="AO35" s="59">
        <f t="shared" si="36"/>
        <v>331.25104323342907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12.633333333333333</v>
      </c>
      <c r="BD35" s="12">
        <f>IF('Données projet'!$A$88&gt;35,BD34+BC35-BL34,IF(A35&lt;'Données projet'!$A$88,$BA$205^A35,IF(A35='Données projet'!$A$88,'Données projet'!$B$88,BD34+BC35-BL34)))</f>
        <v>101.32333333333334</v>
      </c>
      <c r="BE35" s="13">
        <f>BD35*VLOOKUP('Données projet'!$B$11,Paramètres!$A$1:$I$89,3,0)*VLOOKUP('Données projet'!$B$11,Paramètres!$A$1:$I$89,5,0)</f>
        <v>85.354776000000015</v>
      </c>
      <c r="BF35" s="13">
        <f t="shared" si="37"/>
        <v>23.441477028759977</v>
      </c>
      <c r="BG35" s="20">
        <f t="shared" si="7"/>
        <v>189.48680735842365</v>
      </c>
      <c r="BH35" s="59">
        <f t="shared" si="8"/>
        <v>430.45930983894897</v>
      </c>
      <c r="BI35" s="59">
        <f ca="1">AVERAGE(OFFSET($BH$3,0,0,'Données projet'!$E$11+1,1))-AVERAGE(OFFSET($H$3,0,0,'Données projet'!$E$11+1,1))</f>
        <v>458.88102603650725</v>
      </c>
      <c r="BJ35" s="59">
        <f t="shared" si="38"/>
        <v>277.79020316059552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24.960517815382559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24.960517815382559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15.881076923076924</v>
      </c>
      <c r="BY35" s="12">
        <f>IF('Données projet'!$A$114&gt;35,BY34+BX35-CG34,IF(A35&lt;'Données projet'!$A$114,$BV$205^A35,IF(A35='Données projet'!$A$114,'Données projet'!$B$114,BY34+BX35-CG34)))</f>
        <v>153.64676923076922</v>
      </c>
      <c r="BZ35" s="13">
        <f>BY35*VLOOKUP('Données projet'!$B$12,Paramètres!$A$1:$I$89,3,0)*VLOOKUP('Données projet'!$B$12,Paramètres!$A$1:$I$89,5,0)</f>
        <v>146.21026559999999</v>
      </c>
      <c r="CA35" s="13">
        <f t="shared" si="39"/>
        <v>37.716076443239849</v>
      </c>
      <c r="CB35" s="20">
        <f t="shared" si="10"/>
        <v>320.33837905864272</v>
      </c>
      <c r="CC35" s="59">
        <f t="shared" si="11"/>
        <v>561.31088153916801</v>
      </c>
      <c r="CD35" s="59">
        <f ca="1">AVERAGE(OFFSET($CC$3,0,0,'Données projet'!$E$12+1,1))-AVERAGE(OFFSET($H$3,0,0,'Données projet'!$E$12+1,1))</f>
        <v>592.58528888957346</v>
      </c>
      <c r="CE35" s="59">
        <f t="shared" si="40"/>
        <v>311.31528017256846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28.661666666666662</v>
      </c>
      <c r="CT35" s="12">
        <f>IF('Données projet'!$A$140&gt;35,CT34+CS35-DB34,IF(A35&lt;'Données projet'!$A$140,$CQ$205^A35,IF(A35='Données projet'!$A$140,'Données projet'!$B$140,CT34+CS35-DB34)))</f>
        <v>387.04333333333329</v>
      </c>
      <c r="CU35" s="17">
        <f>CT35*VLOOKUP('Données projet'!$B$13,Paramètres!$A$1:$I$89,3,0)*VLOOKUP('Données projet'!$B$13,Paramètres!$A$1:$I$89,5,0)</f>
        <v>216.35722333333334</v>
      </c>
      <c r="CV35" s="13">
        <f t="shared" si="41"/>
        <v>53.322378483830668</v>
      </c>
      <c r="CW35" s="20">
        <f t="shared" si="13"/>
        <v>469.69197316489391</v>
      </c>
      <c r="CX35" s="59">
        <f t="shared" si="14"/>
        <v>710.6644756454192</v>
      </c>
      <c r="CY35" s="59">
        <f ca="1">AVERAGE(OFFSET($CX$3,0,0,'Données projet'!$E$13+1,1))-AVERAGE(OFFSET($H$3,0,0,'Données projet'!$E$13+1,1))</f>
        <v>420.4890915162182</v>
      </c>
      <c r="CZ35" s="59">
        <f t="shared" si="42"/>
        <v>553.48432338023565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47.843338145197379</v>
      </c>
      <c r="DH35" s="21">
        <f>EXP(-LN(2)/2)*DH34+(1-EXP(-LN(2)/2))/(LN(2)/2)*DB35*DE35*VLOOKUP('Données projet'!$B$13,Paramètres!$A$1:$I$89,3,0)*0.475*44/12</f>
        <v>0.36996026453140607</v>
      </c>
      <c r="DI35" s="22">
        <f t="shared" si="15"/>
        <v>48.213298409728786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15.881076923076924</v>
      </c>
      <c r="DO35" s="12">
        <f>IF('Données projet'!$A$166&gt;35,DO34+DN35-DW34,IF(A35&lt;'Données projet'!$A$166,$DL$205^A35,IF(A35='Données projet'!$A$166,'Données projet'!$B$166,DO34+DN35-DW34)))</f>
        <v>153.64676923076922</v>
      </c>
      <c r="DP35" s="17">
        <f>DO35*VLOOKUP('Données projet'!$B$14,Paramètres!$A$1:$I$89,3,0)*VLOOKUP('Données projet'!$B$14,Paramètres!$A$1:$I$89,5,0)</f>
        <v>165.3853824</v>
      </c>
      <c r="DQ35" s="13">
        <f t="shared" si="43"/>
        <v>42.054853231566895</v>
      </c>
      <c r="DR35" s="20">
        <f t="shared" si="16"/>
        <v>361.29174372497897</v>
      </c>
      <c r="DS35" s="59">
        <f t="shared" si="17"/>
        <v>602.26424620550426</v>
      </c>
      <c r="DT35" s="59">
        <f ca="1">AVERAGE(OFFSET($DS$3,0,0,'Données projet'!$E$14+1,1))-AVERAGE(OFFSET($H$3,0,0,'Données projet'!$E$14+1,1))</f>
        <v>659.55755908012691</v>
      </c>
      <c r="DU35" s="59">
        <f t="shared" si="44"/>
        <v>343.96647464823627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15.881076923076924</v>
      </c>
      <c r="EJ35" s="12">
        <f>IF('Données projet'!$A$192&gt;35,EJ34+EI35-ER34,IF(A35&lt;'Données projet'!$A$192,$EG$205^A35,IF(A35='Données projet'!$A$192,'Données projet'!$B$192,EJ34+EI35-ER34)))</f>
        <v>153.64676923076922</v>
      </c>
      <c r="EK35" s="17">
        <f>EJ35*VLOOKUP('Données projet'!$B$15,Paramètres!$A$1:$I$89,3,0)*VLOOKUP('Données projet'!$B$15,Paramètres!$A$1:$I$89,5,0)</f>
        <v>148.60715519999999</v>
      </c>
      <c r="EL35" s="13">
        <f t="shared" si="45"/>
        <v>38.261884988214753</v>
      </c>
      <c r="EM35" s="20">
        <f t="shared" si="19"/>
        <v>325.46357832780728</v>
      </c>
      <c r="EN35" s="59">
        <f t="shared" si="20"/>
        <v>566.43608080833258</v>
      </c>
      <c r="EO35" s="59">
        <f ca="1">AVERAGE(OFFSET($EN$3,0,0,'Données projet'!$E$15+1,1))-AVERAGE(OFFSET($H$3,0,0,'Données projet'!$E$15+1,1))</f>
        <v>600.96600099541388</v>
      </c>
      <c r="EP35" s="59">
        <f t="shared" si="46"/>
        <v>315.40159257508969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15.881076923076924</v>
      </c>
      <c r="N36" s="13">
        <f>IF('Données projet'!$A$36&gt;35,N35+M36-V35,IF(A36&lt;'Données projet'!$A$36,$K$205^A36,IF(A36='Données projet'!$A$36,'Données projet'!$B$36,N35+M36-V35)))</f>
        <v>169.52784615384616</v>
      </c>
      <c r="O36" s="13">
        <f>N36*VLOOKUP('Données projet'!$B$9,Paramètres!$A$1:$I$89,3,0)*VLOOKUP('Données projet'!$B$9,Paramètres!$A$1:$I$89,5,0)</f>
        <v>153.3887952</v>
      </c>
      <c r="P36" s="13">
        <f t="shared" si="33"/>
        <v>39.347697314191088</v>
      </c>
      <c r="Q36" s="20">
        <f t="shared" si="53"/>
        <v>335.68272446221619</v>
      </c>
      <c r="R36" s="59">
        <f t="shared" si="0"/>
        <v>577.56357029675689</v>
      </c>
      <c r="S36" s="59">
        <f ca="1">AVERAGE(OFFSET($R$3,0,0,'Données projet'!$E$9+1,1))-AVERAGE(OFFSET($H$3,0,0,'Données projet'!$E$9+1,1))</f>
        <v>567.42635821336114</v>
      </c>
      <c r="T36" s="59">
        <f t="shared" si="34"/>
        <v>299.0473530693472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149.40000000000003</v>
      </c>
      <c r="AJ36" s="13">
        <f>AI36*VLOOKUP('Données projet'!$B$10,Paramètres!$A$1:$I$89,3,0)*VLOOKUP('Données projet'!$B$10,Paramètres!$A$1:$I$89,5,0)</f>
        <v>128.18520000000004</v>
      </c>
      <c r="AK36" s="13">
        <f t="shared" si="35"/>
        <v>33.57666984533806</v>
      </c>
      <c r="AL36" s="20">
        <f t="shared" si="4"/>
        <v>281.73525664729715</v>
      </c>
      <c r="AM36" s="59">
        <f t="shared" si="5"/>
        <v>523.61610248183786</v>
      </c>
      <c r="AN36" s="59">
        <f ca="1">AVERAGE(OFFSET($AM$3,0,0,'Données projet'!$E$10+1,1))-AVERAGE(OFFSET($H$3,0,0,'Données projet'!$E$10+1,1))</f>
        <v>570.05585579662738</v>
      </c>
      <c r="AO36" s="59">
        <f t="shared" si="36"/>
        <v>331.25104323342907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12.633333333333333</v>
      </c>
      <c r="BD36" s="12">
        <f>IF('Données projet'!$A$88&gt;35,BD35+BC36-BL35,IF(A36&lt;'Données projet'!$A$88,$BA$205^A36,IF(A36='Données projet'!$A$88,'Données projet'!$B$88,BD35+BC36-BL35)))</f>
        <v>113.95666666666668</v>
      </c>
      <c r="BE36" s="13">
        <f>BD36*VLOOKUP('Données projet'!$B$11,Paramètres!$A$1:$I$89,3,0)*VLOOKUP('Données projet'!$B$11,Paramètres!$A$1:$I$89,5,0)</f>
        <v>95.997096000000013</v>
      </c>
      <c r="BF36" s="13">
        <f t="shared" si="37"/>
        <v>26.006105377762594</v>
      </c>
      <c r="BG36" s="20">
        <f t="shared" si="7"/>
        <v>212.48890906626988</v>
      </c>
      <c r="BH36" s="59">
        <f t="shared" si="8"/>
        <v>454.36975490081062</v>
      </c>
      <c r="BI36" s="59">
        <f ca="1">AVERAGE(OFFSET($BH$3,0,0,'Données projet'!$E$11+1,1))-AVERAGE(OFFSET($H$3,0,0,'Données projet'!$E$11+1,1))</f>
        <v>458.88102603650725</v>
      </c>
      <c r="BJ36" s="59">
        <f t="shared" si="38"/>
        <v>277.79020316059552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24.471057285435489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24.471057285435489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15.881076923076924</v>
      </c>
      <c r="BY36" s="12">
        <f>IF('Données projet'!$A$114&gt;35,BY35+BX36-CG35,IF(A36&lt;'Données projet'!$A$114,$BV$205^A36,IF(A36='Données projet'!$A$114,'Données projet'!$B$114,BY35+BX36-CG35)))</f>
        <v>169.52784615384616</v>
      </c>
      <c r="BZ36" s="13">
        <f>BY36*VLOOKUP('Données projet'!$B$12,Paramètres!$A$1:$I$89,3,0)*VLOOKUP('Données projet'!$B$12,Paramètres!$A$1:$I$89,5,0)</f>
        <v>161.32269840000001</v>
      </c>
      <c r="CA36" s="13">
        <f t="shared" si="39"/>
        <v>41.140710622595101</v>
      </c>
      <c r="CB36" s="20">
        <f t="shared" si="10"/>
        <v>352.62377071435316</v>
      </c>
      <c r="CC36" s="59">
        <f t="shared" si="11"/>
        <v>594.50461654889386</v>
      </c>
      <c r="CD36" s="59">
        <f ca="1">AVERAGE(OFFSET($CC$3,0,0,'Données projet'!$E$12+1,1))-AVERAGE(OFFSET($H$3,0,0,'Données projet'!$E$12+1,1))</f>
        <v>592.58528888957346</v>
      </c>
      <c r="CE36" s="59">
        <f t="shared" si="40"/>
        <v>311.31528017256846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28.661666666666662</v>
      </c>
      <c r="CT36" s="12">
        <f>IF('Données projet'!$A$140&gt;35,CT35+CS36-DB35,IF(A36&lt;'Données projet'!$A$140,$CQ$205^A36,IF(A36='Données projet'!$A$140,'Données projet'!$B$140,CT35+CS36-DB35)))</f>
        <v>415.70499999999993</v>
      </c>
      <c r="CU36" s="17">
        <f>CT36*VLOOKUP('Données projet'!$B$13,Paramètres!$A$1:$I$89,3,0)*VLOOKUP('Données projet'!$B$13,Paramètres!$A$1:$I$89,5,0)</f>
        <v>232.37909499999998</v>
      </c>
      <c r="CV36" s="13">
        <f t="shared" si="41"/>
        <v>56.796788993130136</v>
      </c>
      <c r="CW36" s="20">
        <f t="shared" si="13"/>
        <v>503.64799795470162</v>
      </c>
      <c r="CX36" s="59">
        <f t="shared" si="14"/>
        <v>745.52884378924239</v>
      </c>
      <c r="CY36" s="59">
        <f ca="1">AVERAGE(OFFSET($CX$3,0,0,'Données projet'!$E$13+1,1))-AVERAGE(OFFSET($H$3,0,0,'Données projet'!$E$13+1,1))</f>
        <v>420.4890915162182</v>
      </c>
      <c r="CZ36" s="59">
        <f t="shared" si="42"/>
        <v>553.48432338023565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46.535059547645147</v>
      </c>
      <c r="DH36" s="21">
        <f>EXP(-LN(2)/2)*DH35+(1-EXP(-LN(2)/2))/(LN(2)/2)*DB36*DE36*VLOOKUP('Données projet'!$B$13,Paramètres!$A$1:$I$89,3,0)*0.475*44/12</f>
        <v>0.26160141181972618</v>
      </c>
      <c r="DI36" s="22">
        <f t="shared" si="15"/>
        <v>46.796660959464873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15.881076923076924</v>
      </c>
      <c r="DO36" s="12">
        <f>IF('Données projet'!$A$166&gt;35,DO35+DN36-DW35,IF(A36&lt;'Données projet'!$A$166,$DL$205^A36,IF(A36='Données projet'!$A$166,'Données projet'!$B$166,DO35+DN36-DW35)))</f>
        <v>169.52784615384616</v>
      </c>
      <c r="DP36" s="17">
        <f>DO36*VLOOKUP('Données projet'!$B$14,Paramètres!$A$1:$I$89,3,0)*VLOOKUP('Données projet'!$B$14,Paramètres!$A$1:$I$89,5,0)</f>
        <v>182.47977360000002</v>
      </c>
      <c r="DQ36" s="13">
        <f t="shared" si="43"/>
        <v>45.873450004254408</v>
      </c>
      <c r="DR36" s="20">
        <f t="shared" si="16"/>
        <v>397.71519777740974</v>
      </c>
      <c r="DS36" s="59">
        <f t="shared" si="17"/>
        <v>639.59604361195045</v>
      </c>
      <c r="DT36" s="59">
        <f ca="1">AVERAGE(OFFSET($DS$3,0,0,'Données projet'!$E$14+1,1))-AVERAGE(OFFSET($H$3,0,0,'Données projet'!$E$14+1,1))</f>
        <v>659.55755908012691</v>
      </c>
      <c r="DU36" s="59">
        <f t="shared" si="44"/>
        <v>343.96647464823627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15.881076923076924</v>
      </c>
      <c r="EJ36" s="12">
        <f>IF('Données projet'!$A$192&gt;35,EJ35+EI36-ER35,IF(A36&lt;'Données projet'!$A$192,$EG$205^A36,IF(A36='Données projet'!$A$192,'Données projet'!$B$192,EJ35+EI36-ER35)))</f>
        <v>169.52784615384616</v>
      </c>
      <c r="EK36" s="17">
        <f>EJ36*VLOOKUP('Données projet'!$B$15,Paramètres!$A$1:$I$89,3,0)*VLOOKUP('Données projet'!$B$15,Paramètres!$A$1:$I$89,5,0)</f>
        <v>163.96733280000001</v>
      </c>
      <c r="EL36" s="13">
        <f t="shared" si="45"/>
        <v>41.736078792397855</v>
      </c>
      <c r="EM36" s="20">
        <f t="shared" si="19"/>
        <v>358.26677519009286</v>
      </c>
      <c r="EN36" s="59">
        <f t="shared" si="20"/>
        <v>600.14762102463362</v>
      </c>
      <c r="EO36" s="59">
        <f ca="1">AVERAGE(OFFSET($EN$3,0,0,'Données projet'!$E$15+1,1))-AVERAGE(OFFSET($H$3,0,0,'Données projet'!$E$15+1,1))</f>
        <v>600.96600099541388</v>
      </c>
      <c r="EP36" s="59">
        <f t="shared" si="46"/>
        <v>315.40159257508969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15.881076923076924</v>
      </c>
      <c r="N37" s="13">
        <f>IF('Données projet'!$A$36&gt;35,N36+M37-V36,IF(A37&lt;'Données projet'!$A$36,$K$205^A37,IF(A37='Données projet'!$A$36,'Données projet'!$B$36,N36+M37-V36)))</f>
        <v>185.40892307692309</v>
      </c>
      <c r="O37" s="13">
        <f>N37*VLOOKUP('Données projet'!$B$9,Paramètres!$A$1:$I$89,3,0)*VLOOKUP('Données projet'!$B$9,Paramètres!$A$1:$I$89,5,0)</f>
        <v>167.75799359999999</v>
      </c>
      <c r="P37" s="13">
        <f t="shared" si="33"/>
        <v>42.587501411283561</v>
      </c>
      <c r="Q37" s="20">
        <f t="shared" si="53"/>
        <v>366.35173714465219</v>
      </c>
      <c r="R37" s="59">
        <f t="shared" si="0"/>
        <v>609.12516860676783</v>
      </c>
      <c r="S37" s="59">
        <f ca="1">AVERAGE(OFFSET($R$3,0,0,'Données projet'!$E$9+1,1))-AVERAGE(OFFSET($H$3,0,0,'Données projet'!$E$9+1,1))</f>
        <v>567.42635821336114</v>
      </c>
      <c r="T37" s="59">
        <f t="shared" si="34"/>
        <v>299.0473530693472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162.20000000000005</v>
      </c>
      <c r="AJ37" s="13">
        <f>AI37*VLOOKUP('Données projet'!$B$10,Paramètres!$A$1:$I$89,3,0)*VLOOKUP('Données projet'!$B$10,Paramètres!$A$1:$I$89,5,0)</f>
        <v>139.16760000000005</v>
      </c>
      <c r="AK37" s="13">
        <f t="shared" si="35"/>
        <v>36.106248210614609</v>
      </c>
      <c r="AL37" s="20">
        <f t="shared" si="4"/>
        <v>305.2686189668205</v>
      </c>
      <c r="AM37" s="59">
        <f t="shared" si="5"/>
        <v>548.04205042893614</v>
      </c>
      <c r="AN37" s="59">
        <f ca="1">AVERAGE(OFFSET($AM$3,0,0,'Données projet'!$E$10+1,1))-AVERAGE(OFFSET($H$3,0,0,'Données projet'!$E$10+1,1))</f>
        <v>570.05585579662738</v>
      </c>
      <c r="AO37" s="59">
        <f t="shared" si="36"/>
        <v>331.25104323342907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12.633333333333333</v>
      </c>
      <c r="BD37" s="12">
        <f>IF('Données projet'!$A$88&gt;35,BD36+BC37-BL36,IF(A37&lt;'Données projet'!$A$88,$BA$205^A37,IF(A37='Données projet'!$A$88,'Données projet'!$B$88,BD36+BC37-BL36)))</f>
        <v>126.59</v>
      </c>
      <c r="BE37" s="13">
        <f>BD37*VLOOKUP('Données projet'!$B$11,Paramètres!$A$1:$I$89,3,0)*VLOOKUP('Données projet'!$B$11,Paramètres!$A$1:$I$89,5,0)</f>
        <v>106.63941600000003</v>
      </c>
      <c r="BF37" s="13">
        <f t="shared" si="37"/>
        <v>28.537780673692442</v>
      </c>
      <c r="BG37" s="20">
        <f t="shared" si="7"/>
        <v>235.43361754001435</v>
      </c>
      <c r="BH37" s="59">
        <f t="shared" si="8"/>
        <v>478.20704900212991</v>
      </c>
      <c r="BI37" s="59">
        <f ca="1">AVERAGE(OFFSET($BH$3,0,0,'Données projet'!$E$11+1,1))-AVERAGE(OFFSET($H$3,0,0,'Données projet'!$E$11+1,1))</f>
        <v>458.88102603650725</v>
      </c>
      <c r="BJ37" s="59">
        <f t="shared" si="38"/>
        <v>277.79020316059552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23.991194777939235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23.991194777939235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15.881076923076924</v>
      </c>
      <c r="BY37" s="12">
        <f>IF('Données projet'!$A$114&gt;35,BY36+BX37-CG36,IF(A37&lt;'Données projet'!$A$114,$BV$205^A37,IF(A37='Données projet'!$A$114,'Données projet'!$B$114,BY36+BX37-CG36)))</f>
        <v>185.40892307692309</v>
      </c>
      <c r="BZ37" s="13">
        <f>BY37*VLOOKUP('Données projet'!$B$12,Paramètres!$A$1:$I$89,3,0)*VLOOKUP('Données projet'!$B$12,Paramètres!$A$1:$I$89,5,0)</f>
        <v>176.4351312</v>
      </c>
      <c r="CA37" s="13">
        <f t="shared" si="39"/>
        <v>44.528147548524352</v>
      </c>
      <c r="CB37" s="20">
        <f t="shared" si="10"/>
        <v>384.84437715367989</v>
      </c>
      <c r="CC37" s="59">
        <f t="shared" si="11"/>
        <v>627.61780861579541</v>
      </c>
      <c r="CD37" s="59">
        <f ca="1">AVERAGE(OFFSET($CC$3,0,0,'Données projet'!$E$12+1,1))-AVERAGE(OFFSET($H$3,0,0,'Données projet'!$E$12+1,1))</f>
        <v>592.58528888957346</v>
      </c>
      <c r="CE37" s="59">
        <f t="shared" si="40"/>
        <v>311.31528017256846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28.661666666666662</v>
      </c>
      <c r="CT37" s="12">
        <f>IF('Données projet'!$A$140&gt;35,CT36+CS37-DB36,IF(A37&lt;'Données projet'!$A$140,$CQ$205^A37,IF(A37='Données projet'!$A$140,'Données projet'!$B$140,CT36+CS37-DB36)))</f>
        <v>444.36666666666656</v>
      </c>
      <c r="CU37" s="17">
        <f>CT37*VLOOKUP('Données projet'!$B$13,Paramètres!$A$1:$I$89,3,0)*VLOOKUP('Données projet'!$B$13,Paramètres!$A$1:$I$89,5,0)</f>
        <v>248.40096666666662</v>
      </c>
      <c r="CV37" s="13">
        <f t="shared" si="41"/>
        <v>60.243404162664191</v>
      </c>
      <c r="CW37" s="20">
        <f t="shared" si="13"/>
        <v>537.55561252775112</v>
      </c>
      <c r="CX37" s="59">
        <f t="shared" si="14"/>
        <v>780.3290439898667</v>
      </c>
      <c r="CY37" s="59">
        <f ca="1">AVERAGE(OFFSET($CX$3,0,0,'Données projet'!$E$13+1,1))-AVERAGE(OFFSET($H$3,0,0,'Données projet'!$E$13+1,1))</f>
        <v>420.4890915162182</v>
      </c>
      <c r="CZ37" s="59">
        <f t="shared" si="42"/>
        <v>553.48432338023565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45.26255589714237</v>
      </c>
      <c r="DH37" s="21">
        <f>EXP(-LN(2)/2)*DH36+(1-EXP(-LN(2)/2))/(LN(2)/2)*DB37*DE37*VLOOKUP('Données projet'!$B$13,Paramètres!$A$1:$I$89,3,0)*0.475*44/12</f>
        <v>0.18498013226570303</v>
      </c>
      <c r="DI37" s="22">
        <f t="shared" si="15"/>
        <v>45.44753602940807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15.881076923076924</v>
      </c>
      <c r="DO37" s="12">
        <f>IF('Données projet'!$A$166&gt;35,DO36+DN37-DW36,IF(A37&lt;'Données projet'!$A$166,$DL$205^A37,IF(A37='Données projet'!$A$166,'Données projet'!$B$166,DO36+DN37-DW36)))</f>
        <v>185.40892307692309</v>
      </c>
      <c r="DP37" s="17">
        <f>DO37*VLOOKUP('Données projet'!$B$14,Paramètres!$A$1:$I$89,3,0)*VLOOKUP('Données projet'!$B$14,Paramètres!$A$1:$I$89,5,0)</f>
        <v>199.57416480000001</v>
      </c>
      <c r="DQ37" s="13">
        <f t="shared" si="43"/>
        <v>49.650570431018217</v>
      </c>
      <c r="DR37" s="20">
        <f t="shared" si="16"/>
        <v>434.06641386069003</v>
      </c>
      <c r="DS37" s="59">
        <f t="shared" si="17"/>
        <v>676.83984532280556</v>
      </c>
      <c r="DT37" s="59">
        <f ca="1">AVERAGE(OFFSET($DS$3,0,0,'Données projet'!$E$14+1,1))-AVERAGE(OFFSET($H$3,0,0,'Données projet'!$E$14+1,1))</f>
        <v>659.55755908012691</v>
      </c>
      <c r="DU37" s="59">
        <f t="shared" si="44"/>
        <v>343.96647464823627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15.881076923076924</v>
      </c>
      <c r="EJ37" s="12">
        <f>IF('Données projet'!$A$192&gt;35,EJ36+EI37-ER36,IF(A37&lt;'Données projet'!$A$192,$EG$205^A37,IF(A37='Données projet'!$A$192,'Données projet'!$B$192,EJ36+EI37-ER36)))</f>
        <v>185.40892307692309</v>
      </c>
      <c r="EK37" s="17">
        <f>EJ37*VLOOKUP('Données projet'!$B$15,Paramètres!$A$1:$I$89,3,0)*VLOOKUP('Données projet'!$B$15,Paramètres!$A$1:$I$89,5,0)</f>
        <v>179.32751040000002</v>
      </c>
      <c r="EL37" s="13">
        <f t="shared" si="45"/>
        <v>45.172537042762009</v>
      </c>
      <c r="EM37" s="20">
        <f t="shared" si="19"/>
        <v>391.00424929614383</v>
      </c>
      <c r="EN37" s="59">
        <f t="shared" si="20"/>
        <v>633.77768075825941</v>
      </c>
      <c r="EO37" s="59">
        <f ca="1">AVERAGE(OFFSET($EN$3,0,0,'Données projet'!$E$15+1,1))-AVERAGE(OFFSET($H$3,0,0,'Données projet'!$E$15+1,1))</f>
        <v>600.96600099541388</v>
      </c>
      <c r="EP37" s="59">
        <f t="shared" si="46"/>
        <v>315.40159257508969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15.881076923076924</v>
      </c>
      <c r="M38" s="12">
        <f t="array" ref="M38">INDEX(L:L,MIN(IF(ISNUMBER(L38:L234),ROW(L38:L234),"")))</f>
        <v>15.881076923076924</v>
      </c>
      <c r="N38" s="13">
        <f>IF('Données projet'!$A$36&gt;35,N37+M38-V37,IF(A38&lt;'Données projet'!$A$36,$K$205^A38,IF(A38='Données projet'!$A$36,'Données projet'!$B$36,N37+M38-V37)))</f>
        <v>201.29000000000002</v>
      </c>
      <c r="O38" s="13">
        <f>N38*VLOOKUP('Données projet'!$B$9,Paramètres!$A$1:$I$89,3,0)*VLOOKUP('Données projet'!$B$9,Paramètres!$A$1:$I$89,5,0)</f>
        <v>182.12719200000001</v>
      </c>
      <c r="P38" s="13">
        <f t="shared" si="33"/>
        <v>45.795123112801811</v>
      </c>
      <c r="Q38" s="20">
        <f t="shared" si="53"/>
        <v>396.96469882146312</v>
      </c>
      <c r="R38" s="59">
        <f t="shared" si="0"/>
        <v>640.61523154603765</v>
      </c>
      <c r="S38" s="59">
        <f ca="1">AVERAGE(OFFSET($R$3,0,0,'Données projet'!$E$9+1,1))-AVERAGE(OFFSET($H$3,0,0,'Données projet'!$E$9+1,1))</f>
        <v>567.42635821336114</v>
      </c>
      <c r="T38" s="59">
        <f t="shared" si="34"/>
        <v>299.0473530693472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29.926269476330646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29.926269476330646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175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175.00000000000006</v>
      </c>
      <c r="AJ38" s="13">
        <f>AI38*VLOOKUP('Données projet'!$B$10,Paramètres!$A$1:$I$89,3,0)*VLOOKUP('Données projet'!$B$10,Paramètres!$A$1:$I$89,5,0)</f>
        <v>150.15000000000006</v>
      </c>
      <c r="AK38" s="13">
        <f t="shared" si="35"/>
        <v>38.612671675922371</v>
      </c>
      <c r="AL38" s="20">
        <f t="shared" si="4"/>
        <v>328.76165316889825</v>
      </c>
      <c r="AM38" s="59">
        <f t="shared" si="5"/>
        <v>572.41218589347272</v>
      </c>
      <c r="AN38" s="59">
        <f ca="1">AVERAGE(OFFSET($AM$3,0,0,'Données projet'!$E$10+1,1))-AVERAGE(OFFSET($H$3,0,0,'Données projet'!$E$10+1,1))</f>
        <v>570.05585579662738</v>
      </c>
      <c r="AO38" s="59">
        <f t="shared" si="36"/>
        <v>331.25104323342907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17.594556013608486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17.594556013608486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12.633333333333333</v>
      </c>
      <c r="BD38" s="12">
        <f>IF('Données projet'!$A$88&gt;35,BD37+BC38-BL37,IF(A38&lt;'Données projet'!$A$88,$BA$205^A38,IF(A38='Données projet'!$A$88,'Données projet'!$B$88,BD37+BC38-BL37)))</f>
        <v>139.22333333333333</v>
      </c>
      <c r="BE38" s="13">
        <f>BD38*VLOOKUP('Données projet'!$B$11,Paramètres!$A$1:$I$89,3,0)*VLOOKUP('Données projet'!$B$11,Paramètres!$A$1:$I$89,5,0)</f>
        <v>117.281736</v>
      </c>
      <c r="BF38" s="13">
        <f t="shared" si="37"/>
        <v>31.040165897322492</v>
      </c>
      <c r="BG38" s="20">
        <f t="shared" si="7"/>
        <v>258.32731247116993</v>
      </c>
      <c r="BH38" s="59">
        <f t="shared" si="8"/>
        <v>501.97784519574441</v>
      </c>
      <c r="BI38" s="59">
        <f ca="1">AVERAGE(OFFSET($BH$3,0,0,'Données projet'!$E$11+1,1))-AVERAGE(OFFSET($H$3,0,0,'Données projet'!$E$11+1,1))</f>
        <v>458.88102603650725</v>
      </c>
      <c r="BJ38" s="59">
        <f t="shared" si="38"/>
        <v>277.79020316059552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23.520742081527754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23.520742081527754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201.29</v>
      </c>
      <c r="BW38" s="12">
        <f>VLOOKUP(A38,'Données projet'!$A$113:$I$133,9,0)</f>
        <v>15.881076923076924</v>
      </c>
      <c r="BX38" s="12">
        <f t="array" ref="BX38">INDEX(BW:BW,MIN(IF(ISNUMBER(BW38:BW234),ROW(BW38:BW234),"")))</f>
        <v>15.881076923076924</v>
      </c>
      <c r="BY38" s="12">
        <f>IF('Données projet'!$A$114&gt;35,BY37+BX38-CG37,IF(A38&lt;'Données projet'!$A$114,$BV$205^A38,IF(A38='Données projet'!$A$114,'Données projet'!$B$114,BY37+BX38-CG37)))</f>
        <v>201.29000000000002</v>
      </c>
      <c r="BZ38" s="13">
        <f>BY38*VLOOKUP('Données projet'!$B$12,Paramètres!$A$1:$I$89,3,0)*VLOOKUP('Données projet'!$B$12,Paramètres!$A$1:$I$89,5,0)</f>
        <v>191.54756400000002</v>
      </c>
      <c r="CA38" s="13">
        <f t="shared" si="39"/>
        <v>47.881935577216041</v>
      </c>
      <c r="CB38" s="20">
        <f t="shared" si="10"/>
        <v>417.00637843031797</v>
      </c>
      <c r="CC38" s="59">
        <f t="shared" si="11"/>
        <v>660.65691115489244</v>
      </c>
      <c r="CD38" s="59">
        <f ca="1">AVERAGE(OFFSET($CC$3,0,0,'Données projet'!$E$12+1,1))-AVERAGE(OFFSET($H$3,0,0,'Données projet'!$E$12+1,1))</f>
        <v>592.58528888957346</v>
      </c>
      <c r="CE38" s="59">
        <f t="shared" si="40"/>
        <v>311.31528017256846</v>
      </c>
      <c r="CF38" s="15">
        <f>IF(ISNA(VLOOKUP(A38,'Données projet'!$A$113:$I$133,3,0)),0,VLOOKUP(A38,'Données projet'!$A$113:$I$133,3,0))</f>
        <v>1</v>
      </c>
      <c r="CG38" s="15">
        <f>IF(ISNA(VLOOKUP(A38,'Données projet'!$A$113:$I$133,4,0)),0,VLOOKUP(A38,'Données projet'!$A$113:$I$133,4,0))</f>
        <v>69.58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31.474179966485682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31.474179966485682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28.661666666666662</v>
      </c>
      <c r="CT38" s="12">
        <f>IF('Données projet'!$A$140&gt;35,CT37+CS38-DB37,IF(A38&lt;'Données projet'!$A$140,$CQ$205^A38,IF(A38='Données projet'!$A$140,'Données projet'!$B$140,CT37+CS38-DB37)))</f>
        <v>473.02833333333319</v>
      </c>
      <c r="CU38" s="17">
        <f>CT38*VLOOKUP('Données projet'!$B$13,Paramètres!$A$1:$I$89,3,0)*VLOOKUP('Données projet'!$B$13,Paramètres!$A$1:$I$89,5,0)</f>
        <v>264.42283833333329</v>
      </c>
      <c r="CV38" s="13">
        <f t="shared" si="41"/>
        <v>63.664220837814945</v>
      </c>
      <c r="CW38" s="20">
        <f t="shared" si="13"/>
        <v>571.41829472308314</v>
      </c>
      <c r="CX38" s="59">
        <f t="shared" si="14"/>
        <v>815.06882744765767</v>
      </c>
      <c r="CY38" s="59">
        <f ca="1">AVERAGE(OFFSET($CX$3,0,0,'Données projet'!$E$13+1,1))-AVERAGE(OFFSET($H$3,0,0,'Données projet'!$E$13+1,1))</f>
        <v>420.4890915162182</v>
      </c>
      <c r="CZ38" s="59">
        <f t="shared" si="42"/>
        <v>553.48432338023565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44.024848925880647</v>
      </c>
      <c r="DH38" s="21">
        <f>EXP(-LN(2)/2)*DH37+(1-EXP(-LN(2)/2))/(LN(2)/2)*DB38*DE38*VLOOKUP('Données projet'!$B$13,Paramètres!$A$1:$I$89,3,0)*0.475*44/12</f>
        <v>0.13080070590986309</v>
      </c>
      <c r="DI38" s="22">
        <f t="shared" si="15"/>
        <v>44.15564963179051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201.29</v>
      </c>
      <c r="DM38" s="12">
        <f>VLOOKUP(A38,'Données projet'!$A$165:$I$185,9,0)</f>
        <v>15.881076923076924</v>
      </c>
      <c r="DN38" s="12">
        <f t="array" ref="DN38">INDEX(DM:DM,MIN(IF(ISNUMBER(DM38:DM234),ROW(DM38:DM234),"")))</f>
        <v>15.881076923076924</v>
      </c>
      <c r="DO38" s="12">
        <f>IF('Données projet'!$A$166&gt;35,DO37+DN38-DW37,IF(A38&lt;'Données projet'!$A$166,$DL$205^A38,IF(A38='Données projet'!$A$166,'Données projet'!$B$166,DO37+DN38-DW37)))</f>
        <v>201.29000000000002</v>
      </c>
      <c r="DP38" s="17">
        <f>DO38*VLOOKUP('Données projet'!$B$14,Paramètres!$A$1:$I$89,3,0)*VLOOKUP('Données projet'!$B$14,Paramètres!$A$1:$I$89,5,0)</f>
        <v>216.668556</v>
      </c>
      <c r="DQ38" s="13">
        <f t="shared" si="43"/>
        <v>53.390171063355339</v>
      </c>
      <c r="DR38" s="20">
        <f t="shared" si="16"/>
        <v>470.35228296867712</v>
      </c>
      <c r="DS38" s="59">
        <f t="shared" si="17"/>
        <v>714.00281569325159</v>
      </c>
      <c r="DT38" s="59">
        <f ca="1">AVERAGE(OFFSET($DS$3,0,0,'Données projet'!$E$14+1,1))-AVERAGE(OFFSET($H$3,0,0,'Données projet'!$E$14+1,1))</f>
        <v>659.55755908012691</v>
      </c>
      <c r="DU38" s="59">
        <f t="shared" si="44"/>
        <v>343.96647464823627</v>
      </c>
      <c r="DV38" s="15">
        <f>IF(ISNA(VLOOKUP(A38,'Données projet'!$A$165:$I$185,3,0)),0,VLOOKUP(A38,'Données projet'!$A$165:$I$185,3,0))</f>
        <v>1</v>
      </c>
      <c r="DW38" s="15">
        <f>IF(ISNA(VLOOKUP(A38,'Données projet'!$A$165:$I$185,4,0)),0,VLOOKUP(A38,'Données projet'!$A$165:$I$185,4,0))</f>
        <v>69.58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35.601941273565764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35.601941273565764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201.29</v>
      </c>
      <c r="EH38" s="12">
        <f>VLOOKUP(A38,'Données projet'!$A$191:$I$211,9,0)</f>
        <v>15.881076923076924</v>
      </c>
      <c r="EI38" s="12">
        <f t="array" ref="EI38">INDEX(EH:EH,MIN(IF(ISNUMBER(EH38:EH234),ROW(EH38:EH234),"")))</f>
        <v>15.881076923076924</v>
      </c>
      <c r="EJ38" s="12">
        <f>IF('Données projet'!$A$192&gt;35,EJ37+EI38-ER37,IF(A38&lt;'Données projet'!$A$192,$EG$205^A38,IF(A38='Données projet'!$A$192,'Données projet'!$B$192,EJ37+EI38-ER37)))</f>
        <v>201.29000000000002</v>
      </c>
      <c r="EK38" s="17">
        <f>EJ38*VLOOKUP('Données projet'!$B$15,Paramètres!$A$1:$I$89,3,0)*VLOOKUP('Données projet'!$B$15,Paramètres!$A$1:$I$89,5,0)</f>
        <v>194.68768800000001</v>
      </c>
      <c r="EL38" s="13">
        <f t="shared" si="45"/>
        <v>48.574859445564719</v>
      </c>
      <c r="EM38" s="20">
        <f t="shared" si="19"/>
        <v>423.68227013435859</v>
      </c>
      <c r="EN38" s="59">
        <f t="shared" si="20"/>
        <v>667.33280285893306</v>
      </c>
      <c r="EO38" s="59">
        <f ca="1">AVERAGE(OFFSET($EN$3,0,0,'Données projet'!$E$15+1,1))-AVERAGE(OFFSET($H$3,0,0,'Données projet'!$E$15+1,1))</f>
        <v>600.96600099541388</v>
      </c>
      <c r="EP38" s="59">
        <f t="shared" si="46"/>
        <v>315.40159257508969</v>
      </c>
      <c r="EQ38" s="15">
        <f>IF(ISNA(VLOOKUP(A38,'Données projet'!$A$191:$I$211,3,0)),0,VLOOKUP(A38,'Données projet'!$A$191:$I$211,3,0))</f>
        <v>1</v>
      </c>
      <c r="ER38" s="15">
        <f>IF(ISNA(VLOOKUP(A38,'Données projet'!$A$191:$I$211,4,0)),0,VLOOKUP(A38,'Données projet'!$A$191:$I$211,4,0))</f>
        <v>69.58</v>
      </c>
      <c r="ES38" s="16">
        <f>IF(ISNA(VLOOKUP(A38,'Données projet'!$A$191:$I$211,5,0)),0%,VLOOKUP(A38,'Données projet'!$A$191:$I$211,5,0)*VLOOKUP('Données projet'!$B$15,Paramètres!$A$1:$I$89,7,0))</f>
        <v>0.43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31.990150129870688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31.990150129870688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144.57166666666672</v>
      </c>
      <c r="O39" s="13">
        <f>N39*VLOOKUP('Données projet'!$B$9,Paramètres!$A$1:$I$89,3,0)*VLOOKUP('Données projet'!$B$9,Paramètres!$A$1:$I$89,5,0)</f>
        <v>130.80844400000004</v>
      </c>
      <c r="P39" s="13">
        <f t="shared" si="33"/>
        <v>34.183099548128496</v>
      </c>
      <c r="Q39" s="20">
        <f t="shared" si="53"/>
        <v>287.36027167965722</v>
      </c>
      <c r="R39" s="59">
        <f t="shared" si="0"/>
        <v>531.87268992069164</v>
      </c>
      <c r="S39" s="59">
        <f ca="1">AVERAGE(OFFSET($R$3,0,0,'Données projet'!$E$9+1,1))-AVERAGE(OFFSET($H$3,0,0,'Données projet'!$E$9+1,1))</f>
        <v>567.42635821336114</v>
      </c>
      <c r="T39" s="59">
        <f t="shared" si="34"/>
        <v>299.0473530693472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29.339433585121828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29.339433585121828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13.4</v>
      </c>
      <c r="AI39" s="13">
        <f>IF('Données projet'!$A$62&gt;35,AI38+AH39-AQ38,IF(A39&lt;'Données projet'!$A$62,$AF$205^A39,IF(A39='Données projet'!$A$62,'Données projet'!$B$62,AI38+AH39-AQ38)))</f>
        <v>153.40000000000006</v>
      </c>
      <c r="AJ39" s="13">
        <f>AI39*VLOOKUP('Données projet'!$B$10,Paramètres!$A$1:$I$89,3,0)*VLOOKUP('Données projet'!$B$10,Paramètres!$A$1:$I$89,5,0)</f>
        <v>131.61720000000008</v>
      </c>
      <c r="AK39" s="13">
        <f t="shared" si="35"/>
        <v>34.369777461794328</v>
      </c>
      <c r="AL39" s="20">
        <f t="shared" si="4"/>
        <v>289.09398574595861</v>
      </c>
      <c r="AM39" s="59">
        <f t="shared" si="5"/>
        <v>533.60640398699297</v>
      </c>
      <c r="AN39" s="59">
        <f ca="1">AVERAGE(OFFSET($AM$3,0,0,'Données projet'!$E$10+1,1))-AVERAGE(OFFSET($H$3,0,0,'Données projet'!$E$10+1,1))</f>
        <v>570.05585579662738</v>
      </c>
      <c r="AO39" s="59">
        <f t="shared" si="36"/>
        <v>331.25104323342907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17.249537501801132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17.249537501801132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12.633333333333333</v>
      </c>
      <c r="BD39" s="12">
        <f>IF('Données projet'!$A$88&gt;35,BD38+BC39-BL38,IF(A39&lt;'Données projet'!$A$88,$BA$205^A39,IF(A39='Données projet'!$A$88,'Données projet'!$B$88,BD38+BC39-BL38)))</f>
        <v>151.85666666666665</v>
      </c>
      <c r="BE39" s="13">
        <f>BD39*VLOOKUP('Données projet'!$B$11,Paramètres!$A$1:$I$89,3,0)*VLOOKUP('Données projet'!$B$11,Paramètres!$A$1:$I$89,5,0)</f>
        <v>127.92405600000001</v>
      </c>
      <c r="BF39" s="13">
        <f t="shared" si="37"/>
        <v>33.516221137269056</v>
      </c>
      <c r="BG39" s="20">
        <f t="shared" si="7"/>
        <v>281.17514934741024</v>
      </c>
      <c r="BH39" s="59">
        <f t="shared" si="8"/>
        <v>525.68756758844461</v>
      </c>
      <c r="BI39" s="59">
        <f ca="1">AVERAGE(OFFSET($BH$3,0,0,'Données projet'!$E$11+1,1))-AVERAGE(OFFSET($H$3,0,0,'Données projet'!$E$11+1,1))</f>
        <v>458.88102603650725</v>
      </c>
      <c r="BJ39" s="59">
        <f t="shared" si="38"/>
        <v>277.79020316059552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23.059514675545092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23.059514675545092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12.86166666666667</v>
      </c>
      <c r="BY39" s="12">
        <f>IF('Données projet'!$A$114&gt;35,BY38+BX39-CG38,IF(A39&lt;'Données projet'!$A$114,$BV$205^A39,IF(A39='Données projet'!$A$114,'Données projet'!$B$114,BY38+BX39-CG38)))</f>
        <v>144.57166666666672</v>
      </c>
      <c r="BZ39" s="13">
        <f>BY39*VLOOKUP('Données projet'!$B$12,Paramètres!$A$1:$I$89,3,0)*VLOOKUP('Données projet'!$B$12,Paramètres!$A$1:$I$89,5,0)</f>
        <v>137.57439800000006</v>
      </c>
      <c r="CA39" s="13">
        <f t="shared" si="39"/>
        <v>35.740770176803096</v>
      </c>
      <c r="CB39" s="20">
        <f t="shared" si="10"/>
        <v>301.85725124126549</v>
      </c>
      <c r="CC39" s="59">
        <f t="shared" si="11"/>
        <v>546.36966948229997</v>
      </c>
      <c r="CD39" s="59">
        <f ca="1">AVERAGE(OFFSET($CC$3,0,0,'Données projet'!$E$12+1,1))-AVERAGE(OFFSET($H$3,0,0,'Données projet'!$E$12+1,1))</f>
        <v>592.58528888957346</v>
      </c>
      <c r="CE39" s="59">
        <f t="shared" si="40"/>
        <v>311.31528017256846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30.856990494697097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30.856990494697097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501.69</v>
      </c>
      <c r="CR39" s="12">
        <f>VLOOKUP(A39,'Données projet'!$A$139:$I$159,9,0)</f>
        <v>28.661666666666662</v>
      </c>
      <c r="CS39" s="12">
        <f t="array" ref="CS39">INDEX(CR:CR,MIN(IF(ISNUMBER(CR39:CR235),ROW(CR39:CR235),"")))</f>
        <v>28.661666666666662</v>
      </c>
      <c r="CT39" s="12">
        <f>IF('Données projet'!$A$140&gt;35,CT38+CS39-DB38,IF(A39&lt;'Données projet'!$A$140,$CQ$205^A39,IF(A39='Données projet'!$A$140,'Données projet'!$B$140,CT38+CS39-DB38)))</f>
        <v>501.68999999999983</v>
      </c>
      <c r="CU39" s="17">
        <f>CT39*VLOOKUP('Données projet'!$B$13,Paramètres!$A$1:$I$89,3,0)*VLOOKUP('Données projet'!$B$13,Paramètres!$A$1:$I$89,5,0)</f>
        <v>280.44470999999987</v>
      </c>
      <c r="CV39" s="13">
        <f t="shared" si="41"/>
        <v>67.06098020598759</v>
      </c>
      <c r="CW39" s="20">
        <f t="shared" si="13"/>
        <v>605.23907710876153</v>
      </c>
      <c r="CX39" s="59">
        <f t="shared" si="14"/>
        <v>849.75149534979596</v>
      </c>
      <c r="CY39" s="59">
        <f ca="1">AVERAGE(OFFSET($CX$3,0,0,'Données projet'!$E$13+1,1))-AVERAGE(OFFSET($H$3,0,0,'Données projet'!$E$13+1,1))</f>
        <v>420.4890915162182</v>
      </c>
      <c r="CZ39" s="59">
        <f t="shared" si="42"/>
        <v>553.48432338023565</v>
      </c>
      <c r="DA39" s="15">
        <f>IF(ISNA(VLOOKUP(A39,'Données projet'!$A$139:$I$159,3,0)),0,VLOOKUP(A39,'Données projet'!$A$139:$I$159,3,0))</f>
        <v>4</v>
      </c>
      <c r="DB39" s="15">
        <f>IF(ISNA(VLOOKUP(A39,'Données projet'!$A$139:$I$159,4,0)),0,VLOOKUP(A39,'Données projet'!$A$139:$I$159,4,0))</f>
        <v>85.88</v>
      </c>
      <c r="DC39" s="16">
        <f>IF(ISNA(VLOOKUP(A39,'Données projet'!$A$139:$I$159,5,0)),0%,VLOOKUP(A39,'Données projet'!$A$139:$I$159,5,0)*VLOOKUP('Données projet'!$B$13,Paramètres!$A$1:$I$89,7,0))</f>
        <v>0.55000000000000004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35.026350527921267</v>
      </c>
      <c r="DG39" s="21">
        <f>EXP(-LN(2)/25)*DG38+(1-EXP(-LN(2)/25))/(LN(2)/25)*Calculateur!DB39*Calculateur!DD39*VLOOKUP('Données projet'!$B$13,Paramètres!$A$1:$I$89,3,0)*0.475*44/12</f>
        <v>42.820987116836257</v>
      </c>
      <c r="DH39" s="21">
        <f>EXP(-LN(2)/2)*DH38+(1-EXP(-LN(2)/2))/(LN(2)/2)*DB39*DE39*VLOOKUP('Données projet'!$B$13,Paramètres!$A$1:$I$89,3,0)*0.475*44/12</f>
        <v>9.2490066132851517E-2</v>
      </c>
      <c r="DI39" s="22">
        <f t="shared" si="15"/>
        <v>77.93982771089037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12.86166666666667</v>
      </c>
      <c r="DO39" s="12">
        <f>IF('Données projet'!$A$166&gt;35,DO38+DN39-DW38,IF(A39&lt;'Données projet'!$A$166,$DL$205^A39,IF(A39='Données projet'!$A$166,'Données projet'!$B$166,DO38+DN39-DW38)))</f>
        <v>144.57166666666672</v>
      </c>
      <c r="DP39" s="17">
        <f>DO39*VLOOKUP('Données projet'!$B$14,Paramètres!$A$1:$I$89,3,0)*VLOOKUP('Données projet'!$B$14,Paramètres!$A$1:$I$89,5,0)</f>
        <v>155.61694200000002</v>
      </c>
      <c r="DQ39" s="13">
        <f t="shared" si="43"/>
        <v>39.852311955901335</v>
      </c>
      <c r="DR39" s="20">
        <f t="shared" si="16"/>
        <v>340.44228397319483</v>
      </c>
      <c r="DS39" s="59">
        <f t="shared" si="17"/>
        <v>584.9547022142292</v>
      </c>
      <c r="DT39" s="59">
        <f ca="1">AVERAGE(OFFSET($DS$3,0,0,'Données projet'!$E$14+1,1))-AVERAGE(OFFSET($H$3,0,0,'Données projet'!$E$14+1,1))</f>
        <v>659.55755908012691</v>
      </c>
      <c r="DU39" s="59">
        <f t="shared" si="44"/>
        <v>343.96647464823627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34.903808920231135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34.903808920231135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12.86166666666667</v>
      </c>
      <c r="EJ39" s="12">
        <f>IF('Données projet'!$A$192&gt;35,EJ38+EI39-ER38,IF(A39&lt;'Données projet'!$A$192,$EG$205^A39,IF(A39='Données projet'!$A$192,'Données projet'!$B$192,EJ38+EI39-ER38)))</f>
        <v>144.57166666666672</v>
      </c>
      <c r="EK39" s="17">
        <f>EJ39*VLOOKUP('Données projet'!$B$15,Paramètres!$A$1:$I$89,3,0)*VLOOKUP('Données projet'!$B$15,Paramètres!$A$1:$I$89,5,0)</f>
        <v>139.82971600000005</v>
      </c>
      <c r="EL39" s="13">
        <f t="shared" si="45"/>
        <v>36.257993059088875</v>
      </c>
      <c r="EM39" s="20">
        <f t="shared" si="19"/>
        <v>306.68609327791319</v>
      </c>
      <c r="EN39" s="59">
        <f t="shared" si="20"/>
        <v>551.19851151894761</v>
      </c>
      <c r="EO39" s="59">
        <f ca="1">AVERAGE(OFFSET($EN$3,0,0,'Données projet'!$E$15+1,1))-AVERAGE(OFFSET($H$3,0,0,'Données projet'!$E$15+1,1))</f>
        <v>600.96600099541388</v>
      </c>
      <c r="EP39" s="59">
        <f t="shared" si="46"/>
        <v>315.40159257508969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31.362842797888845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31.362842797888845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157.43333333333339</v>
      </c>
      <c r="O40" s="13">
        <f>N40*VLOOKUP('Données projet'!$B$9,Paramètres!$A$1:$I$89,3,0)*VLOOKUP('Données projet'!$B$9,Paramètres!$A$1:$I$89,5,0)</f>
        <v>142.44568000000007</v>
      </c>
      <c r="P40" s="13">
        <f t="shared" si="33"/>
        <v>36.856710479085173</v>
      </c>
      <c r="Q40" s="20">
        <f t="shared" si="53"/>
        <v>312.28499675107349</v>
      </c>
      <c r="R40" s="59">
        <f t="shared" si="0"/>
        <v>557.64434872174456</v>
      </c>
      <c r="S40" s="59">
        <f ca="1">AVERAGE(OFFSET($R$3,0,0,'Données projet'!$E$9+1,1))-AVERAGE(OFFSET($H$3,0,0,'Données projet'!$E$9+1,1))</f>
        <v>567.42635821336114</v>
      </c>
      <c r="T40" s="59">
        <f t="shared" si="34"/>
        <v>299.0473530693472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28.764105187805065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28.764105187805065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13.4</v>
      </c>
      <c r="AI40" s="13">
        <f>IF('Données projet'!$A$62&gt;35,AI39+AH40-AQ39,IF(A40&lt;'Données projet'!$A$62,$AF$205^A40,IF(A40='Données projet'!$A$62,'Données projet'!$B$62,AI39+AH40-AQ39)))</f>
        <v>166.80000000000007</v>
      </c>
      <c r="AJ40" s="13">
        <f>AI40*VLOOKUP('Données projet'!$B$10,Paramètres!$A$1:$I$89,3,0)*VLOOKUP('Données projet'!$B$10,Paramètres!$A$1:$I$89,5,0)</f>
        <v>143.11440000000007</v>
      </c>
      <c r="AK40" s="13">
        <f t="shared" si="35"/>
        <v>37.009554635379814</v>
      </c>
      <c r="AL40" s="20">
        <f t="shared" si="4"/>
        <v>313.71588765662</v>
      </c>
      <c r="AM40" s="59">
        <f t="shared" si="5"/>
        <v>559.07523962729113</v>
      </c>
      <c r="AN40" s="59">
        <f ca="1">AVERAGE(OFFSET($AM$3,0,0,'Données projet'!$E$10+1,1))-AVERAGE(OFFSET($H$3,0,0,'Données projet'!$E$10+1,1))</f>
        <v>570.05585579662738</v>
      </c>
      <c r="AO40" s="59">
        <f t="shared" si="36"/>
        <v>331.25104323342907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16.911284592569807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16.911284592569807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164.49</v>
      </c>
      <c r="BB40" s="12">
        <f>VLOOKUP(A40,'Données projet'!$A$87:$I$107,9,0)</f>
        <v>12.633333333333333</v>
      </c>
      <c r="BC40" s="12">
        <f t="array" ref="BC40">INDEX(BB:BB,MIN(IF(ISNUMBER(BB40:BB236),ROW(BB40:BB236),"")))</f>
        <v>12.633333333333333</v>
      </c>
      <c r="BD40" s="12">
        <f>IF('Données projet'!$A$88&gt;35,BD39+BC40-BL39,IF(A40&lt;'Données projet'!$A$88,$BA$205^A40,IF(A40='Données projet'!$A$88,'Données projet'!$B$88,BD39+BC40-BL39)))</f>
        <v>164.48999999999998</v>
      </c>
      <c r="BE40" s="13">
        <f>BD40*VLOOKUP('Données projet'!$B$11,Paramètres!$A$1:$I$89,3,0)*VLOOKUP('Données projet'!$B$11,Paramètres!$A$1:$I$89,5,0)</f>
        <v>138.56637599999999</v>
      </c>
      <c r="BF40" s="13">
        <f t="shared" si="37"/>
        <v>35.968385885318511</v>
      </c>
      <c r="BG40" s="20">
        <f t="shared" si="7"/>
        <v>303.9813769502631</v>
      </c>
      <c r="BH40" s="59">
        <f t="shared" si="8"/>
        <v>549.34072892093423</v>
      </c>
      <c r="BI40" s="59">
        <f ca="1">AVERAGE(OFFSET($BH$3,0,0,'Données projet'!$E$11+1,1))-AVERAGE(OFFSET($H$3,0,0,'Données projet'!$E$11+1,1))</f>
        <v>458.88102603650725</v>
      </c>
      <c r="BJ40" s="59">
        <f t="shared" si="38"/>
        <v>277.79020316059552</v>
      </c>
      <c r="BK40" s="15">
        <f>IF(ISNA(VLOOKUP(A40,'Données projet'!$A$87:$I$107,3,0)),0,VLOOKUP(A40,'Données projet'!$A$87:$I$107,3,0))</f>
        <v>2</v>
      </c>
      <c r="BL40" s="15">
        <f>IF(ISNA(VLOOKUP(A40,'Données projet'!$A$87:$I$107,4,0)),0,VLOOKUP(A40,'Données projet'!$A$87:$I$107,4,0))</f>
        <v>41.18</v>
      </c>
      <c r="BM40" s="16">
        <f>IF(ISNA(VLOOKUP(A40,'Données projet'!$A$87:$I$107,5,0)),0%,VLOOKUP(A40,'Données projet'!$A$87:$I$107,5,0)*VLOOKUP('Données projet'!$B$11,Paramètres!$A$1:$I$89,7,0))</f>
        <v>0.43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39.097316879324396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39.097316879324396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12.86166666666667</v>
      </c>
      <c r="BY40" s="12">
        <f>IF('Données projet'!$A$114&gt;35,BY39+BX40-CG39,IF(A40&lt;'Données projet'!$A$114,$BV$205^A40,IF(A40='Données projet'!$A$114,'Données projet'!$B$114,BY39+BX40-CG39)))</f>
        <v>157.43333333333339</v>
      </c>
      <c r="BZ40" s="13">
        <f>BY40*VLOOKUP('Données projet'!$B$12,Paramètres!$A$1:$I$89,3,0)*VLOOKUP('Données projet'!$B$12,Paramètres!$A$1:$I$89,5,0)</f>
        <v>149.81356000000005</v>
      </c>
      <c r="CA40" s="13">
        <f t="shared" si="39"/>
        <v>38.53621339548981</v>
      </c>
      <c r="CB40" s="20">
        <f t="shared" si="10"/>
        <v>328.04252199714483</v>
      </c>
      <c r="CC40" s="59">
        <f t="shared" si="11"/>
        <v>573.40187396781596</v>
      </c>
      <c r="CD40" s="59">
        <f ca="1">AVERAGE(OFFSET($CC$3,0,0,'Données projet'!$E$12+1,1))-AVERAGE(OFFSET($H$3,0,0,'Données projet'!$E$12+1,1))</f>
        <v>592.58528888957346</v>
      </c>
      <c r="CE40" s="59">
        <f t="shared" si="40"/>
        <v>311.31528017256846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30.251903732001878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30.251903732001878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28.093333333333334</v>
      </c>
      <c r="CT40" s="12">
        <f>IF('Données projet'!$A$140&gt;35,CT39+CS40-DB39,IF(A40&lt;'Données projet'!$A$140,$CQ$205^A40,IF(A40='Données projet'!$A$140,'Données projet'!$B$140,CT39+CS40-DB39)))</f>
        <v>443.90333333333319</v>
      </c>
      <c r="CU40" s="17">
        <f>CT40*VLOOKUP('Données projet'!$B$13,Paramètres!$A$1:$I$89,3,0)*VLOOKUP('Données projet'!$B$13,Paramètres!$A$1:$I$89,5,0)</f>
        <v>248.14196333333328</v>
      </c>
      <c r="CV40" s="13">
        <f t="shared" si="41"/>
        <v>60.187897687681328</v>
      </c>
      <c r="CW40" s="20">
        <f t="shared" si="13"/>
        <v>537.00784127826716</v>
      </c>
      <c r="CX40" s="59">
        <f t="shared" si="14"/>
        <v>782.36719324893829</v>
      </c>
      <c r="CY40" s="59">
        <f ca="1">AVERAGE(OFFSET($CX$3,0,0,'Données projet'!$E$13+1,1))-AVERAGE(OFFSET($H$3,0,0,'Données projet'!$E$13+1,1))</f>
        <v>420.4890915162182</v>
      </c>
      <c r="CZ40" s="59">
        <f t="shared" si="42"/>
        <v>553.48432338023565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34.339505158033035</v>
      </c>
      <c r="DG40" s="21">
        <f>EXP(-LN(2)/25)*DG39+(1-EXP(-LN(2)/25))/(LN(2)/25)*Calculateur!DB40*Calculateur!DD40*VLOOKUP('Données projet'!$B$13,Paramètres!$A$1:$I$89,3,0)*0.475*44/12</f>
        <v>41.650044972268525</v>
      </c>
      <c r="DH40" s="21">
        <f>EXP(-LN(2)/2)*DH39+(1-EXP(-LN(2)/2))/(LN(2)/2)*DB40*DE40*VLOOKUP('Données projet'!$B$13,Paramètres!$A$1:$I$89,3,0)*0.475*44/12</f>
        <v>6.5400352954931545E-2</v>
      </c>
      <c r="DI40" s="22">
        <f t="shared" si="15"/>
        <v>76.054950483256491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12.86166666666667</v>
      </c>
      <c r="DO40" s="12">
        <f>IF('Données projet'!$A$166&gt;35,DO39+DN40-DW39,IF(A40&lt;'Données projet'!$A$166,$DL$205^A40,IF(A40='Données projet'!$A$166,'Données projet'!$B$166,DO39+DN40-DW39)))</f>
        <v>157.43333333333339</v>
      </c>
      <c r="DP40" s="17">
        <f>DO40*VLOOKUP('Données projet'!$B$14,Paramètres!$A$1:$I$89,3,0)*VLOOKUP('Données projet'!$B$14,Paramètres!$A$1:$I$89,5,0)</f>
        <v>169.46124000000006</v>
      </c>
      <c r="DQ40" s="13">
        <f t="shared" si="43"/>
        <v>42.969336985161014</v>
      </c>
      <c r="DR40" s="20">
        <f t="shared" si="16"/>
        <v>369.98325491582222</v>
      </c>
      <c r="DS40" s="59">
        <f t="shared" si="17"/>
        <v>615.34260688649329</v>
      </c>
      <c r="DT40" s="59">
        <f ca="1">AVERAGE(OFFSET($DS$3,0,0,'Données projet'!$E$14+1,1))-AVERAGE(OFFSET($H$3,0,0,'Données projet'!$E$14+1,1))</f>
        <v>659.55755908012691</v>
      </c>
      <c r="DU40" s="59">
        <f t="shared" si="44"/>
        <v>343.96647464823627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34.219366516526705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34.219366516526705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12.86166666666667</v>
      </c>
      <c r="EJ40" s="12">
        <f>IF('Données projet'!$A$192&gt;35,EJ39+EI40-ER39,IF(A40&lt;'Données projet'!$A$192,$EG$205^A40,IF(A40='Données projet'!$A$192,'Données projet'!$B$192,EJ39+EI40-ER39)))</f>
        <v>157.43333333333339</v>
      </c>
      <c r="EK40" s="17">
        <f>EJ40*VLOOKUP('Données projet'!$B$15,Paramètres!$A$1:$I$89,3,0)*VLOOKUP('Données projet'!$B$15,Paramètres!$A$1:$I$89,5,0)</f>
        <v>152.26952000000006</v>
      </c>
      <c r="EL40" s="13">
        <f t="shared" si="45"/>
        <v>39.093890559865287</v>
      </c>
      <c r="EM40" s="20">
        <f t="shared" si="19"/>
        <v>333.2912733917654</v>
      </c>
      <c r="EN40" s="59">
        <f t="shared" si="20"/>
        <v>578.65062536243647</v>
      </c>
      <c r="EO40" s="59">
        <f ca="1">AVERAGE(OFFSET($EN$3,0,0,'Données projet'!$E$15+1,1))-AVERAGE(OFFSET($H$3,0,0,'Données projet'!$E$15+1,1))</f>
        <v>600.96600099541388</v>
      </c>
      <c r="EP40" s="59">
        <f t="shared" si="46"/>
        <v>315.40159257508969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30.747836580067474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30.747836580067474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170.29500000000007</v>
      </c>
      <c r="O41" s="13">
        <f>N41*VLOOKUP('Données projet'!$B$9,Paramètres!$A$1:$I$89,3,0)*VLOOKUP('Données projet'!$B$9,Paramètres!$A$1:$I$89,5,0)</f>
        <v>154.08291600000007</v>
      </c>
      <c r="P41" s="13">
        <f t="shared" si="33"/>
        <v>39.504987725811617</v>
      </c>
      <c r="Q41" s="20">
        <f t="shared" si="53"/>
        <v>337.16559898912197</v>
      </c>
      <c r="R41" s="59">
        <f t="shared" si="0"/>
        <v>583.35719228268067</v>
      </c>
      <c r="S41" s="59">
        <f ca="1">AVERAGE(OFFSET($R$3,0,0,'Données projet'!$E$9+1,1))-AVERAGE(OFFSET($H$3,0,0,'Données projet'!$E$9+1,1))</f>
        <v>567.42635821336114</v>
      </c>
      <c r="T41" s="59">
        <f t="shared" si="34"/>
        <v>299.0473530693472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28.200058629444008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28.200058629444008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13.4</v>
      </c>
      <c r="AI41" s="13">
        <f>IF('Données projet'!$A$62&gt;35,AI40+AH41-AQ40,IF(A41&lt;'Données projet'!$A$62,$AF$205^A41,IF(A41='Données projet'!$A$62,'Données projet'!$B$62,AI40+AH41-AQ40)))</f>
        <v>180.20000000000007</v>
      </c>
      <c r="AJ41" s="13">
        <f>AI41*VLOOKUP('Données projet'!$B$10,Paramètres!$A$1:$I$89,3,0)*VLOOKUP('Données projet'!$B$10,Paramètres!$A$1:$I$89,5,0)</f>
        <v>154.61160000000007</v>
      </c>
      <c r="AK41" s="13">
        <f t="shared" si="35"/>
        <v>39.624734188365885</v>
      </c>
      <c r="AL41" s="20">
        <f t="shared" si="4"/>
        <v>338.294948711404</v>
      </c>
      <c r="AM41" s="59">
        <f t="shared" si="5"/>
        <v>584.48654200496276</v>
      </c>
      <c r="AN41" s="59">
        <f ca="1">AVERAGE(OFFSET($AM$3,0,0,'Données projet'!$E$10+1,1))-AVERAGE(OFFSET($H$3,0,0,'Données projet'!$E$10+1,1))</f>
        <v>570.05585579662738</v>
      </c>
      <c r="AO41" s="59">
        <f t="shared" si="36"/>
        <v>331.25104323342907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16.579664616574608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16.579664616574608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13.599999999999998</v>
      </c>
      <c r="BD41" s="12">
        <f>IF('Données projet'!$A$88&gt;35,BD40+BC41-BL40,IF(A41&lt;'Données projet'!$A$88,$BA$205^A41,IF(A41='Données projet'!$A$88,'Données projet'!$B$88,BD40+BC41-BL40)))</f>
        <v>136.90999999999997</v>
      </c>
      <c r="BE41" s="13">
        <f>BD41*VLOOKUP('Données projet'!$B$11,Paramètres!$A$1:$I$89,3,0)*VLOOKUP('Données projet'!$B$11,Paramètres!$A$1:$I$89,5,0)</f>
        <v>115.33298399999998</v>
      </c>
      <c r="BF41" s="13">
        <f t="shared" si="37"/>
        <v>30.583994208557012</v>
      </c>
      <c r="BG41" s="20">
        <f t="shared" si="7"/>
        <v>254.1387370465701</v>
      </c>
      <c r="BH41" s="59">
        <f t="shared" si="8"/>
        <v>500.33033034012885</v>
      </c>
      <c r="BI41" s="59">
        <f ca="1">AVERAGE(OFFSET($BH$3,0,0,'Données projet'!$E$11+1,1))-AVERAGE(OFFSET($H$3,0,0,'Données projet'!$E$11+1,1))</f>
        <v>458.88102603650725</v>
      </c>
      <c r="BJ41" s="59">
        <f t="shared" si="38"/>
        <v>277.79020316059552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38.330642342329448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38.330642342329448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12.86166666666667</v>
      </c>
      <c r="BY41" s="12">
        <f>IF('Données projet'!$A$114&gt;35,BY40+BX41-CG40,IF(A41&lt;'Données projet'!$A$114,$BV$205^A41,IF(A41='Données projet'!$A$114,'Données projet'!$B$114,BY40+BX41-CG40)))</f>
        <v>170.29500000000007</v>
      </c>
      <c r="BZ41" s="13">
        <f>BY41*VLOOKUP('Données projet'!$B$12,Paramètres!$A$1:$I$89,3,0)*VLOOKUP('Données projet'!$B$12,Paramètres!$A$1:$I$89,5,0)</f>
        <v>162.05272200000007</v>
      </c>
      <c r="CA41" s="13">
        <f t="shared" si="39"/>
        <v>41.305168513396602</v>
      </c>
      <c r="CB41" s="20">
        <f t="shared" si="10"/>
        <v>354.18165931083257</v>
      </c>
      <c r="CC41" s="59">
        <f t="shared" si="11"/>
        <v>600.37325260439127</v>
      </c>
      <c r="CD41" s="59">
        <f ca="1">AVERAGE(OFFSET($CC$3,0,0,'Données projet'!$E$12+1,1))-AVERAGE(OFFSET($H$3,0,0,'Données projet'!$E$12+1,1))</f>
        <v>592.58528888957346</v>
      </c>
      <c r="CE41" s="59">
        <f t="shared" si="40"/>
        <v>311.31528017256846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29.65868235165663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29.65868235165663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28.093333333333334</v>
      </c>
      <c r="CT41" s="12">
        <f>IF('Données projet'!$A$140&gt;35,CT40+CS41-DB40,IF(A41&lt;'Données projet'!$A$140,$CQ$205^A41,IF(A41='Données projet'!$A$140,'Données projet'!$B$140,CT40+CS41-DB40)))</f>
        <v>471.99666666666656</v>
      </c>
      <c r="CU41" s="17">
        <f>CT41*VLOOKUP('Données projet'!$B$13,Paramètres!$A$1:$I$89,3,0)*VLOOKUP('Données projet'!$B$13,Paramètres!$A$1:$I$89,5,0)</f>
        <v>263.84613666666661</v>
      </c>
      <c r="CV41" s="13">
        <f t="shared" si="41"/>
        <v>63.541516886809745</v>
      </c>
      <c r="CW41" s="20">
        <f t="shared" si="13"/>
        <v>570.20016327230462</v>
      </c>
      <c r="CX41" s="59">
        <f t="shared" si="14"/>
        <v>816.39175656586337</v>
      </c>
      <c r="CY41" s="59">
        <f ca="1">AVERAGE(OFFSET($CX$3,0,0,'Données projet'!$E$13+1,1))-AVERAGE(OFFSET($H$3,0,0,'Données projet'!$E$13+1,1))</f>
        <v>420.4890915162182</v>
      </c>
      <c r="CZ41" s="59">
        <f t="shared" si="42"/>
        <v>553.48432338023565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33.666128406914005</v>
      </c>
      <c r="DG41" s="21">
        <f>EXP(-LN(2)/25)*DG40+(1-EXP(-LN(2)/25))/(LN(2)/25)*Calculateur!DB41*Calculateur!DD41*VLOOKUP('Données projet'!$B$13,Paramètres!$A$1:$I$89,3,0)*0.475*44/12</f>
        <v>40.511122302221168</v>
      </c>
      <c r="DH41" s="21">
        <f>EXP(-LN(2)/2)*DH40+(1-EXP(-LN(2)/2))/(LN(2)/2)*DB41*DE41*VLOOKUP('Données projet'!$B$13,Paramètres!$A$1:$I$89,3,0)*0.475*44/12</f>
        <v>4.6245033066425759E-2</v>
      </c>
      <c r="DI41" s="22">
        <f t="shared" si="15"/>
        <v>74.223495742201592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12.86166666666667</v>
      </c>
      <c r="DO41" s="12">
        <f>IF('Données projet'!$A$166&gt;35,DO40+DN41-DW40,IF(A41&lt;'Données projet'!$A$166,$DL$205^A41,IF(A41='Données projet'!$A$166,'Données projet'!$B$166,DO40+DN41-DW40)))</f>
        <v>170.29500000000007</v>
      </c>
      <c r="DP41" s="17">
        <f>DO41*VLOOKUP('Données projet'!$B$14,Paramètres!$A$1:$I$89,3,0)*VLOOKUP('Données projet'!$B$14,Paramètres!$A$1:$I$89,5,0)</f>
        <v>183.30553800000007</v>
      </c>
      <c r="DQ41" s="13">
        <f t="shared" si="43"/>
        <v>46.056826779164666</v>
      </c>
      <c r="DR41" s="20">
        <f t="shared" si="16"/>
        <v>399.47278532371189</v>
      </c>
      <c r="DS41" s="59">
        <f t="shared" si="17"/>
        <v>645.66437861727059</v>
      </c>
      <c r="DT41" s="59">
        <f ca="1">AVERAGE(OFFSET($DS$3,0,0,'Données projet'!$E$14+1,1))-AVERAGE(OFFSET($H$3,0,0,'Données projet'!$E$14+1,1))</f>
        <v>659.55755908012691</v>
      </c>
      <c r="DU41" s="59">
        <f t="shared" si="44"/>
        <v>343.96647464823627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33.54834561089028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33.54834561089028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12.86166666666667</v>
      </c>
      <c r="EJ41" s="12">
        <f>IF('Données projet'!$A$192&gt;35,EJ40+EI41-ER40,IF(A41&lt;'Données projet'!$A$192,$EG$205^A41,IF(A41='Données projet'!$A$192,'Données projet'!$B$192,EJ40+EI41-ER40)))</f>
        <v>170.29500000000007</v>
      </c>
      <c r="EK41" s="17">
        <f>EJ41*VLOOKUP('Données projet'!$B$15,Paramètres!$A$1:$I$89,3,0)*VLOOKUP('Données projet'!$B$15,Paramètres!$A$1:$I$89,5,0)</f>
        <v>164.70932400000007</v>
      </c>
      <c r="EL41" s="13">
        <f t="shared" si="45"/>
        <v>41.902916637069239</v>
      </c>
      <c r="EM41" s="20">
        <f t="shared" si="19"/>
        <v>359.84965244289566</v>
      </c>
      <c r="EN41" s="59">
        <f t="shared" si="20"/>
        <v>606.04124573645436</v>
      </c>
      <c r="EO41" s="59">
        <f ca="1">AVERAGE(OFFSET($EN$3,0,0,'Données projet'!$E$15+1,1))-AVERAGE(OFFSET($H$3,0,0,'Données projet'!$E$15+1,1))</f>
        <v>600.96600099541388</v>
      </c>
      <c r="EP41" s="59">
        <f t="shared" si="46"/>
        <v>315.40159257508969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30.14489025906083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30.14489025906083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183.15666666666675</v>
      </c>
      <c r="O42" s="13">
        <f>N42*VLOOKUP('Données projet'!$B$9,Paramètres!$A$1:$I$89,3,0)*VLOOKUP('Données projet'!$B$9,Paramètres!$A$1:$I$89,5,0)</f>
        <v>165.72015200000007</v>
      </c>
      <c r="P42" s="13">
        <f t="shared" si="33"/>
        <v>42.130062193248868</v>
      </c>
      <c r="Q42" s="20">
        <f t="shared" si="53"/>
        <v>362.00578971990859</v>
      </c>
      <c r="R42" s="59">
        <f t="shared" si="0"/>
        <v>609.01518681001573</v>
      </c>
      <c r="S42" s="59">
        <f ca="1">AVERAGE(OFFSET($R$3,0,0,'Données projet'!$E$9+1,1))-AVERAGE(OFFSET($H$3,0,0,'Données projet'!$E$9+1,1))</f>
        <v>567.42635821336114</v>
      </c>
      <c r="T42" s="59">
        <f t="shared" si="34"/>
        <v>299.0473530693472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27.647072680057985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27.647072680057985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13.4</v>
      </c>
      <c r="AI42" s="13">
        <f>IF('Données projet'!$A$62&gt;35,AI41+AH42-AQ41,IF(A42&lt;'Données projet'!$A$62,$AF$205^A42,IF(A42='Données projet'!$A$62,'Données projet'!$B$62,AI41+AH42-AQ41)))</f>
        <v>193.60000000000008</v>
      </c>
      <c r="AJ42" s="13">
        <f>AI42*VLOOKUP('Données projet'!$B$10,Paramètres!$A$1:$I$89,3,0)*VLOOKUP('Données projet'!$B$10,Paramètres!$A$1:$I$89,5,0)</f>
        <v>166.10880000000009</v>
      </c>
      <c r="AK42" s="13">
        <f t="shared" si="35"/>
        <v>42.217353238107833</v>
      </c>
      <c r="AL42" s="20">
        <f t="shared" si="4"/>
        <v>362.83471688970462</v>
      </c>
      <c r="AM42" s="59">
        <f t="shared" si="5"/>
        <v>609.84411397981171</v>
      </c>
      <c r="AN42" s="59">
        <f ca="1">AVERAGE(OFFSET($AM$3,0,0,'Données projet'!$E$10+1,1))-AVERAGE(OFFSET($H$3,0,0,'Données projet'!$E$10+1,1))</f>
        <v>570.05585579662738</v>
      </c>
      <c r="AO42" s="59">
        <f t="shared" si="36"/>
        <v>331.25104323342907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16.25454750604046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16.25454750604046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13.599999999999998</v>
      </c>
      <c r="BD42" s="12">
        <f>IF('Données projet'!$A$88&gt;35,BD41+BC42-BL41,IF(A42&lt;'Données projet'!$A$88,$BA$205^A42,IF(A42='Données projet'!$A$88,'Données projet'!$B$88,BD41+BC42-BL41)))</f>
        <v>150.50999999999996</v>
      </c>
      <c r="BE42" s="13">
        <f>BD42*VLOOKUP('Données projet'!$B$11,Paramètres!$A$1:$I$89,3,0)*VLOOKUP('Données projet'!$B$11,Paramètres!$A$1:$I$89,5,0)</f>
        <v>126.78962399999999</v>
      </c>
      <c r="BF42" s="13">
        <f t="shared" si="37"/>
        <v>33.253459575543594</v>
      </c>
      <c r="BG42" s="20">
        <f t="shared" si="7"/>
        <v>278.74170389407175</v>
      </c>
      <c r="BH42" s="59">
        <f t="shared" si="8"/>
        <v>525.75110098417883</v>
      </c>
      <c r="BI42" s="59">
        <f ca="1">AVERAGE(OFFSET($BH$3,0,0,'Données projet'!$E$11+1,1))-AVERAGE(OFFSET($H$3,0,0,'Données projet'!$E$11+1,1))</f>
        <v>458.88102603650725</v>
      </c>
      <c r="BJ42" s="59">
        <f t="shared" si="38"/>
        <v>277.79020316059552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37.57900182537967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37.57900182537967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12.86166666666667</v>
      </c>
      <c r="BY42" s="12">
        <f>IF('Données projet'!$A$114&gt;35,BY41+BX42-CG41,IF(A42&lt;'Données projet'!$A$114,$BV$205^A42,IF(A42='Données projet'!$A$114,'Données projet'!$B$114,BY41+BX42-CG41)))</f>
        <v>183.15666666666675</v>
      </c>
      <c r="BZ42" s="13">
        <f>BY42*VLOOKUP('Données projet'!$B$12,Paramètres!$A$1:$I$89,3,0)*VLOOKUP('Données projet'!$B$12,Paramètres!$A$1:$I$89,5,0)</f>
        <v>174.2918840000001</v>
      </c>
      <c r="CA42" s="13">
        <f t="shared" si="39"/>
        <v>44.049863537485052</v>
      </c>
      <c r="CB42" s="20">
        <f t="shared" si="10"/>
        <v>380.27854362778663</v>
      </c>
      <c r="CC42" s="59">
        <f t="shared" si="11"/>
        <v>627.28794071789378</v>
      </c>
      <c r="CD42" s="59">
        <f ca="1">AVERAGE(OFFSET($CC$3,0,0,'Données projet'!$E$12+1,1))-AVERAGE(OFFSET($H$3,0,0,'Données projet'!$E$12+1,1))</f>
        <v>592.58528888957346</v>
      </c>
      <c r="CE42" s="59">
        <f t="shared" si="40"/>
        <v>311.31528017256846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29.077093680750636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29.077093680750636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28.093333333333334</v>
      </c>
      <c r="CT42" s="12">
        <f>IF('Données projet'!$A$140&gt;35,CT41+CS42-DB41,IF(A42&lt;'Données projet'!$A$140,$CQ$205^A42,IF(A42='Données projet'!$A$140,'Données projet'!$B$140,CT41+CS42-DB41)))</f>
        <v>500.08999999999992</v>
      </c>
      <c r="CU42" s="17">
        <f>CT42*VLOOKUP('Données projet'!$B$13,Paramètres!$A$1:$I$89,3,0)*VLOOKUP('Données projet'!$B$13,Paramètres!$A$1:$I$89,5,0)</f>
        <v>279.55030999999997</v>
      </c>
      <c r="CV42" s="13">
        <f t="shared" si="41"/>
        <v>66.871967568934934</v>
      </c>
      <c r="CW42" s="20">
        <f t="shared" si="13"/>
        <v>603.35213343256157</v>
      </c>
      <c r="CX42" s="59">
        <f t="shared" si="14"/>
        <v>850.36153052266866</v>
      </c>
      <c r="CY42" s="59">
        <f ca="1">AVERAGE(OFFSET($CX$3,0,0,'Données projet'!$E$13+1,1))-AVERAGE(OFFSET($H$3,0,0,'Données projet'!$E$13+1,1))</f>
        <v>420.4890915162182</v>
      </c>
      <c r="CZ42" s="59">
        <f t="shared" si="42"/>
        <v>553.48432338023565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33.005956163165152</v>
      </c>
      <c r="DG42" s="21">
        <f>EXP(-LN(2)/25)*DG41+(1-EXP(-LN(2)/25))/(LN(2)/25)*Calculateur!DB42*Calculateur!DD42*VLOOKUP('Données projet'!$B$13,Paramètres!$A$1:$I$89,3,0)*0.475*44/12</f>
        <v>39.403343532479596</v>
      </c>
      <c r="DH42" s="21">
        <f>EXP(-LN(2)/2)*DH41+(1-EXP(-LN(2)/2))/(LN(2)/2)*DB42*DE42*VLOOKUP('Données projet'!$B$13,Paramètres!$A$1:$I$89,3,0)*0.475*44/12</f>
        <v>3.2700176477465773E-2</v>
      </c>
      <c r="DI42" s="22">
        <f t="shared" si="15"/>
        <v>72.44199987212221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12.86166666666667</v>
      </c>
      <c r="DO42" s="12">
        <f>IF('Données projet'!$A$166&gt;35,DO41+DN42-DW41,IF(A42&lt;'Données projet'!$A$166,$DL$205^A42,IF(A42='Données projet'!$A$166,'Données projet'!$B$166,DO41+DN42-DW41)))</f>
        <v>183.15666666666675</v>
      </c>
      <c r="DP42" s="17">
        <f>DO42*VLOOKUP('Données projet'!$B$14,Paramètres!$A$1:$I$89,3,0)*VLOOKUP('Données projet'!$B$14,Paramètres!$A$1:$I$89,5,0)</f>
        <v>197.14983600000008</v>
      </c>
      <c r="DQ42" s="13">
        <f t="shared" si="43"/>
        <v>49.117265650030859</v>
      </c>
      <c r="DR42" s="20">
        <f t="shared" si="16"/>
        <v>428.9152020404706</v>
      </c>
      <c r="DS42" s="59">
        <f t="shared" si="17"/>
        <v>675.92459913057769</v>
      </c>
      <c r="DT42" s="59">
        <f ca="1">AVERAGE(OFFSET($DS$3,0,0,'Données projet'!$E$14+1,1))-AVERAGE(OFFSET($H$3,0,0,'Données projet'!$E$14+1,1))</f>
        <v>659.55755908012691</v>
      </c>
      <c r="DU42" s="59">
        <f t="shared" si="44"/>
        <v>343.96647464823627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32.890483015931046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32.890483015931046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12.86166666666667</v>
      </c>
      <c r="EJ42" s="12">
        <f>IF('Données projet'!$A$192&gt;35,EJ41+EI42-ER41,IF(A42&lt;'Données projet'!$A$192,$EG$205^A42,IF(A42='Données projet'!$A$192,'Données projet'!$B$192,EJ41+EI42-ER41)))</f>
        <v>183.15666666666675</v>
      </c>
      <c r="EK42" s="17">
        <f>EJ42*VLOOKUP('Données projet'!$B$15,Paramètres!$A$1:$I$89,3,0)*VLOOKUP('Données projet'!$B$15,Paramètres!$A$1:$I$89,5,0)</f>
        <v>177.14912800000008</v>
      </c>
      <c r="EL42" s="13">
        <f t="shared" si="45"/>
        <v>44.687331540285413</v>
      </c>
      <c r="EM42" s="20">
        <f t="shared" si="19"/>
        <v>386.36516703266392</v>
      </c>
      <c r="EN42" s="59">
        <f t="shared" si="20"/>
        <v>633.37456412277106</v>
      </c>
      <c r="EO42" s="59">
        <f ca="1">AVERAGE(OFFSET($EN$3,0,0,'Données projet'!$E$15+1,1))-AVERAGE(OFFSET($H$3,0,0,'Données projet'!$E$15+1,1))</f>
        <v>600.96600099541388</v>
      </c>
      <c r="EP42" s="59">
        <f t="shared" si="46"/>
        <v>315.40159257508969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29.553767347648183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29.553767347648183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196.01833333333343</v>
      </c>
      <c r="O43" s="13">
        <f>N43*VLOOKUP('Données projet'!$B$9,Paramètres!$A$1:$I$89,3,0)*VLOOKUP('Données projet'!$B$9,Paramètres!$A$1:$I$89,5,0)</f>
        <v>177.35738800000007</v>
      </c>
      <c r="P43" s="13">
        <f t="shared" si="33"/>
        <v>44.733748562033469</v>
      </c>
      <c r="Q43" s="20">
        <f t="shared" si="53"/>
        <v>386.8087295122084</v>
      </c>
      <c r="R43" s="59">
        <f t="shared" si="0"/>
        <v>634.62174333132918</v>
      </c>
      <c r="S43" s="59">
        <f ca="1">AVERAGE(OFFSET($R$3,0,0,'Données projet'!$E$9+1,1))-AVERAGE(OFFSET($H$3,0,0,'Données projet'!$E$9+1,1))</f>
        <v>567.42635821336114</v>
      </c>
      <c r="T43" s="59">
        <f t="shared" si="34"/>
        <v>299.0473530693472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27.104930447851295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27.104930447851295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207</v>
      </c>
      <c r="AG43" s="12">
        <f>VLOOKUP(A43,'Données projet'!$A$61:$I$81,9,0)</f>
        <v>13.4</v>
      </c>
      <c r="AH43" s="12">
        <f t="array" ref="AH43">INDEX(AG:AG,MIN(IF(ISNUMBER(AG43:AG239),ROW(AG43:AG239),"")))</f>
        <v>13.4</v>
      </c>
      <c r="AI43" s="13">
        <f>IF('Données projet'!$A$62&gt;35,AI42+AH43-AQ42,IF(A43&lt;'Données projet'!$A$62,$AF$205^A43,IF(A43='Données projet'!$A$62,'Données projet'!$B$62,AI42+AH43-AQ42)))</f>
        <v>207.00000000000009</v>
      </c>
      <c r="AJ43" s="13">
        <f>AI43*VLOOKUP('Données projet'!$B$10,Paramètres!$A$1:$I$89,3,0)*VLOOKUP('Données projet'!$B$10,Paramètres!$A$1:$I$89,5,0)</f>
        <v>177.60600000000008</v>
      </c>
      <c r="AK43" s="13">
        <f t="shared" si="35"/>
        <v>44.789150937858665</v>
      </c>
      <c r="AL43" s="20">
        <f t="shared" si="4"/>
        <v>387.33822121677059</v>
      </c>
      <c r="AM43" s="59">
        <f t="shared" si="5"/>
        <v>635.15123503589143</v>
      </c>
      <c r="AN43" s="59">
        <f ca="1">AVERAGE(OFFSET($AM$3,0,0,'Données projet'!$E$10+1,1))-AVERAGE(OFFSET($H$3,0,0,'Données projet'!$E$10+1,1))</f>
        <v>570.05585579662738</v>
      </c>
      <c r="AO43" s="59">
        <f t="shared" si="36"/>
        <v>331.25104323342907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0.53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33.530361757350519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33.530361757350519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13.599999999999998</v>
      </c>
      <c r="BD43" s="12">
        <f>IF('Données projet'!$A$88&gt;35,BD42+BC43-BL42,IF(A43&lt;'Données projet'!$A$88,$BA$205^A43,IF(A43='Données projet'!$A$88,'Données projet'!$B$88,BD42+BC43-BL42)))</f>
        <v>164.10999999999996</v>
      </c>
      <c r="BE43" s="13">
        <f>BD43*VLOOKUP('Données projet'!$B$11,Paramètres!$A$1:$I$89,3,0)*VLOOKUP('Données projet'!$B$11,Paramètres!$A$1:$I$89,5,0)</f>
        <v>138.24626399999997</v>
      </c>
      <c r="BF43" s="13">
        <f t="shared" si="37"/>
        <v>35.894954927995002</v>
      </c>
      <c r="BG43" s="20">
        <f t="shared" si="7"/>
        <v>303.29595629959118</v>
      </c>
      <c r="BH43" s="59">
        <f t="shared" si="8"/>
        <v>551.10897011871202</v>
      </c>
      <c r="BI43" s="59">
        <f ca="1">AVERAGE(OFFSET($BH$3,0,0,'Données projet'!$E$11+1,1))-AVERAGE(OFFSET($H$3,0,0,'Données projet'!$E$11+1,1))</f>
        <v>458.88102603650725</v>
      </c>
      <c r="BJ43" s="59">
        <f t="shared" si="38"/>
        <v>277.79020316059552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36.842100520511835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36.842100520511835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12.86166666666667</v>
      </c>
      <c r="BY43" s="12">
        <f>IF('Données projet'!$A$114&gt;35,BY42+BX43-CG42,IF(A43&lt;'Données projet'!$A$114,$BV$205^A43,IF(A43='Données projet'!$A$114,'Données projet'!$B$114,BY42+BX43-CG42)))</f>
        <v>196.01833333333343</v>
      </c>
      <c r="BZ43" s="13">
        <f>BY43*VLOOKUP('Données projet'!$B$12,Paramètres!$A$1:$I$89,3,0)*VLOOKUP('Données projet'!$B$12,Paramètres!$A$1:$I$89,5,0)</f>
        <v>186.53104600000009</v>
      </c>
      <c r="CA43" s="13">
        <f t="shared" si="39"/>
        <v>46.772195840563178</v>
      </c>
      <c r="CB43" s="20">
        <f t="shared" si="10"/>
        <v>406.336479538981</v>
      </c>
      <c r="CC43" s="59">
        <f t="shared" si="11"/>
        <v>654.14949335810184</v>
      </c>
      <c r="CD43" s="59">
        <f ca="1">AVERAGE(OFFSET($CC$3,0,0,'Données projet'!$E$12+1,1))-AVERAGE(OFFSET($H$3,0,0,'Données projet'!$E$12+1,1))</f>
        <v>592.58528888957346</v>
      </c>
      <c r="CE43" s="59">
        <f t="shared" si="40"/>
        <v>311.31528017256846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28.506909608947048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28.506909608947048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28.093333333333334</v>
      </c>
      <c r="CT43" s="12">
        <f>IF('Données projet'!$A$140&gt;35,CT42+CS43-DB42,IF(A43&lt;'Données projet'!$A$140,$CQ$205^A43,IF(A43='Données projet'!$A$140,'Données projet'!$B$140,CT42+CS43-DB42)))</f>
        <v>528.18333333333328</v>
      </c>
      <c r="CU43" s="17">
        <f>CT43*VLOOKUP('Données projet'!$B$13,Paramètres!$A$1:$I$89,3,0)*VLOOKUP('Données projet'!$B$13,Paramètres!$A$1:$I$89,5,0)</f>
        <v>295.25448333333333</v>
      </c>
      <c r="CV43" s="13">
        <f t="shared" si="41"/>
        <v>70.180699585942122</v>
      </c>
      <c r="CW43" s="20">
        <f t="shared" si="13"/>
        <v>636.46627691773801</v>
      </c>
      <c r="CX43" s="59">
        <f t="shared" si="14"/>
        <v>884.2792907368588</v>
      </c>
      <c r="CY43" s="59">
        <f ca="1">AVERAGE(OFFSET($CX$3,0,0,'Données projet'!$E$13+1,1))-AVERAGE(OFFSET($H$3,0,0,'Données projet'!$E$13+1,1))</f>
        <v>420.4890915162182</v>
      </c>
      <c r="CZ43" s="59">
        <f t="shared" si="42"/>
        <v>553.48432338023565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32.358729494450905</v>
      </c>
      <c r="DG43" s="21">
        <f>EXP(-LN(2)/25)*DG42+(1-EXP(-LN(2)/25))/(LN(2)/25)*Calculateur!DB43*Calculateur!DD43*VLOOKUP('Données projet'!$B$13,Paramètres!$A$1:$I$89,3,0)*0.475*44/12</f>
        <v>38.325857031452159</v>
      </c>
      <c r="DH43" s="21">
        <f>EXP(-LN(2)/2)*DH42+(1-EXP(-LN(2)/2))/(LN(2)/2)*DB43*DE43*VLOOKUP('Données projet'!$B$13,Paramètres!$A$1:$I$89,3,0)*0.475*44/12</f>
        <v>2.3122516533212879E-2</v>
      </c>
      <c r="DI43" s="22">
        <f t="shared" si="15"/>
        <v>70.707709042436264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12.86166666666667</v>
      </c>
      <c r="DO43" s="12">
        <f>IF('Données projet'!$A$166&gt;35,DO42+DN43-DW42,IF(A43&lt;'Données projet'!$A$166,$DL$205^A43,IF(A43='Données projet'!$A$166,'Données projet'!$B$166,DO42+DN43-DW42)))</f>
        <v>196.01833333333343</v>
      </c>
      <c r="DP43" s="17">
        <f>DO43*VLOOKUP('Données projet'!$B$14,Paramètres!$A$1:$I$89,3,0)*VLOOKUP('Données projet'!$B$14,Paramètres!$A$1:$I$89,5,0)</f>
        <v>210.99413400000009</v>
      </c>
      <c r="DQ43" s="13">
        <f t="shared" si="43"/>
        <v>52.15276924027836</v>
      </c>
      <c r="DR43" s="20">
        <f t="shared" si="16"/>
        <v>458.31418981015162</v>
      </c>
      <c r="DS43" s="59">
        <f t="shared" si="17"/>
        <v>706.12720362927246</v>
      </c>
      <c r="DT43" s="59">
        <f ca="1">AVERAGE(OFFSET($DS$3,0,0,'Données projet'!$E$14+1,1))-AVERAGE(OFFSET($H$3,0,0,'Données projet'!$E$14+1,1))</f>
        <v>659.55755908012691</v>
      </c>
      <c r="DU43" s="59">
        <f t="shared" si="44"/>
        <v>343.96647464823627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32.245520705202395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32.245520705202395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12.86166666666667</v>
      </c>
      <c r="EJ43" s="12">
        <f>IF('Données projet'!$A$192&gt;35,EJ42+EI43-ER42,IF(A43&lt;'Données projet'!$A$192,$EG$205^A43,IF(A43='Données projet'!$A$192,'Données projet'!$B$192,EJ42+EI43-ER42)))</f>
        <v>196.01833333333343</v>
      </c>
      <c r="EK43" s="17">
        <f>EJ43*VLOOKUP('Données projet'!$B$15,Paramètres!$A$1:$I$89,3,0)*VLOOKUP('Données projet'!$B$15,Paramètres!$A$1:$I$89,5,0)</f>
        <v>189.58893200000011</v>
      </c>
      <c r="EL43" s="13">
        <f t="shared" si="45"/>
        <v>47.44906010016981</v>
      </c>
      <c r="EM43" s="20">
        <f t="shared" si="19"/>
        <v>412.84116957446264</v>
      </c>
      <c r="EN43" s="59">
        <f t="shared" si="20"/>
        <v>660.65418339358348</v>
      </c>
      <c r="EO43" s="59">
        <f ca="1">AVERAGE(OFFSET($EN$3,0,0,'Données projet'!$E$15+1,1))-AVERAGE(OFFSET($H$3,0,0,'Données projet'!$E$15+1,1))</f>
        <v>600.96600099541388</v>
      </c>
      <c r="EP43" s="59">
        <f t="shared" si="46"/>
        <v>315.40159257508969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28.974235995978962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28.974235995978962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208.88000000000011</v>
      </c>
      <c r="O44" s="13">
        <f>N44*VLOOKUP('Données projet'!$B$9,Paramètres!$A$1:$I$89,3,0)*VLOOKUP('Données projet'!$B$9,Paramètres!$A$1:$I$89,5,0)</f>
        <v>188.9946240000001</v>
      </c>
      <c r="P44" s="13">
        <f t="shared" si="33"/>
        <v>47.317609904825126</v>
      </c>
      <c r="Q44" s="20">
        <f t="shared" si="53"/>
        <v>411.57714071757056</v>
      </c>
      <c r="R44" s="59">
        <f t="shared" si="0"/>
        <v>660.1798303120745</v>
      </c>
      <c r="S44" s="59">
        <f ca="1">AVERAGE(OFFSET($R$3,0,0,'Données projet'!$E$9+1,1))-AVERAGE(OFFSET($H$3,0,0,'Données projet'!$E$9+1,1))</f>
        <v>567.42635821336114</v>
      </c>
      <c r="T44" s="59">
        <f t="shared" si="34"/>
        <v>299.0473530693472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46.964399976421092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46.964399976421092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</v>
      </c>
      <c r="AI44" s="13">
        <f>IF('Données projet'!$A$62&gt;35,AI43+AH44-AQ43,IF(A44&lt;'Données projet'!$A$62,$AF$205^A44,IF(A44='Données projet'!$A$62,'Données projet'!$B$62,AI43+AH44-AQ43)))</f>
        <v>185.8000000000001</v>
      </c>
      <c r="AJ44" s="13">
        <f>AI44*VLOOKUP('Données projet'!$B$10,Paramètres!$A$1:$I$89,3,0)*VLOOKUP('Données projet'!$B$10,Paramètres!$A$1:$I$89,5,0)</f>
        <v>159.4164000000001</v>
      </c>
      <c r="AK44" s="13">
        <f t="shared" si="35"/>
        <v>40.710854816108295</v>
      </c>
      <c r="AL44" s="20">
        <f t="shared" si="4"/>
        <v>348.55496880472214</v>
      </c>
      <c r="AM44" s="59">
        <f t="shared" si="5"/>
        <v>597.15765839922608</v>
      </c>
      <c r="AN44" s="59">
        <f ca="1">AVERAGE(OFFSET($AM$3,0,0,'Données projet'!$E$10+1,1))-AVERAGE(OFFSET($H$3,0,0,'Données projet'!$E$10+1,1))</f>
        <v>570.05585579662738</v>
      </c>
      <c r="AO44" s="59">
        <f t="shared" si="36"/>
        <v>331.25104323342907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32.872851814790131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32.872851814790131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13.599999999999998</v>
      </c>
      <c r="BD44" s="12">
        <f>IF('Données projet'!$A$88&gt;35,BD43+BC44-BL43,IF(A44&lt;'Données projet'!$A$88,$BA$205^A44,IF(A44='Données projet'!$A$88,'Données projet'!$B$88,BD43+BC44-BL43)))</f>
        <v>177.70999999999995</v>
      </c>
      <c r="BE44" s="13">
        <f>BD44*VLOOKUP('Données projet'!$B$11,Paramètres!$A$1:$I$89,3,0)*VLOOKUP('Données projet'!$B$11,Paramètres!$A$1:$I$89,5,0)</f>
        <v>149.70290399999996</v>
      </c>
      <c r="BF44" s="13">
        <f t="shared" si="37"/>
        <v>38.511061700218832</v>
      </c>
      <c r="BG44" s="20">
        <f t="shared" si="7"/>
        <v>327.80599026121445</v>
      </c>
      <c r="BH44" s="59">
        <f t="shared" si="8"/>
        <v>576.40867985571845</v>
      </c>
      <c r="BI44" s="59">
        <f ca="1">AVERAGE(OFFSET($BH$3,0,0,'Données projet'!$E$11+1,1))-AVERAGE(OFFSET($H$3,0,0,'Données projet'!$E$11+1,1))</f>
        <v>458.88102603650725</v>
      </c>
      <c r="BJ44" s="59">
        <f t="shared" si="38"/>
        <v>277.79020316059552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36.119649400767045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36.119649400767045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208.88</v>
      </c>
      <c r="BW44" s="12">
        <f>VLOOKUP(A44,'Données projet'!$A$113:$I$133,9,0)</f>
        <v>12.86166666666667</v>
      </c>
      <c r="BX44" s="12">
        <f t="array" ref="BX44">INDEX(BW:BW,MIN(IF(ISNUMBER(BW44:BW240),ROW(BW44:BW240),"")))</f>
        <v>12.86166666666667</v>
      </c>
      <c r="BY44" s="12">
        <f>IF('Données projet'!$A$114&gt;35,BY43+BX44-CG43,IF(A44&lt;'Données projet'!$A$114,$BV$205^A44,IF(A44='Données projet'!$A$114,'Données projet'!$B$114,BY43+BX44-CG43)))</f>
        <v>208.88000000000011</v>
      </c>
      <c r="BZ44" s="13">
        <f>BY44*VLOOKUP('Données projet'!$B$12,Paramètres!$A$1:$I$89,3,0)*VLOOKUP('Données projet'!$B$12,Paramètres!$A$1:$I$89,5,0)</f>
        <v>198.77020800000011</v>
      </c>
      <c r="CA44" s="13">
        <f t="shared" si="39"/>
        <v>49.473799722078354</v>
      </c>
      <c r="CB44" s="20">
        <f t="shared" si="10"/>
        <v>432.35831344928664</v>
      </c>
      <c r="CC44" s="59">
        <f t="shared" si="11"/>
        <v>680.96100304379058</v>
      </c>
      <c r="CD44" s="59">
        <f ca="1">AVERAGE(OFFSET($CC$3,0,0,'Données projet'!$E$12+1,1))-AVERAGE(OFFSET($H$3,0,0,'Données projet'!$E$12+1,1))</f>
        <v>592.58528888957346</v>
      </c>
      <c r="CE44" s="59">
        <f t="shared" si="40"/>
        <v>311.31528017256846</v>
      </c>
      <c r="CF44" s="15">
        <f>IF(ISNA(VLOOKUP(A44,'Données projet'!$A$113:$I$133,3,0)),0,VLOOKUP(A44,'Données projet'!$A$113:$I$133,3,0))</f>
        <v>2</v>
      </c>
      <c r="CG44" s="15">
        <f>IF(ISNA(VLOOKUP(A44,'Données projet'!$A$113:$I$133,4,0)),0,VLOOKUP(A44,'Données projet'!$A$113:$I$133,4,0))</f>
        <v>47.41</v>
      </c>
      <c r="CH44" s="16">
        <f>IF(ISNA(VLOOKUP(A44,'Données projet'!$A$113:$I$133,5,0)),0%,VLOOKUP(A44,'Données projet'!$A$113:$I$133,5,0)*VLOOKUP('Données projet'!$B$12,Paramètres!$A$1:$I$89,7,0))</f>
        <v>0.43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49.393593078649772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49.393593078649772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28.093333333333334</v>
      </c>
      <c r="CT44" s="12">
        <f>IF('Données projet'!$A$140&gt;35,CT43+CS44-DB43,IF(A44&lt;'Données projet'!$A$140,$CQ$205^A44,IF(A44='Données projet'!$A$140,'Données projet'!$B$140,CT43+CS44-DB43)))</f>
        <v>556.27666666666664</v>
      </c>
      <c r="CU44" s="17">
        <f>CT44*VLOOKUP('Données projet'!$B$13,Paramètres!$A$1:$I$89,3,0)*VLOOKUP('Données projet'!$B$13,Paramètres!$A$1:$I$89,5,0)</f>
        <v>310.95865666666663</v>
      </c>
      <c r="CV44" s="13">
        <f t="shared" si="41"/>
        <v>73.468999847738303</v>
      </c>
      <c r="CW44" s="20">
        <f t="shared" si="13"/>
        <v>669.54483509592194</v>
      </c>
      <c r="CX44" s="59">
        <f t="shared" si="14"/>
        <v>918.14752469042594</v>
      </c>
      <c r="CY44" s="59">
        <f ca="1">AVERAGE(OFFSET($CX$3,0,0,'Données projet'!$E$13+1,1))-AVERAGE(OFFSET($H$3,0,0,'Données projet'!$E$13+1,1))</f>
        <v>420.4890915162182</v>
      </c>
      <c r="CZ44" s="59">
        <f t="shared" si="42"/>
        <v>553.48432338023565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31.724194545940861</v>
      </c>
      <c r="DG44" s="21">
        <f>EXP(-LN(2)/25)*DG43+(1-EXP(-LN(2)/25))/(LN(2)/25)*Calculateur!DB44*Calculateur!DD44*VLOOKUP('Données projet'!$B$13,Paramètres!$A$1:$I$89,3,0)*0.475*44/12</f>
        <v>37.277834455457871</v>
      </c>
      <c r="DH44" s="21">
        <f>EXP(-LN(2)/2)*DH43+(1-EXP(-LN(2)/2))/(LN(2)/2)*DB44*DE44*VLOOKUP('Données projet'!$B$13,Paramètres!$A$1:$I$89,3,0)*0.475*44/12</f>
        <v>1.6350088238732886E-2</v>
      </c>
      <c r="DI44" s="22">
        <f t="shared" si="15"/>
        <v>69.018379089637477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>
        <f>VLOOKUP(A44,'Données projet'!$A$165:$I$185,2,0)</f>
        <v>208.88</v>
      </c>
      <c r="DM44" s="12">
        <f>VLOOKUP(A44,'Données projet'!$A$165:$I$185,9,0)</f>
        <v>12.86166666666667</v>
      </c>
      <c r="DN44" s="12">
        <f t="array" ref="DN44">INDEX(DM:DM,MIN(IF(ISNUMBER(DM44:DM240),ROW(DM44:DM240),"")))</f>
        <v>12.86166666666667</v>
      </c>
      <c r="DO44" s="12">
        <f>IF('Données projet'!$A$166&gt;35,DO43+DN44-DW43,IF(A44&lt;'Données projet'!$A$166,$DL$205^A44,IF(A44='Données projet'!$A$166,'Données projet'!$B$166,DO43+DN44-DW43)))</f>
        <v>208.88000000000011</v>
      </c>
      <c r="DP44" s="17">
        <f>DO44*VLOOKUP('Données projet'!$B$14,Paramètres!$A$1:$I$89,3,0)*VLOOKUP('Données projet'!$B$14,Paramètres!$A$1:$I$89,5,0)</f>
        <v>224.83843200000013</v>
      </c>
      <c r="DQ44" s="13">
        <f t="shared" si="43"/>
        <v>55.165159855668485</v>
      </c>
      <c r="DR44" s="20">
        <f t="shared" si="16"/>
        <v>487.67292248195616</v>
      </c>
      <c r="DS44" s="59">
        <f t="shared" si="17"/>
        <v>736.27561207646011</v>
      </c>
      <c r="DT44" s="59">
        <f ca="1">AVERAGE(OFFSET($DS$3,0,0,'Données projet'!$E$14+1,1))-AVERAGE(OFFSET($H$3,0,0,'Données projet'!$E$14+1,1))</f>
        <v>659.55755908012691</v>
      </c>
      <c r="DU44" s="59">
        <f t="shared" si="44"/>
        <v>343.96647464823627</v>
      </c>
      <c r="DV44" s="15">
        <f>IF(ISNA(VLOOKUP(A44,'Données projet'!$A$165:$I$185,3,0)),0,VLOOKUP(A44,'Données projet'!$A$165:$I$185,3,0))</f>
        <v>2</v>
      </c>
      <c r="DW44" s="15">
        <f>IF(ISNA(VLOOKUP(A44,'Données projet'!$A$165:$I$185,4,0)),0,VLOOKUP(A44,'Données projet'!$A$165:$I$185,4,0))</f>
        <v>47.41</v>
      </c>
      <c r="DX44" s="16">
        <f>IF(ISNA(VLOOKUP(A44,'Données projet'!$A$165:$I$185,5,0)),0%,VLOOKUP(A44,'Données projet'!$A$165:$I$185,5,0)*VLOOKUP('Données projet'!$B$14,Paramètres!$A$1:$I$89,7,0))</f>
        <v>0.43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55.871441351259577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55.871441351259577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>
        <f>VLOOKUP(A44,'Données projet'!$A$191:$I$211,2,0)</f>
        <v>208.88</v>
      </c>
      <c r="EH44" s="12">
        <f>VLOOKUP(A44,'Données projet'!$A$191:$I$211,9,0)</f>
        <v>12.86166666666667</v>
      </c>
      <c r="EI44" s="12">
        <f t="array" ref="EI44">INDEX(EH:EH,MIN(IF(ISNUMBER(EH44:EH240),ROW(EH44:EH240),"")))</f>
        <v>12.86166666666667</v>
      </c>
      <c r="EJ44" s="12">
        <f>IF('Données projet'!$A$192&gt;35,EJ43+EI44-ER43,IF(A44&lt;'Données projet'!$A$192,$EG$205^A44,IF(A44='Données projet'!$A$192,'Données projet'!$B$192,EJ43+EI44-ER43)))</f>
        <v>208.88000000000011</v>
      </c>
      <c r="EK44" s="17">
        <f>EJ44*VLOOKUP('Données projet'!$B$15,Paramètres!$A$1:$I$89,3,0)*VLOOKUP('Données projet'!$B$15,Paramètres!$A$1:$I$89,5,0)</f>
        <v>202.02873600000012</v>
      </c>
      <c r="EL44" s="13">
        <f t="shared" si="45"/>
        <v>50.189760266949065</v>
      </c>
      <c r="EM44" s="20">
        <f t="shared" si="19"/>
        <v>439.28054766493648</v>
      </c>
      <c r="EN44" s="59">
        <f t="shared" si="20"/>
        <v>687.88323725944042</v>
      </c>
      <c r="EO44" s="59">
        <f ca="1">AVERAGE(OFFSET($EN$3,0,0,'Données projet'!$E$15+1,1))-AVERAGE(OFFSET($H$3,0,0,'Données projet'!$E$15+1,1))</f>
        <v>600.96600099541388</v>
      </c>
      <c r="EP44" s="59">
        <f t="shared" si="46"/>
        <v>315.40159257508969</v>
      </c>
      <c r="EQ44" s="15">
        <f>IF(ISNA(VLOOKUP(A44,'Données projet'!$A$191:$I$211,3,0)),0,VLOOKUP(A44,'Données projet'!$A$191:$I$211,3,0))</f>
        <v>2</v>
      </c>
      <c r="ER44" s="15">
        <f>IF(ISNA(VLOOKUP(A44,'Données projet'!$A$191:$I$211,4,0)),0,VLOOKUP(A44,'Données projet'!$A$191:$I$211,4,0))</f>
        <v>47.41</v>
      </c>
      <c r="ES44" s="16">
        <f>IF(ISNA(VLOOKUP(A44,'Données projet'!$A$191:$I$211,5,0)),0%,VLOOKUP(A44,'Données projet'!$A$191:$I$211,5,0)*VLOOKUP('Données projet'!$B$15,Paramètres!$A$1:$I$89,7,0))</f>
        <v>0.43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50.203324112725994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50.203324112725994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174.53000000000011</v>
      </c>
      <c r="O45" s="13">
        <f>N45*VLOOKUP('Données projet'!$B$9,Paramètres!$A$1:$I$89,3,0)*VLOOKUP('Données projet'!$B$9,Paramètres!$A$1:$I$89,5,0)</f>
        <v>157.9147440000001</v>
      </c>
      <c r="P45" s="13">
        <f t="shared" si="33"/>
        <v>40.371821598059007</v>
      </c>
      <c r="Q45" s="20">
        <f t="shared" si="53"/>
        <v>345.34910174995292</v>
      </c>
      <c r="R45" s="59">
        <f t="shared" si="0"/>
        <v>594.72776801058762</v>
      </c>
      <c r="S45" s="59">
        <f ca="1">AVERAGE(OFFSET($R$3,0,0,'Données projet'!$E$9+1,1))-AVERAGE(OFFSET($H$3,0,0,'Données projet'!$E$9+1,1))</f>
        <v>567.42635821336114</v>
      </c>
      <c r="T45" s="59">
        <f t="shared" si="34"/>
        <v>299.0473530693472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46.043456738338953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46.043456738338953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13.8</v>
      </c>
      <c r="AI45" s="13">
        <f>IF('Données projet'!$A$62&gt;35,AI44+AH45-AQ44,IF(A45&lt;'Données projet'!$A$62,$AF$205^A45,IF(A45='Données projet'!$A$62,'Données projet'!$B$62,AI44+AH45-AQ44)))</f>
        <v>199.60000000000011</v>
      </c>
      <c r="AJ45" s="13">
        <f>AI45*VLOOKUP('Données projet'!$B$10,Paramètres!$A$1:$I$89,3,0)*VLOOKUP('Données projet'!$B$10,Paramètres!$A$1:$I$89,5,0)</f>
        <v>171.25680000000011</v>
      </c>
      <c r="AK45" s="13">
        <f t="shared" si="35"/>
        <v>43.371384196183378</v>
      </c>
      <c r="AL45" s="20">
        <f t="shared" si="4"/>
        <v>373.81075414168623</v>
      </c>
      <c r="AM45" s="59">
        <f t="shared" si="5"/>
        <v>623.18942040232093</v>
      </c>
      <c r="AN45" s="59">
        <f ca="1">AVERAGE(OFFSET($AM$3,0,0,'Données projet'!$E$10+1,1))-AVERAGE(OFFSET($H$3,0,0,'Données projet'!$E$10+1,1))</f>
        <v>570.05585579662738</v>
      </c>
      <c r="AO45" s="59">
        <f t="shared" si="36"/>
        <v>331.25104323342907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32.228235241161883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32.228235241161883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13.599999999999998</v>
      </c>
      <c r="BD45" s="12">
        <f>IF('Données projet'!$A$88&gt;35,BD44+BC45-BL44,IF(A45&lt;'Données projet'!$A$88,$BA$205^A45,IF(A45='Données projet'!$A$88,'Données projet'!$B$88,BD44+BC45-BL44)))</f>
        <v>191.30999999999995</v>
      </c>
      <c r="BE45" s="13">
        <f>BD45*VLOOKUP('Données projet'!$B$11,Paramètres!$A$1:$I$89,3,0)*VLOOKUP('Données projet'!$B$11,Paramètres!$A$1:$I$89,5,0)</f>
        <v>161.15954399999995</v>
      </c>
      <c r="BF45" s="13">
        <f t="shared" si="37"/>
        <v>41.103943776196729</v>
      </c>
      <c r="BG45" s="20">
        <f t="shared" si="7"/>
        <v>352.27557454354252</v>
      </c>
      <c r="BH45" s="59">
        <f t="shared" si="8"/>
        <v>601.65424080417722</v>
      </c>
      <c r="BI45" s="59">
        <f ca="1">AVERAGE(OFFSET($BH$3,0,0,'Données projet'!$E$11+1,1))-AVERAGE(OFFSET($H$3,0,0,'Données projet'!$E$11+1,1))</f>
        <v>458.88102603650725</v>
      </c>
      <c r="BJ45" s="59">
        <f t="shared" si="38"/>
        <v>277.79020316059552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35.411365106828775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35.411365106828775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13.059999999999999</v>
      </c>
      <c r="BY45" s="12">
        <f>IF('Données projet'!$A$114&gt;35,BY44+BX45-CG44,IF(A45&lt;'Données projet'!$A$114,$BV$205^A45,IF(A45='Données projet'!$A$114,'Données projet'!$B$114,BY44+BX45-CG44)))</f>
        <v>174.53000000000011</v>
      </c>
      <c r="BZ45" s="13">
        <f>BY45*VLOOKUP('Données projet'!$B$12,Paramètres!$A$1:$I$89,3,0)*VLOOKUP('Données projet'!$B$12,Paramètres!$A$1:$I$89,5,0)</f>
        <v>166.08274800000009</v>
      </c>
      <c r="CA45" s="13">
        <f t="shared" si="39"/>
        <v>42.211502655677691</v>
      </c>
      <c r="CB45" s="20">
        <f t="shared" si="10"/>
        <v>362.77915322530544</v>
      </c>
      <c r="CC45" s="59">
        <f t="shared" si="11"/>
        <v>612.15781948594019</v>
      </c>
      <c r="CD45" s="59">
        <f ca="1">AVERAGE(OFFSET($CC$3,0,0,'Données projet'!$E$12+1,1))-AVERAGE(OFFSET($H$3,0,0,'Données projet'!$E$12+1,1))</f>
        <v>592.58528888957346</v>
      </c>
      <c r="CE45" s="59">
        <f t="shared" si="40"/>
        <v>311.31528017256846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48.425014845494424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48.425014845494424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584.37</v>
      </c>
      <c r="CR45" s="12">
        <f>VLOOKUP(A45,'Données projet'!$A$139:$I$159,9,0)</f>
        <v>28.093333333333334</v>
      </c>
      <c r="CS45" s="12">
        <f t="array" ref="CS45">INDEX(CR:CR,MIN(IF(ISNUMBER(CR45:CR241),ROW(CR45:CR241),"")))</f>
        <v>28.093333333333334</v>
      </c>
      <c r="CT45" s="12">
        <f>IF('Données projet'!$A$140&gt;35,CT44+CS45-DB44,IF(A45&lt;'Données projet'!$A$140,$CQ$205^A45,IF(A45='Données projet'!$A$140,'Données projet'!$B$140,CT44+CS45-DB44)))</f>
        <v>584.37</v>
      </c>
      <c r="CU45" s="17">
        <f>CT45*VLOOKUP('Données projet'!$B$13,Paramètres!$A$1:$I$89,3,0)*VLOOKUP('Données projet'!$B$13,Paramètres!$A$1:$I$89,5,0)</f>
        <v>326.66282999999999</v>
      </c>
      <c r="CV45" s="13">
        <f t="shared" si="41"/>
        <v>76.738017937615012</v>
      </c>
      <c r="CW45" s="20">
        <f t="shared" si="13"/>
        <v>702.58981015801282</v>
      </c>
      <c r="CX45" s="59">
        <f t="shared" si="14"/>
        <v>951.96847641864758</v>
      </c>
      <c r="CY45" s="59">
        <f ca="1">AVERAGE(OFFSET($CX$3,0,0,'Données projet'!$E$13+1,1))-AVERAGE(OFFSET($H$3,0,0,'Données projet'!$E$13+1,1))</f>
        <v>420.4890915162182</v>
      </c>
      <c r="CZ45" s="59">
        <f t="shared" si="42"/>
        <v>553.48432338023565</v>
      </c>
      <c r="DA45" s="15">
        <f>IF(ISNA(VLOOKUP(A45,'Données projet'!$A$139:$I$159,3,0)),0,VLOOKUP(A45,'Données projet'!$A$139:$I$159,3,0))</f>
        <v>5</v>
      </c>
      <c r="DB45" s="15">
        <f>IF(ISNA(VLOOKUP(A45,'Données projet'!$A$139:$I$159,4,0)),0,VLOOKUP(A45,'Données projet'!$A$139:$I$159,4,0))</f>
        <v>91.25</v>
      </c>
      <c r="DC45" s="16">
        <f>IF(ISNA(VLOOKUP(A45,'Données projet'!$A$139:$I$159,5,0)),0%,VLOOKUP(A45,'Données projet'!$A$139:$I$159,5,0)*VLOOKUP('Données projet'!$B$13,Paramètres!$A$1:$I$89,7,0))</f>
        <v>0.55000000000000004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68.31861950726389</v>
      </c>
      <c r="DG45" s="21">
        <f>EXP(-LN(2)/25)*DG44+(1-EXP(-LN(2)/25))/(LN(2)/25)*Calculateur!DB45*Calculateur!DD45*VLOOKUP('Données projet'!$B$13,Paramètres!$A$1:$I$89,3,0)*0.475*44/12</f>
        <v>36.258470111917262</v>
      </c>
      <c r="DH45" s="21">
        <f>EXP(-LN(2)/2)*DH44+(1-EXP(-LN(2)/2))/(LN(2)/2)*DB45*DE45*VLOOKUP('Données projet'!$B$13,Paramètres!$A$1:$I$89,3,0)*0.475*44/12</f>
        <v>1.156125826660644E-2</v>
      </c>
      <c r="DI45" s="22">
        <f t="shared" si="15"/>
        <v>104.58865087744776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13.059999999999999</v>
      </c>
      <c r="DO45" s="12">
        <f>IF('Données projet'!$A$166&gt;35,DO44+DN45-DW44,IF(A45&lt;'Données projet'!$A$166,$DL$205^A45,IF(A45='Données projet'!$A$166,'Données projet'!$B$166,DO44+DN45-DW44)))</f>
        <v>174.53000000000011</v>
      </c>
      <c r="DP45" s="17">
        <f>DO45*VLOOKUP('Données projet'!$B$14,Paramètres!$A$1:$I$89,3,0)*VLOOKUP('Données projet'!$B$14,Paramètres!$A$1:$I$89,5,0)</f>
        <v>187.86409200000011</v>
      </c>
      <c r="DQ45" s="13">
        <f t="shared" si="43"/>
        <v>47.067423663221554</v>
      </c>
      <c r="DR45" s="20">
        <f t="shared" si="16"/>
        <v>409.17238978011102</v>
      </c>
      <c r="DS45" s="59">
        <f t="shared" si="17"/>
        <v>658.55105604074572</v>
      </c>
      <c r="DT45" s="59">
        <f ca="1">AVERAGE(OFFSET($DS$3,0,0,'Données projet'!$E$14+1,1))-AVERAGE(OFFSET($H$3,0,0,'Données projet'!$E$14+1,1))</f>
        <v>659.55755908012691</v>
      </c>
      <c r="DU45" s="59">
        <f t="shared" si="44"/>
        <v>343.96647464823627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54.775836464575654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54.775836464575654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13.059999999999999</v>
      </c>
      <c r="EJ45" s="12">
        <f>IF('Données projet'!$A$192&gt;35,EJ44+EI45-ER44,IF(A45&lt;'Données projet'!$A$192,$EG$205^A45,IF(A45='Données projet'!$A$192,'Données projet'!$B$192,EJ44+EI45-ER44)))</f>
        <v>174.53000000000011</v>
      </c>
      <c r="EK45" s="17">
        <f>EJ45*VLOOKUP('Données projet'!$B$15,Paramètres!$A$1:$I$89,3,0)*VLOOKUP('Données projet'!$B$15,Paramètres!$A$1:$I$89,5,0)</f>
        <v>168.80541600000012</v>
      </c>
      <c r="EL45" s="13">
        <f t="shared" si="45"/>
        <v>42.822366802174287</v>
      </c>
      <c r="EM45" s="20">
        <f t="shared" si="19"/>
        <v>368.58505504712042</v>
      </c>
      <c r="EN45" s="59">
        <f t="shared" si="20"/>
        <v>617.96372130775512</v>
      </c>
      <c r="EO45" s="59">
        <f ca="1">AVERAGE(OFFSET($EN$3,0,0,'Données projet'!$E$15+1,1))-AVERAGE(OFFSET($H$3,0,0,'Données projet'!$E$15+1,1))</f>
        <v>600.96600099541388</v>
      </c>
      <c r="EP45" s="59">
        <f t="shared" si="46"/>
        <v>315.40159257508969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49.218867547879576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49.218867547879576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187.59000000000012</v>
      </c>
      <c r="O46" s="13">
        <f>N46*VLOOKUP('Données projet'!$B$9,Paramètres!$A$1:$I$89,3,0)*VLOOKUP('Données projet'!$B$9,Paramètres!$A$1:$I$89,5,0)</f>
        <v>169.7314320000001</v>
      </c>
      <c r="P46" s="13">
        <f t="shared" si="33"/>
        <v>43.029867753624529</v>
      </c>
      <c r="Q46" s="20">
        <f t="shared" si="53"/>
        <v>370.55926373756284</v>
      </c>
      <c r="R46" s="59">
        <f t="shared" si="0"/>
        <v>620.70044520399483</v>
      </c>
      <c r="S46" s="59">
        <f ca="1">AVERAGE(OFFSET($R$3,0,0,'Données projet'!$E$9+1,1))-AVERAGE(OFFSET($H$3,0,0,'Données projet'!$E$9+1,1))</f>
        <v>567.42635821336114</v>
      </c>
      <c r="T46" s="59">
        <f t="shared" si="34"/>
        <v>299.0473530693472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45.140572635435696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45.140572635435696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13.8</v>
      </c>
      <c r="AI46" s="13">
        <f>IF('Données projet'!$A$62&gt;35,AI45+AH46-AQ45,IF(A46&lt;'Données projet'!$A$62,$AF$205^A46,IF(A46='Données projet'!$A$62,'Données projet'!$B$62,AI45+AH46-AQ45)))</f>
        <v>213.40000000000012</v>
      </c>
      <c r="AJ46" s="13">
        <f>AI46*VLOOKUP('Données projet'!$B$10,Paramètres!$A$1:$I$89,3,0)*VLOOKUP('Données projet'!$B$10,Paramètres!$A$1:$I$89,5,0)</f>
        <v>183.09720000000013</v>
      </c>
      <c r="AK46" s="13">
        <f t="shared" si="35"/>
        <v>46.010570428845895</v>
      </c>
      <c r="AL46" s="20">
        <f t="shared" si="4"/>
        <v>399.02936683024018</v>
      </c>
      <c r="AM46" s="59">
        <f t="shared" si="5"/>
        <v>649.17054829667222</v>
      </c>
      <c r="AN46" s="59">
        <f ca="1">AVERAGE(OFFSET($AM$3,0,0,'Données projet'!$E$10+1,1))-AVERAGE(OFFSET($H$3,0,0,'Données projet'!$E$10+1,1))</f>
        <v>570.05585579662738</v>
      </c>
      <c r="AO46" s="59">
        <f t="shared" si="36"/>
        <v>331.25104323342907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31.5962592053652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31.5962592053652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13.599999999999998</v>
      </c>
      <c r="BD46" s="12">
        <f>IF('Données projet'!$A$88&gt;35,BD45+BC46-BL45,IF(A46&lt;'Données projet'!$A$88,$BA$205^A46,IF(A46='Données projet'!$A$88,'Données projet'!$B$88,BD45+BC46-BL45)))</f>
        <v>204.90999999999994</v>
      </c>
      <c r="BE46" s="13">
        <f>BD46*VLOOKUP('Données projet'!$B$11,Paramètres!$A$1:$I$89,3,0)*VLOOKUP('Données projet'!$B$11,Paramètres!$A$1:$I$89,5,0)</f>
        <v>172.61618399999998</v>
      </c>
      <c r="BF46" s="13">
        <f t="shared" si="37"/>
        <v>43.67543995309358</v>
      </c>
      <c r="BG46" s="20">
        <f t="shared" si="7"/>
        <v>376.70791171830462</v>
      </c>
      <c r="BH46" s="59">
        <f t="shared" si="8"/>
        <v>626.8490931847366</v>
      </c>
      <c r="BI46" s="59">
        <f ca="1">AVERAGE(OFFSET($BH$3,0,0,'Données projet'!$E$11+1,1))-AVERAGE(OFFSET($H$3,0,0,'Données projet'!$E$11+1,1))</f>
        <v>458.88102603650725</v>
      </c>
      <c r="BJ46" s="59">
        <f t="shared" si="38"/>
        <v>277.79020316059552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34.716969835883873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34.716969835883873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13.059999999999999</v>
      </c>
      <c r="BY46" s="12">
        <f>IF('Données projet'!$A$114&gt;35,BY45+BX46-CG45,IF(A46&lt;'Données projet'!$A$114,$BV$205^A46,IF(A46='Données projet'!$A$114,'Données projet'!$B$114,BY45+BX46-CG45)))</f>
        <v>187.59000000000012</v>
      </c>
      <c r="BZ46" s="13">
        <f>BY46*VLOOKUP('Données projet'!$B$12,Paramètres!$A$1:$I$89,3,0)*VLOOKUP('Données projet'!$B$12,Paramètres!$A$1:$I$89,5,0)</f>
        <v>178.51064400000013</v>
      </c>
      <c r="CA46" s="13">
        <f t="shared" si="39"/>
        <v>44.990671836390661</v>
      </c>
      <c r="CB46" s="20">
        <f t="shared" si="10"/>
        <v>389.26479174838067</v>
      </c>
      <c r="CC46" s="59">
        <f t="shared" si="11"/>
        <v>639.40597321481278</v>
      </c>
      <c r="CD46" s="59">
        <f ca="1">AVERAGE(OFFSET($CC$3,0,0,'Données projet'!$E$12+1,1))-AVERAGE(OFFSET($H$3,0,0,'Données projet'!$E$12+1,1))</f>
        <v>592.58528888957346</v>
      </c>
      <c r="CE46" s="59">
        <f t="shared" si="40"/>
        <v>311.31528017256846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47.475429840716863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47.475429840716863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27.100000000000005</v>
      </c>
      <c r="CT46" s="12">
        <f>IF('Données projet'!$A$140&gt;35,CT45+CS46-DB45,IF(A46&lt;'Données projet'!$A$140,$CQ$205^A46,IF(A46='Données projet'!$A$140,'Données projet'!$B$140,CT45+CS46-DB45)))</f>
        <v>520.22</v>
      </c>
      <c r="CU46" s="17">
        <f>CT46*VLOOKUP('Données projet'!$B$13,Paramètres!$A$1:$I$89,3,0)*VLOOKUP('Données projet'!$B$13,Paramètres!$A$1:$I$89,5,0)</f>
        <v>290.80298000000005</v>
      </c>
      <c r="CV46" s="13">
        <f t="shared" si="41"/>
        <v>69.24493486102223</v>
      </c>
      <c r="CW46" s="20">
        <f t="shared" si="13"/>
        <v>627.08345171628036</v>
      </c>
      <c r="CX46" s="59">
        <f t="shared" si="14"/>
        <v>877.22463318271241</v>
      </c>
      <c r="CY46" s="59">
        <f ca="1">AVERAGE(OFFSET($CX$3,0,0,'Données projet'!$E$13+1,1))-AVERAGE(OFFSET($H$3,0,0,'Données projet'!$E$13+1,1))</f>
        <v>420.4890915162182</v>
      </c>
      <c r="CZ46" s="59">
        <f t="shared" si="42"/>
        <v>553.48432338023565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66.978933048969751</v>
      </c>
      <c r="DG46" s="21">
        <f>EXP(-LN(2)/25)*DG45+(1-EXP(-LN(2)/25))/(LN(2)/25)*Calculateur!DB46*Calculateur!DD46*VLOOKUP('Données projet'!$B$13,Paramètres!$A$1:$I$89,3,0)*0.475*44/12</f>
        <v>35.26698033995681</v>
      </c>
      <c r="DH46" s="21">
        <f>EXP(-LN(2)/2)*DH45+(1-EXP(-LN(2)/2))/(LN(2)/2)*DB46*DE46*VLOOKUP('Données projet'!$B$13,Paramètres!$A$1:$I$89,3,0)*0.475*44/12</f>
        <v>8.1750441193664432E-3</v>
      </c>
      <c r="DI46" s="22">
        <f t="shared" si="15"/>
        <v>102.25408843304594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13.059999999999999</v>
      </c>
      <c r="DO46" s="12">
        <f>IF('Données projet'!$A$166&gt;35,DO45+DN46-DW45,IF(A46&lt;'Données projet'!$A$166,$DL$205^A46,IF(A46='Données projet'!$A$166,'Données projet'!$B$166,DO45+DN46-DW45)))</f>
        <v>187.59000000000012</v>
      </c>
      <c r="DP46" s="17">
        <f>DO46*VLOOKUP('Données projet'!$B$14,Paramètres!$A$1:$I$89,3,0)*VLOOKUP('Données projet'!$B$14,Paramètres!$A$1:$I$89,5,0)</f>
        <v>201.92187600000011</v>
      </c>
      <c r="DQ46" s="13">
        <f t="shared" si="43"/>
        <v>50.166302523976661</v>
      </c>
      <c r="DR46" s="20">
        <f t="shared" si="16"/>
        <v>439.05357759592624</v>
      </c>
      <c r="DS46" s="59">
        <f t="shared" si="17"/>
        <v>689.19475906235834</v>
      </c>
      <c r="DT46" s="59">
        <f ca="1">AVERAGE(OFFSET($DS$3,0,0,'Données projet'!$E$14+1,1))-AVERAGE(OFFSET($H$3,0,0,'Données projet'!$E$14+1,1))</f>
        <v>659.55755908012691</v>
      </c>
      <c r="DU46" s="59">
        <f t="shared" si="44"/>
        <v>343.96647464823627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53.701715721466613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53.701715721466613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13.059999999999999</v>
      </c>
      <c r="EJ46" s="12">
        <f>IF('Données projet'!$A$192&gt;35,EJ45+EI46-ER45,IF(A46&lt;'Données projet'!$A$192,$EG$205^A46,IF(A46='Données projet'!$A$192,'Données projet'!$B$192,EJ45+EI46-ER45)))</f>
        <v>187.59000000000012</v>
      </c>
      <c r="EK46" s="17">
        <f>EJ46*VLOOKUP('Données projet'!$B$15,Paramètres!$A$1:$I$89,3,0)*VLOOKUP('Données projet'!$B$15,Paramètres!$A$1:$I$89,5,0)</f>
        <v>181.43704800000012</v>
      </c>
      <c r="EL46" s="13">
        <f t="shared" si="45"/>
        <v>45.641754755087668</v>
      </c>
      <c r="EM46" s="20">
        <f t="shared" si="19"/>
        <v>395.49558146511123</v>
      </c>
      <c r="EN46" s="59">
        <f t="shared" si="20"/>
        <v>645.63676293154322</v>
      </c>
      <c r="EO46" s="59">
        <f ca="1">AVERAGE(OFFSET($EN$3,0,0,'Données projet'!$E$15+1,1))-AVERAGE(OFFSET($H$3,0,0,'Données projet'!$E$15+1,1))</f>
        <v>600.96600099541388</v>
      </c>
      <c r="EP46" s="59">
        <f t="shared" si="46"/>
        <v>315.40159257508969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48.253715575810581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48.253715575810581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200.65000000000012</v>
      </c>
      <c r="O47" s="13">
        <f>N47*VLOOKUP('Données projet'!$B$9,Paramètres!$A$1:$I$89,3,0)*VLOOKUP('Données projet'!$B$9,Paramètres!$A$1:$I$89,5,0)</f>
        <v>181.5481200000001</v>
      </c>
      <c r="P47" s="13">
        <f t="shared" si="33"/>
        <v>45.666442486896024</v>
      </c>
      <c r="Q47" s="20">
        <f t="shared" si="53"/>
        <v>395.73202966467738</v>
      </c>
      <c r="R47" s="59">
        <f t="shared" si="0"/>
        <v>646.62249840281481</v>
      </c>
      <c r="S47" s="59">
        <f ca="1">AVERAGE(OFFSET($R$3,0,0,'Données projet'!$E$9+1,1))-AVERAGE(OFFSET($H$3,0,0,'Données projet'!$E$9+1,1))</f>
        <v>567.42635821336114</v>
      </c>
      <c r="T47" s="59">
        <f t="shared" si="34"/>
        <v>299.0473530693472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44.255393539085446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44.255393539085446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13.8</v>
      </c>
      <c r="AI47" s="13">
        <f>IF('Données projet'!$A$62&gt;35,AI46+AH47-AQ46,IF(A47&lt;'Données projet'!$A$62,$AF$205^A47,IF(A47='Données projet'!$A$62,'Données projet'!$B$62,AI46+AH47-AQ46)))</f>
        <v>227.20000000000013</v>
      </c>
      <c r="AJ47" s="13">
        <f>AI47*VLOOKUP('Données projet'!$B$10,Paramètres!$A$1:$I$89,3,0)*VLOOKUP('Données projet'!$B$10,Paramètres!$A$1:$I$89,5,0)</f>
        <v>194.93760000000012</v>
      </c>
      <c r="AK47" s="13">
        <f t="shared" si="35"/>
        <v>48.629950800142524</v>
      </c>
      <c r="AL47" s="20">
        <f t="shared" si="4"/>
        <v>424.21348431024836</v>
      </c>
      <c r="AM47" s="59">
        <f t="shared" si="5"/>
        <v>675.10395304838585</v>
      </c>
      <c r="AN47" s="59">
        <f ca="1">AVERAGE(OFFSET($AM$3,0,0,'Données projet'!$E$10+1,1))-AVERAGE(OFFSET($H$3,0,0,'Données projet'!$E$10+1,1))</f>
        <v>570.05585579662738</v>
      </c>
      <c r="AO47" s="59">
        <f t="shared" si="36"/>
        <v>331.25104323342907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30.976675834163171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30.976675834163171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218.51</v>
      </c>
      <c r="BB47" s="12">
        <f>VLOOKUP(A47,'Données projet'!$A$87:$I$107,9,0)</f>
        <v>13.599999999999998</v>
      </c>
      <c r="BC47" s="12">
        <f t="array" ref="BC47">INDEX(BB:BB,MIN(IF(ISNUMBER(BB47:BB243),ROW(BB47:BB243),"")))</f>
        <v>13.599999999999998</v>
      </c>
      <c r="BD47" s="12">
        <f>IF('Données projet'!$A$88&gt;35,BD46+BC47-BL46,IF(A47&lt;'Données projet'!$A$88,$BA$205^A47,IF(A47='Données projet'!$A$88,'Données projet'!$B$88,BD46+BC47-BL46)))</f>
        <v>218.50999999999993</v>
      </c>
      <c r="BE47" s="13">
        <f>BD47*VLOOKUP('Données projet'!$B$11,Paramètres!$A$1:$I$89,3,0)*VLOOKUP('Données projet'!$B$11,Paramètres!$A$1:$I$89,5,0)</f>
        <v>184.07282399999997</v>
      </c>
      <c r="BF47" s="13">
        <f t="shared" si="37"/>
        <v>46.227131136084772</v>
      </c>
      <c r="BG47" s="20">
        <f t="shared" si="7"/>
        <v>401.10575519534763</v>
      </c>
      <c r="BH47" s="59">
        <f t="shared" si="8"/>
        <v>651.996223933485</v>
      </c>
      <c r="BI47" s="59">
        <f ca="1">AVERAGE(OFFSET($BH$3,0,0,'Données projet'!$E$11+1,1))-AVERAGE(OFFSET($H$3,0,0,'Données projet'!$E$11+1,1))</f>
        <v>458.88102603650725</v>
      </c>
      <c r="BJ47" s="59">
        <f t="shared" si="38"/>
        <v>277.79020316059552</v>
      </c>
      <c r="BK47" s="15">
        <f>IF(ISNA(VLOOKUP(A47,'Données projet'!$A$87:$I$107,3,0)),0,VLOOKUP(A47,'Données projet'!$A$87:$I$107,3,0))</f>
        <v>3</v>
      </c>
      <c r="BL47" s="15">
        <f>IF(ISNA(VLOOKUP(A47,'Données projet'!$A$87:$I$107,4,0)),0,VLOOKUP(A47,'Données projet'!$A$87:$I$107,4,0))</f>
        <v>52.08</v>
      </c>
      <c r="BM47" s="16">
        <f>IF(ISNA(VLOOKUP(A47,'Données projet'!$A$87:$I$107,5,0)),0%,VLOOKUP(A47,'Données projet'!$A$87:$I$107,5,0)*VLOOKUP('Données projet'!$B$11,Paramètres!$A$1:$I$89,7,0))</f>
        <v>0.43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54.890936991371362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54.890936991371362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13.059999999999999</v>
      </c>
      <c r="BY47" s="12">
        <f>IF('Données projet'!$A$114&gt;35,BY46+BX47-CG46,IF(A47&lt;'Données projet'!$A$114,$BV$205^A47,IF(A47='Données projet'!$A$114,'Données projet'!$B$114,BY46+BX47-CG46)))</f>
        <v>200.65000000000012</v>
      </c>
      <c r="BZ47" s="13">
        <f>BY47*VLOOKUP('Données projet'!$B$12,Paramètres!$A$1:$I$89,3,0)*VLOOKUP('Données projet'!$B$12,Paramètres!$A$1:$I$89,5,0)</f>
        <v>190.93854000000013</v>
      </c>
      <c r="CA47" s="13">
        <f t="shared" si="39"/>
        <v>47.747391175523354</v>
      </c>
      <c r="CB47" s="20">
        <f t="shared" si="10"/>
        <v>415.71133013070335</v>
      </c>
      <c r="CC47" s="59">
        <f t="shared" si="11"/>
        <v>666.60179886884077</v>
      </c>
      <c r="CD47" s="59">
        <f ca="1">AVERAGE(OFFSET($CC$3,0,0,'Données projet'!$E$12+1,1))-AVERAGE(OFFSET($H$3,0,0,'Données projet'!$E$12+1,1))</f>
        <v>592.58528888957346</v>
      </c>
      <c r="CE47" s="59">
        <f t="shared" si="40"/>
        <v>311.31528017256846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46.54446561869333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46.54446561869333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27.100000000000005</v>
      </c>
      <c r="CT47" s="12">
        <f>IF('Données projet'!$A$140&gt;35,CT46+CS47-DB46,IF(A47&lt;'Données projet'!$A$140,$CQ$205^A47,IF(A47='Données projet'!$A$140,'Données projet'!$B$140,CT46+CS47-DB46)))</f>
        <v>547.32000000000005</v>
      </c>
      <c r="CU47" s="17">
        <f>CT47*VLOOKUP('Données projet'!$B$13,Paramètres!$A$1:$I$89,3,0)*VLOOKUP('Données projet'!$B$13,Paramètres!$A$1:$I$89,5,0)</f>
        <v>305.95188000000007</v>
      </c>
      <c r="CV47" s="13">
        <f t="shared" si="41"/>
        <v>72.422775940029837</v>
      </c>
      <c r="CW47" s="20">
        <f t="shared" si="13"/>
        <v>659.00252576221885</v>
      </c>
      <c r="CX47" s="59">
        <f t="shared" si="14"/>
        <v>909.89299450035628</v>
      </c>
      <c r="CY47" s="59">
        <f ca="1">AVERAGE(OFFSET($CX$3,0,0,'Données projet'!$E$13+1,1))-AVERAGE(OFFSET($H$3,0,0,'Données projet'!$E$13+1,1))</f>
        <v>420.4890915162182</v>
      </c>
      <c r="CZ47" s="59">
        <f t="shared" si="42"/>
        <v>553.48432338023565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65.665517024994699</v>
      </c>
      <c r="DG47" s="21">
        <f>EXP(-LN(2)/25)*DG46+(1-EXP(-LN(2)/25))/(LN(2)/25)*Calculateur!DB47*Calculateur!DD47*VLOOKUP('Données projet'!$B$13,Paramètres!$A$1:$I$89,3,0)*0.475*44/12</f>
        <v>34.302602907950799</v>
      </c>
      <c r="DH47" s="21">
        <f>EXP(-LN(2)/2)*DH46+(1-EXP(-LN(2)/2))/(LN(2)/2)*DB47*DE47*VLOOKUP('Données projet'!$B$13,Paramètres!$A$1:$I$89,3,0)*0.475*44/12</f>
        <v>5.7806291333032198E-3</v>
      </c>
      <c r="DI47" s="22">
        <f t="shared" si="15"/>
        <v>99.973900562078796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13.059999999999999</v>
      </c>
      <c r="DO47" s="12">
        <f>IF('Données projet'!$A$166&gt;35,DO46+DN47-DW46,IF(A47&lt;'Données projet'!$A$166,$DL$205^A47,IF(A47='Données projet'!$A$166,'Données projet'!$B$166,DO46+DN47-DW46)))</f>
        <v>200.65000000000012</v>
      </c>
      <c r="DP47" s="17">
        <f>DO47*VLOOKUP('Données projet'!$B$14,Paramètres!$A$1:$I$89,3,0)*VLOOKUP('Données projet'!$B$14,Paramètres!$A$1:$I$89,5,0)</f>
        <v>215.97966000000014</v>
      </c>
      <c r="DQ47" s="13">
        <f t="shared" si="43"/>
        <v>53.240148961378956</v>
      </c>
      <c r="DR47" s="20">
        <f t="shared" si="16"/>
        <v>468.89116727440188</v>
      </c>
      <c r="DS47" s="59">
        <f t="shared" si="17"/>
        <v>719.78163601253937</v>
      </c>
      <c r="DT47" s="59">
        <f ca="1">AVERAGE(OFFSET($DS$3,0,0,'Données projet'!$E$14+1,1))-AVERAGE(OFFSET($H$3,0,0,'Données projet'!$E$14+1,1))</f>
        <v>659.55755908012691</v>
      </c>
      <c r="DU47" s="59">
        <f t="shared" si="44"/>
        <v>343.96647464823627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52.648657830980973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52.648657830980973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13.059999999999999</v>
      </c>
      <c r="EJ47" s="12">
        <f>IF('Données projet'!$A$192&gt;35,EJ46+EI47-ER46,IF(A47&lt;'Données projet'!$A$192,$EG$205^A47,IF(A47='Données projet'!$A$192,'Données projet'!$B$192,EJ46+EI47-ER46)))</f>
        <v>200.65000000000012</v>
      </c>
      <c r="EK47" s="17">
        <f>EJ47*VLOOKUP('Données projet'!$B$15,Paramètres!$A$1:$I$89,3,0)*VLOOKUP('Données projet'!$B$15,Paramètres!$A$1:$I$89,5,0)</f>
        <v>194.06868000000011</v>
      </c>
      <c r="EL47" s="13">
        <f t="shared" si="45"/>
        <v>48.438367983333151</v>
      </c>
      <c r="EM47" s="20">
        <f t="shared" si="19"/>
        <v>422.36644190430547</v>
      </c>
      <c r="EN47" s="59">
        <f t="shared" si="20"/>
        <v>673.2569106424429</v>
      </c>
      <c r="EO47" s="59">
        <f ca="1">AVERAGE(OFFSET($EN$3,0,0,'Données projet'!$E$15+1,1))-AVERAGE(OFFSET($H$3,0,0,'Données projet'!$E$15+1,1))</f>
        <v>600.96600099541388</v>
      </c>
      <c r="EP47" s="59">
        <f t="shared" si="46"/>
        <v>315.40159257508969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47.307489645229282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47.307489645229282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213.71000000000012</v>
      </c>
      <c r="O48" s="13">
        <f>N48*VLOOKUP('Données projet'!$B$9,Paramètres!$A$1:$I$89,3,0)*VLOOKUP('Données projet'!$B$9,Paramètres!$A$1:$I$89,5,0)</f>
        <v>193.3648080000001</v>
      </c>
      <c r="P48" s="13">
        <f t="shared" si="33"/>
        <v>48.283102387258907</v>
      </c>
      <c r="Q48" s="20">
        <f t="shared" si="53"/>
        <v>420.87011059114275</v>
      </c>
      <c r="R48" s="59">
        <f t="shared" si="0"/>
        <v>672.49686814197685</v>
      </c>
      <c r="S48" s="59">
        <f ca="1">AVERAGE(OFFSET($R$3,0,0,'Données projet'!$E$9+1,1))-AVERAGE(OFFSET($H$3,0,0,'Données projet'!$E$9+1,1))</f>
        <v>567.42635821336114</v>
      </c>
      <c r="T48" s="59">
        <f t="shared" si="34"/>
        <v>299.0473530693472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43.387572264908691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43.387572264908691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241</v>
      </c>
      <c r="AG48" s="12">
        <f>VLOOKUP(A48,'Données projet'!$A$61:$I$81,9,0)</f>
        <v>13.8</v>
      </c>
      <c r="AH48" s="12">
        <f t="array" ref="AH48">INDEX(AG:AG,MIN(IF(ISNUMBER(AG48:AG244),ROW(AG48:AG244),"")))</f>
        <v>13.8</v>
      </c>
      <c r="AI48" s="13">
        <f>IF('Données projet'!$A$62&gt;35,AI47+AH48-AQ47,IF(A48&lt;'Données projet'!$A$62,$AF$205^A48,IF(A48='Données projet'!$A$62,'Données projet'!$B$62,AI47+AH48-AQ47)))</f>
        <v>241.00000000000014</v>
      </c>
      <c r="AJ48" s="13">
        <f>AI48*VLOOKUP('Données projet'!$B$10,Paramètres!$A$1:$I$89,3,0)*VLOOKUP('Données projet'!$B$10,Paramètres!$A$1:$I$89,5,0)</f>
        <v>206.77800000000016</v>
      </c>
      <c r="AK48" s="13">
        <f t="shared" si="35"/>
        <v>51.230865296361145</v>
      </c>
      <c r="AL48" s="20">
        <f t="shared" si="4"/>
        <v>449.36544039116256</v>
      </c>
      <c r="AM48" s="59">
        <f t="shared" si="5"/>
        <v>700.99219794199666</v>
      </c>
      <c r="AN48" s="59">
        <f ca="1">AVERAGE(OFFSET($AM$3,0,0,'Données projet'!$E$10+1,1))-AVERAGE(OFFSET($H$3,0,0,'Données projet'!$E$10+1,1))</f>
        <v>570.05585579662738</v>
      </c>
      <c r="AO48" s="59">
        <f t="shared" si="36"/>
        <v>331.25104323342907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35</v>
      </c>
      <c r="AR48" s="16">
        <f>IF(ISNA(VLOOKUP(A48,'Données projet'!$A$61:$I$81,5,0)),0%,VLOOKUP(A48,'Données projet'!$A$61:$I$81,5,0)*VLOOKUP('Données projet'!$B$10,Paramètres!$A$1:$I$89,7,0))</f>
        <v>0.53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47.96379812857036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47.96379812857036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13.598571428571429</v>
      </c>
      <c r="BD48" s="12">
        <f>IF('Données projet'!$A$88&gt;35,BD47+BC48-BL47,IF(A48&lt;'Données projet'!$A$88,$BA$205^A48,IF(A48='Données projet'!$A$88,'Données projet'!$B$88,BD47+BC48-BL47)))</f>
        <v>180.02857142857135</v>
      </c>
      <c r="BE48" s="13">
        <f>BD48*VLOOKUP('Données projet'!$B$11,Paramètres!$A$1:$I$89,3,0)*VLOOKUP('Données projet'!$B$11,Paramètres!$A$1:$I$89,5,0)</f>
        <v>151.65606857142851</v>
      </c>
      <c r="BF48" s="13">
        <f t="shared" si="37"/>
        <v>38.954692310226129</v>
      </c>
      <c r="BG48" s="20">
        <f t="shared" si="7"/>
        <v>331.98040853554852</v>
      </c>
      <c r="BH48" s="59">
        <f t="shared" si="8"/>
        <v>583.60716608638268</v>
      </c>
      <c r="BI48" s="59">
        <f ca="1">AVERAGE(OFFSET($BH$3,0,0,'Données projet'!$E$11+1,1))-AVERAGE(OFFSET($H$3,0,0,'Données projet'!$E$11+1,1))</f>
        <v>458.88102603650725</v>
      </c>
      <c r="BJ48" s="59">
        <f t="shared" si="38"/>
        <v>277.79020316059552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53.814559197136241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53.814559197136241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13.059999999999999</v>
      </c>
      <c r="BY48" s="12">
        <f>IF('Données projet'!$A$114&gt;35,BY47+BX48-CG47,IF(A48&lt;'Données projet'!$A$114,$BV$205^A48,IF(A48='Données projet'!$A$114,'Données projet'!$B$114,BY47+BX48-CG47)))</f>
        <v>213.71000000000012</v>
      </c>
      <c r="BZ48" s="13">
        <f>BY48*VLOOKUP('Données projet'!$B$12,Paramètres!$A$1:$I$89,3,0)*VLOOKUP('Données projet'!$B$12,Paramètres!$A$1:$I$89,5,0)</f>
        <v>203.36643600000011</v>
      </c>
      <c r="CA48" s="13">
        <f t="shared" si="39"/>
        <v>50.483288193815937</v>
      </c>
      <c r="CB48" s="20">
        <f t="shared" si="10"/>
        <v>442.12160297089622</v>
      </c>
      <c r="CC48" s="59">
        <f t="shared" si="11"/>
        <v>693.74836052173032</v>
      </c>
      <c r="CD48" s="59">
        <f ca="1">AVERAGE(OFFSET($CC$3,0,0,'Données projet'!$E$12+1,1))-AVERAGE(OFFSET($H$3,0,0,'Données projet'!$E$12+1,1))</f>
        <v>592.58528888957346</v>
      </c>
      <c r="CE48" s="59">
        <f t="shared" si="40"/>
        <v>311.31528017256846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45.631757037231566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45.631757037231566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27.100000000000005</v>
      </c>
      <c r="CT48" s="12">
        <f>IF('Données projet'!$A$140&gt;35,CT47+CS48-DB47,IF(A48&lt;'Données projet'!$A$140,$CQ$205^A48,IF(A48='Données projet'!$A$140,'Données projet'!$B$140,CT47+CS48-DB47)))</f>
        <v>574.42000000000007</v>
      </c>
      <c r="CU48" s="17">
        <f>CT48*VLOOKUP('Données projet'!$B$13,Paramètres!$A$1:$I$89,3,0)*VLOOKUP('Données projet'!$B$13,Paramètres!$A$1:$I$89,5,0)</f>
        <v>321.10078000000004</v>
      </c>
      <c r="CV48" s="13">
        <f t="shared" si="41"/>
        <v>75.582346553628341</v>
      </c>
      <c r="CW48" s="20">
        <f t="shared" si="13"/>
        <v>690.88977874756938</v>
      </c>
      <c r="CX48" s="59">
        <f t="shared" si="14"/>
        <v>942.51653629840348</v>
      </c>
      <c r="CY48" s="59">
        <f ca="1">AVERAGE(OFFSET($CX$3,0,0,'Données projet'!$E$13+1,1))-AVERAGE(OFFSET($H$3,0,0,'Données projet'!$E$13+1,1))</f>
        <v>420.4890915162182</v>
      </c>
      <c r="CZ48" s="59">
        <f t="shared" si="42"/>
        <v>553.48432338023565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64.377856288145125</v>
      </c>
      <c r="DG48" s="21">
        <f>EXP(-LN(2)/25)*DG47+(1-EXP(-LN(2)/25))/(LN(2)/25)*Calculateur!DB48*Calculateur!DD48*VLOOKUP('Données projet'!$B$13,Paramètres!$A$1:$I$89,3,0)*0.475*44/12</f>
        <v>33.3645964275374</v>
      </c>
      <c r="DH48" s="21">
        <f>EXP(-LN(2)/2)*DH47+(1-EXP(-LN(2)/2))/(LN(2)/2)*DB48*DE48*VLOOKUP('Données projet'!$B$13,Paramètres!$A$1:$I$89,3,0)*0.475*44/12</f>
        <v>4.0875220596832216E-3</v>
      </c>
      <c r="DI48" s="22">
        <f t="shared" si="15"/>
        <v>97.746540237742209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13.059999999999999</v>
      </c>
      <c r="DO48" s="12">
        <f>IF('Données projet'!$A$166&gt;35,DO47+DN48-DW47,IF(A48&lt;'Données projet'!$A$166,$DL$205^A48,IF(A48='Données projet'!$A$166,'Données projet'!$B$166,DO47+DN48-DW47)))</f>
        <v>213.71000000000012</v>
      </c>
      <c r="DP48" s="17">
        <f>DO48*VLOOKUP('Données projet'!$B$14,Paramètres!$A$1:$I$89,3,0)*VLOOKUP('Données projet'!$B$14,Paramètres!$A$1:$I$89,5,0)</f>
        <v>230.03744400000011</v>
      </c>
      <c r="DQ48" s="13">
        <f t="shared" si="43"/>
        <v>56.29077772267474</v>
      </c>
      <c r="DR48" s="20">
        <f t="shared" si="16"/>
        <v>498.68831950032535</v>
      </c>
      <c r="DS48" s="59">
        <f t="shared" si="17"/>
        <v>750.31507705115951</v>
      </c>
      <c r="DT48" s="59">
        <f ca="1">AVERAGE(OFFSET($DS$3,0,0,'Données projet'!$E$14+1,1))-AVERAGE(OFFSET($H$3,0,0,'Données projet'!$E$14+1,1))</f>
        <v>659.55755908012691</v>
      </c>
      <c r="DU48" s="59">
        <f t="shared" si="44"/>
        <v>343.96647464823627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51.616249763425863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51.616249763425863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13.059999999999999</v>
      </c>
      <c r="EJ48" s="12">
        <f>IF('Données projet'!$A$192&gt;35,EJ47+EI48-ER47,IF(A48&lt;'Données projet'!$A$192,$EG$205^A48,IF(A48='Données projet'!$A$192,'Données projet'!$B$192,EJ47+EI48-ER47)))</f>
        <v>213.71000000000012</v>
      </c>
      <c r="EK48" s="17">
        <f>EJ48*VLOOKUP('Données projet'!$B$15,Paramètres!$A$1:$I$89,3,0)*VLOOKUP('Données projet'!$B$15,Paramètres!$A$1:$I$89,5,0)</f>
        <v>206.70031200000011</v>
      </c>
      <c r="EL48" s="13">
        <f t="shared" si="45"/>
        <v>51.213857560332166</v>
      </c>
      <c r="EM48" s="20">
        <f t="shared" si="19"/>
        <v>449.20051198424534</v>
      </c>
      <c r="EN48" s="59">
        <f t="shared" si="20"/>
        <v>700.82726953507949</v>
      </c>
      <c r="EO48" s="59">
        <f ca="1">AVERAGE(OFFSET($EN$3,0,0,'Données projet'!$E$15+1,1))-AVERAGE(OFFSET($H$3,0,0,'Données projet'!$E$15+1,1))</f>
        <v>600.96600099541388</v>
      </c>
      <c r="EP48" s="59">
        <f t="shared" si="46"/>
        <v>315.40159257508969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46.37981862800585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46.37981862800585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226.77000000000012</v>
      </c>
      <c r="O49" s="13">
        <f>N49*VLOOKUP('Données projet'!$B$9,Paramètres!$A$1:$I$89,3,0)*VLOOKUP('Données projet'!$B$9,Paramètres!$A$1:$I$89,5,0)</f>
        <v>205.1814960000001</v>
      </c>
      <c r="P49" s="13">
        <f t="shared" si="33"/>
        <v>50.88120304468918</v>
      </c>
      <c r="Q49" s="20">
        <f t="shared" si="53"/>
        <v>445.97586750283381</v>
      </c>
      <c r="R49" s="59">
        <f t="shared" si="0"/>
        <v>698.32614090155948</v>
      </c>
      <c r="S49" s="59">
        <f ca="1">AVERAGE(OFFSET($R$3,0,0,'Données projet'!$E$9+1,1))-AVERAGE(OFFSET($H$3,0,0,'Données projet'!$E$9+1,1))</f>
        <v>567.42635821336114</v>
      </c>
      <c r="T49" s="59">
        <f t="shared" si="34"/>
        <v>299.0473530693472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42.536768436599829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42.536768436599829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13.6</v>
      </c>
      <c r="AI49" s="13">
        <f>IF('Données projet'!$A$62&gt;35,AI48+AH49-AQ48,IF(A49&lt;'Données projet'!$A$62,$AF$205^A49,IF(A49='Données projet'!$A$62,'Données projet'!$B$62,AI48+AH49-AQ48)))</f>
        <v>219.60000000000014</v>
      </c>
      <c r="AJ49" s="13">
        <f>AI49*VLOOKUP('Données projet'!$B$10,Paramètres!$A$1:$I$89,3,0)*VLOOKUP('Données projet'!$B$10,Paramètres!$A$1:$I$89,5,0)</f>
        <v>188.41680000000014</v>
      </c>
      <c r="AK49" s="13">
        <f t="shared" si="35"/>
        <v>47.189759534268717</v>
      </c>
      <c r="AL49" s="20">
        <f t="shared" si="4"/>
        <v>410.34809118885158</v>
      </c>
      <c r="AM49" s="59">
        <f t="shared" si="5"/>
        <v>662.6983645875772</v>
      </c>
      <c r="AN49" s="59">
        <f ca="1">AVERAGE(OFFSET($AM$3,0,0,'Données projet'!$E$10+1,1))-AVERAGE(OFFSET($H$3,0,0,'Données projet'!$E$10+1,1))</f>
        <v>570.05585579662738</v>
      </c>
      <c r="AO49" s="59">
        <f t="shared" si="36"/>
        <v>331.25104323342907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47.02325730229726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47.02325730229726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13.598571428571429</v>
      </c>
      <c r="BD49" s="12">
        <f>IF('Données projet'!$A$88&gt;35,BD48+BC49-BL48,IF(A49&lt;'Données projet'!$A$88,$BA$205^A49,IF(A49='Données projet'!$A$88,'Données projet'!$B$88,BD48+BC49-BL48)))</f>
        <v>193.62714285714279</v>
      </c>
      <c r="BE49" s="13">
        <f>BD49*VLOOKUP('Données projet'!$B$11,Paramètres!$A$1:$I$89,3,0)*VLOOKUP('Données projet'!$B$11,Paramètres!$A$1:$I$89,5,0)</f>
        <v>163.11150514285711</v>
      </c>
      <c r="BF49" s="13">
        <f t="shared" si="37"/>
        <v>41.543535452734282</v>
      </c>
      <c r="BG49" s="20">
        <f t="shared" si="7"/>
        <v>356.440862370655</v>
      </c>
      <c r="BH49" s="59">
        <f t="shared" si="8"/>
        <v>608.79113576938062</v>
      </c>
      <c r="BI49" s="59">
        <f ca="1">AVERAGE(OFFSET($BH$3,0,0,'Données projet'!$E$11+1,1))-AVERAGE(OFFSET($H$3,0,0,'Données projet'!$E$11+1,1))</f>
        <v>458.88102603650725</v>
      </c>
      <c r="BJ49" s="59">
        <f t="shared" si="38"/>
        <v>277.79020316059552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52.759288514920442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52.759288514920442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13.059999999999999</v>
      </c>
      <c r="BY49" s="12">
        <f>IF('Données projet'!$A$114&gt;35,BY48+BX49-CG48,IF(A49&lt;'Données projet'!$A$114,$BV$205^A49,IF(A49='Données projet'!$A$114,'Données projet'!$B$114,BY48+BX49-CG48)))</f>
        <v>226.77000000000012</v>
      </c>
      <c r="BZ49" s="13">
        <f>BY49*VLOOKUP('Données projet'!$B$12,Paramètres!$A$1:$I$89,3,0)*VLOOKUP('Données projet'!$B$12,Paramètres!$A$1:$I$89,5,0)</f>
        <v>215.79433200000011</v>
      </c>
      <c r="CA49" s="13">
        <f t="shared" si="39"/>
        <v>53.199780253369482</v>
      </c>
      <c r="CB49" s="20">
        <f t="shared" si="10"/>
        <v>468.49807884128541</v>
      </c>
      <c r="CC49" s="59">
        <f t="shared" si="11"/>
        <v>720.84835224001108</v>
      </c>
      <c r="CD49" s="59">
        <f ca="1">AVERAGE(OFFSET($CC$3,0,0,'Données projet'!$E$12+1,1))-AVERAGE(OFFSET($H$3,0,0,'Données projet'!$E$12+1,1))</f>
        <v>592.58528888957346</v>
      </c>
      <c r="CE49" s="59">
        <f t="shared" si="40"/>
        <v>311.31528017256846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44.736946114355007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44.736946114355007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27.100000000000005</v>
      </c>
      <c r="CT49" s="12">
        <f>IF('Données projet'!$A$140&gt;35,CT48+CS49-DB48,IF(A49&lt;'Données projet'!$A$140,$CQ$205^A49,IF(A49='Données projet'!$A$140,'Données projet'!$B$140,CT48+CS49-DB48)))</f>
        <v>601.5200000000001</v>
      </c>
      <c r="CU49" s="17">
        <f>CT49*VLOOKUP('Données projet'!$B$13,Paramètres!$A$1:$I$89,3,0)*VLOOKUP('Données projet'!$B$13,Paramètres!$A$1:$I$89,5,0)</f>
        <v>336.24968000000007</v>
      </c>
      <c r="CV49" s="13">
        <f t="shared" si="41"/>
        <v>78.724607090157278</v>
      </c>
      <c r="CW49" s="20">
        <f t="shared" si="13"/>
        <v>722.74688334869063</v>
      </c>
      <c r="CX49" s="59">
        <f t="shared" si="14"/>
        <v>975.09715674741631</v>
      </c>
      <c r="CY49" s="59">
        <f ca="1">AVERAGE(OFFSET($CX$3,0,0,'Données projet'!$E$13+1,1))-AVERAGE(OFFSET($H$3,0,0,'Données projet'!$E$13+1,1))</f>
        <v>420.4890915162182</v>
      </c>
      <c r="CZ49" s="59">
        <f t="shared" si="42"/>
        <v>553.48432338023565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63.115445792949679</v>
      </c>
      <c r="DG49" s="21">
        <f>EXP(-LN(2)/25)*DG48+(1-EXP(-LN(2)/25))/(LN(2)/25)*Calculateur!DB49*Calculateur!DD49*VLOOKUP('Données projet'!$B$13,Paramètres!$A$1:$I$89,3,0)*0.475*44/12</f>
        <v>32.45223978365852</v>
      </c>
      <c r="DH49" s="21">
        <f>EXP(-LN(2)/2)*DH48+(1-EXP(-LN(2)/2))/(LN(2)/2)*DB49*DE49*VLOOKUP('Données projet'!$B$13,Paramètres!$A$1:$I$89,3,0)*0.475*44/12</f>
        <v>2.8903145666516099E-3</v>
      </c>
      <c r="DI49" s="22">
        <f t="shared" si="15"/>
        <v>95.570575891174855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13.059999999999999</v>
      </c>
      <c r="DO49" s="12">
        <f>IF('Données projet'!$A$166&gt;35,DO48+DN49-DW48,IF(A49&lt;'Données projet'!$A$166,$DL$205^A49,IF(A49='Données projet'!$A$166,'Données projet'!$B$166,DO48+DN49-DW48)))</f>
        <v>226.77000000000012</v>
      </c>
      <c r="DP49" s="17">
        <f>DO49*VLOOKUP('Données projet'!$B$14,Paramètres!$A$1:$I$89,3,0)*VLOOKUP('Données projet'!$B$14,Paramètres!$A$1:$I$89,5,0)</f>
        <v>244.09522800000011</v>
      </c>
      <c r="DQ49" s="13">
        <f t="shared" si="43"/>
        <v>59.319769220270345</v>
      </c>
      <c r="DR49" s="20">
        <f t="shared" si="16"/>
        <v>528.44778682530432</v>
      </c>
      <c r="DS49" s="59">
        <f t="shared" si="17"/>
        <v>780.79806022403</v>
      </c>
      <c r="DT49" s="59">
        <f ca="1">AVERAGE(OFFSET($DS$3,0,0,'Données projet'!$E$14+1,1))-AVERAGE(OFFSET($H$3,0,0,'Données projet'!$E$14+1,1))</f>
        <v>659.55755908012691</v>
      </c>
      <c r="DU49" s="59">
        <f t="shared" si="44"/>
        <v>343.96647464823627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50.604086588368766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50.604086588368766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13.059999999999999</v>
      </c>
      <c r="EJ49" s="12">
        <f>IF('Données projet'!$A$192&gt;35,EJ48+EI49-ER48,IF(A49&lt;'Données projet'!$A$192,$EG$205^A49,IF(A49='Données projet'!$A$192,'Données projet'!$B$192,EJ48+EI49-ER48)))</f>
        <v>226.77000000000012</v>
      </c>
      <c r="EK49" s="17">
        <f>EJ49*VLOOKUP('Données projet'!$B$15,Paramètres!$A$1:$I$89,3,0)*VLOOKUP('Données projet'!$B$15,Paramètres!$A$1:$I$89,5,0)</f>
        <v>219.33194400000014</v>
      </c>
      <c r="EL49" s="13">
        <f t="shared" si="45"/>
        <v>53.969661359554401</v>
      </c>
      <c r="EM49" s="20">
        <f t="shared" si="19"/>
        <v>476.00029600122411</v>
      </c>
      <c r="EN49" s="59">
        <f t="shared" si="20"/>
        <v>728.35056939994979</v>
      </c>
      <c r="EO49" s="59">
        <f ca="1">AVERAGE(OFFSET($EN$3,0,0,'Données projet'!$E$15+1,1))-AVERAGE(OFFSET($H$3,0,0,'Données projet'!$E$15+1,1))</f>
        <v>600.96600099541388</v>
      </c>
      <c r="EP49" s="59">
        <f t="shared" si="46"/>
        <v>315.40159257508969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45.470338673606719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45.470338673606719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239.83000000000013</v>
      </c>
      <c r="O50" s="13">
        <f>N50*VLOOKUP('Données projet'!$B$9,Paramètres!$A$1:$I$89,3,0)*VLOOKUP('Données projet'!$B$9,Paramètres!$A$1:$I$89,5,0)</f>
        <v>216.99818400000012</v>
      </c>
      <c r="P50" s="13">
        <f t="shared" si="33"/>
        <v>53.461935088977889</v>
      </c>
      <c r="Q50" s="20">
        <f t="shared" si="53"/>
        <v>471.05137407996995</v>
      </c>
      <c r="R50" s="59">
        <f t="shared" si="0"/>
        <v>724.11261194416534</v>
      </c>
      <c r="S50" s="59">
        <f ca="1">AVERAGE(OFFSET($R$3,0,0,'Données projet'!$E$9+1,1))-AVERAGE(OFFSET($H$3,0,0,'Données projet'!$E$9+1,1))</f>
        <v>567.42635821336114</v>
      </c>
      <c r="T50" s="59">
        <f t="shared" si="34"/>
        <v>299.0473530693472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41.702648352425008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41.702648352425008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13.6</v>
      </c>
      <c r="AI50" s="13">
        <f>IF('Données projet'!$A$62&gt;35,AI49+AH50-AQ49,IF(A50&lt;'Données projet'!$A$62,$AF$205^A50,IF(A50='Données projet'!$A$62,'Données projet'!$B$62,AI49+AH50-AQ49)))</f>
        <v>233.20000000000013</v>
      </c>
      <c r="AJ50" s="13">
        <f>AI50*VLOOKUP('Données projet'!$B$10,Paramètres!$A$1:$I$89,3,0)*VLOOKUP('Données projet'!$B$10,Paramètres!$A$1:$I$89,5,0)</f>
        <v>200.08560000000011</v>
      </c>
      <c r="AK50" s="13">
        <f t="shared" si="35"/>
        <v>49.762979545996977</v>
      </c>
      <c r="AL50" s="20">
        <f t="shared" si="4"/>
        <v>435.15294270927825</v>
      </c>
      <c r="AM50" s="59">
        <f t="shared" si="5"/>
        <v>688.21418057347364</v>
      </c>
      <c r="AN50" s="59">
        <f ca="1">AVERAGE(OFFSET($AM$3,0,0,'Données projet'!$E$10+1,1))-AVERAGE(OFFSET($H$3,0,0,'Données projet'!$E$10+1,1))</f>
        <v>570.05585579662738</v>
      </c>
      <c r="AO50" s="59">
        <f t="shared" si="36"/>
        <v>331.25104323342907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46.10115990795412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46.10115990795412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13.598571428571429</v>
      </c>
      <c r="BD50" s="12">
        <f>IF('Données projet'!$A$88&gt;35,BD49+BC50-BL49,IF(A50&lt;'Données projet'!$A$88,$BA$205^A50,IF(A50='Données projet'!$A$88,'Données projet'!$B$88,BD49+BC50-BL49)))</f>
        <v>207.22571428571422</v>
      </c>
      <c r="BE50" s="13">
        <f>BD50*VLOOKUP('Données projet'!$B$11,Paramètres!$A$1:$I$89,3,0)*VLOOKUP('Données projet'!$B$11,Paramètres!$A$1:$I$89,5,0)</f>
        <v>174.56694171428566</v>
      </c>
      <c r="BF50" s="13">
        <f t="shared" si="37"/>
        <v>44.111283150015282</v>
      </c>
      <c r="BG50" s="20">
        <f t="shared" si="7"/>
        <v>380.86457497199081</v>
      </c>
      <c r="BH50" s="59">
        <f t="shared" si="8"/>
        <v>633.9258128361862</v>
      </c>
      <c r="BI50" s="59">
        <f ca="1">AVERAGE(OFFSET($BH$3,0,0,'Données projet'!$E$11+1,1))-AVERAGE(OFFSET($H$3,0,0,'Données projet'!$E$11+1,1))</f>
        <v>458.88102603650725</v>
      </c>
      <c r="BJ50" s="59">
        <f t="shared" si="38"/>
        <v>277.79020316059552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51.724711047131336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51.724711047131336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13.059999999999999</v>
      </c>
      <c r="BY50" s="12">
        <f>IF('Données projet'!$A$114&gt;35,BY49+BX50-CG49,IF(A50&lt;'Données projet'!$A$114,$BV$205^A50,IF(A50='Données projet'!$A$114,'Données projet'!$B$114,BY49+BX50-CG49)))</f>
        <v>239.83000000000013</v>
      </c>
      <c r="BZ50" s="13">
        <f>BY50*VLOOKUP('Données projet'!$B$12,Paramètres!$A$1:$I$89,3,0)*VLOOKUP('Données projet'!$B$12,Paramètres!$A$1:$I$89,5,0)</f>
        <v>228.22222800000014</v>
      </c>
      <c r="CA50" s="13">
        <f t="shared" si="39"/>
        <v>55.898112239120728</v>
      </c>
      <c r="CB50" s="20">
        <f t="shared" si="10"/>
        <v>494.8429259164688</v>
      </c>
      <c r="CC50" s="59">
        <f t="shared" si="11"/>
        <v>747.90416378066425</v>
      </c>
      <c r="CD50" s="59">
        <f ca="1">AVERAGE(OFFSET($CC$3,0,0,'Données projet'!$E$12+1,1))-AVERAGE(OFFSET($H$3,0,0,'Données projet'!$E$12+1,1))</f>
        <v>592.58528888957346</v>
      </c>
      <c r="CE50" s="59">
        <f t="shared" si="40"/>
        <v>311.31528017256846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43.859681887895285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43.859681887895285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27.100000000000005</v>
      </c>
      <c r="CT50" s="12">
        <f>IF('Données projet'!$A$140&gt;35,CT49+CS50-DB49,IF(A50&lt;'Données projet'!$A$140,$CQ$205^A50,IF(A50='Données projet'!$A$140,'Données projet'!$B$140,CT49+CS50-DB49)))</f>
        <v>628.62000000000012</v>
      </c>
      <c r="CU50" s="17">
        <f>CT50*VLOOKUP('Données projet'!$B$13,Paramètres!$A$1:$I$89,3,0)*VLOOKUP('Données projet'!$B$13,Paramètres!$A$1:$I$89,5,0)</f>
        <v>351.39858000000009</v>
      </c>
      <c r="CV50" s="13">
        <f t="shared" si="41"/>
        <v>81.850426510165747</v>
      </c>
      <c r="CW50" s="20">
        <f t="shared" si="13"/>
        <v>754.57535300520556</v>
      </c>
      <c r="CX50" s="59">
        <f t="shared" si="14"/>
        <v>1007.6365908694009</v>
      </c>
      <c r="CY50" s="59">
        <f ca="1">AVERAGE(OFFSET($CX$3,0,0,'Données projet'!$E$13+1,1))-AVERAGE(OFFSET($H$3,0,0,'Données projet'!$E$13+1,1))</f>
        <v>420.4890915162182</v>
      </c>
      <c r="CZ50" s="59">
        <f t="shared" si="42"/>
        <v>553.48432338023565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61.877790397570642</v>
      </c>
      <c r="DG50" s="21">
        <f>EXP(-LN(2)/25)*DG49+(1-EXP(-LN(2)/25))/(LN(2)/25)*Calculateur!DB50*Calculateur!DD50*VLOOKUP('Données projet'!$B$13,Paramètres!$A$1:$I$89,3,0)*0.475*44/12</f>
        <v>31.56483158018526</v>
      </c>
      <c r="DH50" s="21">
        <f>EXP(-LN(2)/2)*DH49+(1-EXP(-LN(2)/2))/(LN(2)/2)*DB50*DE50*VLOOKUP('Données projet'!$B$13,Paramètres!$A$1:$I$89,3,0)*0.475*44/12</f>
        <v>2.0437610298416108E-3</v>
      </c>
      <c r="DI50" s="22">
        <f t="shared" si="15"/>
        <v>93.444665738785744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13.059999999999999</v>
      </c>
      <c r="DO50" s="12">
        <f>IF('Données projet'!$A$166&gt;35,DO49+DN50-DW49,IF(A50&lt;'Données projet'!$A$166,$DL$205^A50,IF(A50='Données projet'!$A$166,'Données projet'!$B$166,DO49+DN50-DW49)))</f>
        <v>239.83000000000013</v>
      </c>
      <c r="DP50" s="17">
        <f>DO50*VLOOKUP('Données projet'!$B$14,Paramètres!$A$1:$I$89,3,0)*VLOOKUP('Données projet'!$B$14,Paramètres!$A$1:$I$89,5,0)</f>
        <v>258.15301200000016</v>
      </c>
      <c r="DQ50" s="13">
        <f t="shared" si="43"/>
        <v>62.328511548003867</v>
      </c>
      <c r="DR50" s="20">
        <f t="shared" si="16"/>
        <v>558.17198684610696</v>
      </c>
      <c r="DS50" s="59">
        <f t="shared" si="17"/>
        <v>811.23322471030235</v>
      </c>
      <c r="DT50" s="59">
        <f ca="1">AVERAGE(OFFSET($DS$3,0,0,'Données projet'!$E$14+1,1))-AVERAGE(OFFSET($H$3,0,0,'Données projet'!$E$14+1,1))</f>
        <v>659.55755908012691</v>
      </c>
      <c r="DU50" s="59">
        <f t="shared" si="44"/>
        <v>343.96647464823627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49.611771315815965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49.611771315815965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13.059999999999999</v>
      </c>
      <c r="EJ50" s="12">
        <f>IF('Données projet'!$A$192&gt;35,EJ49+EI50-ER49,IF(A50&lt;'Données projet'!$A$192,$EG$205^A50,IF(A50='Données projet'!$A$192,'Données projet'!$B$192,EJ49+EI50-ER49)))</f>
        <v>239.83000000000013</v>
      </c>
      <c r="EK50" s="17">
        <f>EJ50*VLOOKUP('Données projet'!$B$15,Paramètres!$A$1:$I$89,3,0)*VLOOKUP('Données projet'!$B$15,Paramètres!$A$1:$I$89,5,0)</f>
        <v>231.9635760000001</v>
      </c>
      <c r="EL50" s="13">
        <f t="shared" si="45"/>
        <v>56.707042281300261</v>
      </c>
      <c r="EM50" s="20">
        <f t="shared" si="19"/>
        <v>502.76799350659803</v>
      </c>
      <c r="EN50" s="59">
        <f t="shared" si="20"/>
        <v>755.82923137079342</v>
      </c>
      <c r="EO50" s="59">
        <f ca="1">AVERAGE(OFFSET($EN$3,0,0,'Données projet'!$E$15+1,1))-AVERAGE(OFFSET($H$3,0,0,'Données projet'!$E$15+1,1))</f>
        <v>600.96600099541388</v>
      </c>
      <c r="EP50" s="59">
        <f t="shared" si="46"/>
        <v>315.40159257508969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44.578693066385362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44.578693066385362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252.89000000000013</v>
      </c>
      <c r="O51" s="13">
        <f>N51*VLOOKUP('Données projet'!$B$9,Paramètres!$A$1:$I$89,3,0)*VLOOKUP('Données projet'!$B$9,Paramètres!$A$1:$I$89,5,0)</f>
        <v>228.81487200000009</v>
      </c>
      <c r="P51" s="13">
        <f t="shared" si="33"/>
        <v>56.026352154237983</v>
      </c>
      <c r="Q51" s="20">
        <f t="shared" si="53"/>
        <v>496.09846540196463</v>
      </c>
      <c r="R51" s="59">
        <f t="shared" si="0"/>
        <v>749.85833408763233</v>
      </c>
      <c r="S51" s="59">
        <f ca="1">AVERAGE(OFFSET($R$3,0,0,'Données projet'!$E$9+1,1))-AVERAGE(OFFSET($H$3,0,0,'Données projet'!$E$9+1,1))</f>
        <v>567.42635821336114</v>
      </c>
      <c r="T51" s="59">
        <f t="shared" si="34"/>
        <v>299.0473530693472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67.172519093966031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67.172519093966031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13.6</v>
      </c>
      <c r="AI51" s="13">
        <f>IF('Données projet'!$A$62&gt;35,AI50+AH51-AQ50,IF(A51&lt;'Données projet'!$A$62,$AF$205^A51,IF(A51='Données projet'!$A$62,'Données projet'!$B$62,AI50+AH51-AQ50)))</f>
        <v>246.80000000000013</v>
      </c>
      <c r="AJ51" s="13">
        <f>AI51*VLOOKUP('Données projet'!$B$10,Paramètres!$A$1:$I$89,3,0)*VLOOKUP('Données projet'!$B$10,Paramètres!$A$1:$I$89,5,0)</f>
        <v>211.75440000000012</v>
      </c>
      <c r="AK51" s="13">
        <f t="shared" si="35"/>
        <v>52.318780408268793</v>
      </c>
      <c r="AL51" s="20">
        <f t="shared" si="4"/>
        <v>459.92745587773499</v>
      </c>
      <c r="AM51" s="59">
        <f t="shared" si="5"/>
        <v>713.68732456340263</v>
      </c>
      <c r="AN51" s="59">
        <f ca="1">AVERAGE(OFFSET($AM$3,0,0,'Données projet'!$E$10+1,1))-AVERAGE(OFFSET($H$3,0,0,'Données projet'!$E$10+1,1))</f>
        <v>570.05585579662738</v>
      </c>
      <c r="AO51" s="59">
        <f t="shared" si="36"/>
        <v>331.25104323342907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45.197144281090168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45.197144281090168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13.598571428571429</v>
      </c>
      <c r="BD51" s="12">
        <f>IF('Données projet'!$A$88&gt;35,BD50+BC51-BL50,IF(A51&lt;'Données projet'!$A$88,$BA$205^A51,IF(A51='Données projet'!$A$88,'Données projet'!$B$88,BD50+BC51-BL50)))</f>
        <v>220.82428571428565</v>
      </c>
      <c r="BE51" s="13">
        <f>BD51*VLOOKUP('Données projet'!$B$11,Paramètres!$A$1:$I$89,3,0)*VLOOKUP('Données projet'!$B$11,Paramètres!$A$1:$I$89,5,0)</f>
        <v>186.02237828571427</v>
      </c>
      <c r="BF51" s="13">
        <f t="shared" si="37"/>
        <v>46.659477261313029</v>
      </c>
      <c r="BG51" s="20">
        <f t="shared" si="7"/>
        <v>405.25423174440584</v>
      </c>
      <c r="BH51" s="59">
        <f t="shared" si="8"/>
        <v>659.01410043007354</v>
      </c>
      <c r="BI51" s="59">
        <f ca="1">AVERAGE(OFFSET($BH$3,0,0,'Données projet'!$E$11+1,1))-AVERAGE(OFFSET($H$3,0,0,'Données projet'!$E$11+1,1))</f>
        <v>458.88102603650725</v>
      </c>
      <c r="BJ51" s="59">
        <f t="shared" si="38"/>
        <v>277.79020316059552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50.710421012455626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50.710421012455626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252.89</v>
      </c>
      <c r="BW51" s="12">
        <f>VLOOKUP(A51,'Données projet'!$A$113:$I$133,9,0)</f>
        <v>13.059999999999999</v>
      </c>
      <c r="BX51" s="12">
        <f t="array" ref="BX51">INDEX(BW:BW,MIN(IF(ISNUMBER(BW51:BW247),ROW(BW51:BW247),"")))</f>
        <v>13.059999999999999</v>
      </c>
      <c r="BY51" s="12">
        <f>IF('Données projet'!$A$114&gt;35,BY50+BX51-CG50,IF(A51&lt;'Données projet'!$A$114,$BV$205^A51,IF(A51='Données projet'!$A$114,'Données projet'!$B$114,BY50+BX51-CG50)))</f>
        <v>252.89000000000013</v>
      </c>
      <c r="BZ51" s="13">
        <f>BY51*VLOOKUP('Données projet'!$B$12,Paramètres!$A$1:$I$89,3,0)*VLOOKUP('Données projet'!$B$12,Paramètres!$A$1:$I$89,5,0)</f>
        <v>240.65012400000015</v>
      </c>
      <c r="CA51" s="13">
        <f t="shared" si="39"/>
        <v>58.579385797648882</v>
      </c>
      <c r="CB51" s="20">
        <f t="shared" si="10"/>
        <v>521.15806289757211</v>
      </c>
      <c r="CC51" s="59">
        <f t="shared" si="11"/>
        <v>774.91793158323981</v>
      </c>
      <c r="CD51" s="59">
        <f ca="1">AVERAGE(OFFSET($CC$3,0,0,'Données projet'!$E$12+1,1))-AVERAGE(OFFSET($H$3,0,0,'Données projet'!$E$12+1,1))</f>
        <v>592.58528888957346</v>
      </c>
      <c r="CE51" s="59">
        <f t="shared" si="40"/>
        <v>311.31528017256846</v>
      </c>
      <c r="CF51" s="15">
        <f>IF(ISNA(VLOOKUP(A51,'Données projet'!$A$113:$I$133,3,0)),0,VLOOKUP(A51,'Données projet'!$A$113:$I$133,3,0))</f>
        <v>3</v>
      </c>
      <c r="CG51" s="15">
        <f>IF(ISNA(VLOOKUP(A51,'Données projet'!$A$113:$I$133,4,0)),0,VLOOKUP(A51,'Données projet'!$A$113:$I$133,4,0))</f>
        <v>61.12</v>
      </c>
      <c r="CH51" s="16">
        <f>IF(ISNA(VLOOKUP(A51,'Données projet'!$A$113:$I$133,5,0)),0%,VLOOKUP(A51,'Données projet'!$A$113:$I$133,5,0)*VLOOKUP('Données projet'!$B$12,Paramètres!$A$1:$I$89,7,0))</f>
        <v>0.43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70.646959736757395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70.646959736757395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655.72</v>
      </c>
      <c r="CR51" s="12">
        <f>VLOOKUP(A51,'Données projet'!$A$139:$I$159,9,0)</f>
        <v>27.100000000000005</v>
      </c>
      <c r="CS51" s="12">
        <f t="array" ref="CS51">INDEX(CR:CR,MIN(IF(ISNUMBER(CR51:CR247),ROW(CR51:CR247),"")))</f>
        <v>27.100000000000005</v>
      </c>
      <c r="CT51" s="12">
        <f>IF('Données projet'!$A$140&gt;35,CT50+CS51-DB50,IF(A51&lt;'Données projet'!$A$140,$CQ$205^A51,IF(A51='Données projet'!$A$140,'Données projet'!$B$140,CT50+CS51-DB50)))</f>
        <v>655.72000000000014</v>
      </c>
      <c r="CU51" s="17">
        <f>CT51*VLOOKUP('Données projet'!$B$13,Paramètres!$A$1:$I$89,3,0)*VLOOKUP('Données projet'!$B$13,Paramètres!$A$1:$I$89,5,0)</f>
        <v>366.54748000000012</v>
      </c>
      <c r="CV51" s="13">
        <f t="shared" si="41"/>
        <v>84.960594614663748</v>
      </c>
      <c r="CW51" s="20">
        <f t="shared" si="13"/>
        <v>786.3765632872063</v>
      </c>
      <c r="CX51" s="59">
        <f t="shared" si="14"/>
        <v>1040.1364319728741</v>
      </c>
      <c r="CY51" s="59">
        <f ca="1">AVERAGE(OFFSET($CX$3,0,0,'Données projet'!$E$13+1,1))-AVERAGE(OFFSET($H$3,0,0,'Données projet'!$E$13+1,1))</f>
        <v>420.4890915162182</v>
      </c>
      <c r="CZ51" s="59">
        <f t="shared" si="42"/>
        <v>553.48432338023565</v>
      </c>
      <c r="DA51" s="15">
        <f>IF(ISNA(VLOOKUP(A51,'Données projet'!$A$139:$I$159,3,0)),0,VLOOKUP(A51,'Données projet'!$A$139:$I$159,3,0))</f>
        <v>6</v>
      </c>
      <c r="DB51" s="15">
        <f>IF(ISNA(VLOOKUP(A51,'Données projet'!$A$139:$I$159,4,0)),0,VLOOKUP(A51,'Données projet'!$A$139:$I$159,4,0))</f>
        <v>101.34</v>
      </c>
      <c r="DC51" s="16">
        <f>IF(ISNA(VLOOKUP(A51,'Données projet'!$A$139:$I$159,5,0)),0%,VLOOKUP(A51,'Données projet'!$A$139:$I$159,5,0)*VLOOKUP('Données projet'!$B$13,Paramètres!$A$1:$I$89,7,0))</f>
        <v>0.55000000000000004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101.99615085613375</v>
      </c>
      <c r="DG51" s="21">
        <f>EXP(-LN(2)/25)*DG50+(1-EXP(-LN(2)/25))/(LN(2)/25)*Calculateur!DB51*Calculateur!DD51*VLOOKUP('Données projet'!$B$13,Paramètres!$A$1:$I$89,3,0)*0.475*44/12</f>
        <v>30.701689600702743</v>
      </c>
      <c r="DH51" s="21">
        <f>EXP(-LN(2)/2)*DH50+(1-EXP(-LN(2)/2))/(LN(2)/2)*DB51*DE51*VLOOKUP('Données projet'!$B$13,Paramètres!$A$1:$I$89,3,0)*0.475*44/12</f>
        <v>1.445157283325805E-3</v>
      </c>
      <c r="DI51" s="22">
        <f t="shared" si="15"/>
        <v>132.69928561411982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252.89</v>
      </c>
      <c r="DM51" s="12">
        <f>VLOOKUP(A51,'Données projet'!$A$165:$I$185,9,0)</f>
        <v>13.059999999999999</v>
      </c>
      <c r="DN51" s="12">
        <f t="array" ref="DN51">INDEX(DM:DM,MIN(IF(ISNUMBER(DM51:DM247),ROW(DM51:DM247),"")))</f>
        <v>13.059999999999999</v>
      </c>
      <c r="DO51" s="12">
        <f>IF('Données projet'!$A$166&gt;35,DO50+DN51-DW50,IF(A51&lt;'Données projet'!$A$166,$DL$205^A51,IF(A51='Données projet'!$A$166,'Données projet'!$B$166,DO50+DN51-DW50)))</f>
        <v>252.89000000000013</v>
      </c>
      <c r="DP51" s="17">
        <f>DO51*VLOOKUP('Données projet'!$B$14,Paramètres!$A$1:$I$89,3,0)*VLOOKUP('Données projet'!$B$14,Paramètres!$A$1:$I$89,5,0)</f>
        <v>272.21079600000013</v>
      </c>
      <c r="DQ51" s="13">
        <f t="shared" si="43"/>
        <v>65.318233083521534</v>
      </c>
      <c r="DR51" s="20">
        <f t="shared" si="16"/>
        <v>587.86305898713351</v>
      </c>
      <c r="DS51" s="59">
        <f t="shared" si="17"/>
        <v>841.62292767280121</v>
      </c>
      <c r="DT51" s="59">
        <f ca="1">AVERAGE(OFFSET($DS$3,0,0,'Données projet'!$E$14+1,1))-AVERAGE(OFFSET($H$3,0,0,'Données projet'!$E$14+1,1))</f>
        <v>659.55755908012691</v>
      </c>
      <c r="DU51" s="59">
        <f t="shared" si="44"/>
        <v>343.96647464823627</v>
      </c>
      <c r="DV51" s="15">
        <f>IF(ISNA(VLOOKUP(A51,'Données projet'!$A$165:$I$185,3,0)),0,VLOOKUP(A51,'Données projet'!$A$165:$I$185,3,0))</f>
        <v>3</v>
      </c>
      <c r="DW51" s="15">
        <f>IF(ISNA(VLOOKUP(A51,'Données projet'!$A$165:$I$185,4,0)),0,VLOOKUP(A51,'Données projet'!$A$165:$I$185,4,0))</f>
        <v>61.12</v>
      </c>
      <c r="DX51" s="16">
        <f>IF(ISNA(VLOOKUP(A51,'Données projet'!$A$165:$I$185,5,0)),0%,VLOOKUP(A51,'Données projet'!$A$165:$I$185,5,0)*VLOOKUP('Données projet'!$B$14,Paramètres!$A$1:$I$89,7,0))</f>
        <v>0.43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79.912134784200973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79.912134784200973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252.89</v>
      </c>
      <c r="EH51" s="12">
        <f>VLOOKUP(A51,'Données projet'!$A$191:$I$211,9,0)</f>
        <v>13.059999999999999</v>
      </c>
      <c r="EI51" s="12">
        <f t="array" ref="EI51">INDEX(EH:EH,MIN(IF(ISNUMBER(EH51:EH247),ROW(EH51:EH247),"")))</f>
        <v>13.059999999999999</v>
      </c>
      <c r="EJ51" s="12">
        <f>IF('Données projet'!$A$192&gt;35,EJ50+EI51-ER50,IF(A51&lt;'Données projet'!$A$192,$EG$205^A51,IF(A51='Données projet'!$A$192,'Données projet'!$B$192,EJ50+EI51-ER50)))</f>
        <v>252.89000000000013</v>
      </c>
      <c r="EK51" s="17">
        <f>EJ51*VLOOKUP('Données projet'!$B$15,Paramètres!$A$1:$I$89,3,0)*VLOOKUP('Données projet'!$B$15,Paramètres!$A$1:$I$89,5,0)</f>
        <v>244.59520800000013</v>
      </c>
      <c r="EL51" s="13">
        <f t="shared" si="45"/>
        <v>59.42711791463767</v>
      </c>
      <c r="EM51" s="20">
        <f t="shared" si="19"/>
        <v>529.50555096799417</v>
      </c>
      <c r="EN51" s="59">
        <f t="shared" si="20"/>
        <v>783.26541965366187</v>
      </c>
      <c r="EO51" s="59">
        <f ca="1">AVERAGE(OFFSET($EN$3,0,0,'Données projet'!$E$15+1,1))-AVERAGE(OFFSET($H$3,0,0,'Données projet'!$E$15+1,1))</f>
        <v>600.96600099541388</v>
      </c>
      <c r="EP51" s="59">
        <f t="shared" si="46"/>
        <v>315.40159257508969</v>
      </c>
      <c r="EQ51" s="15">
        <f>IF(ISNA(VLOOKUP(A51,'Données projet'!$A$191:$I$211,3,0)),0,VLOOKUP(A51,'Données projet'!$A$191:$I$211,3,0))</f>
        <v>3</v>
      </c>
      <c r="ER51" s="15">
        <f>IF(ISNA(VLOOKUP(A51,'Données projet'!$A$191:$I$211,4,0)),0,VLOOKUP(A51,'Données projet'!$A$191:$I$211,4,0))</f>
        <v>61.12</v>
      </c>
      <c r="ES51" s="16">
        <f>IF(ISNA(VLOOKUP(A51,'Données projet'!$A$191:$I$211,5,0)),0%,VLOOKUP(A51,'Données projet'!$A$191:$I$211,5,0)*VLOOKUP('Données projet'!$B$15,Paramètres!$A$1:$I$89,7,0))</f>
        <v>0.43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71.805106617687841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71.805106617687841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204.0414285714287</v>
      </c>
      <c r="O52" s="13">
        <f>N52*VLOOKUP('Données projet'!$B$9,Paramètres!$A$1:$I$89,3,0)*VLOOKUP('Données projet'!$B$9,Paramètres!$A$1:$I$89,5,0)</f>
        <v>184.61668457142869</v>
      </c>
      <c r="P52" s="13">
        <f t="shared" si="33"/>
        <v>46.347794643176776</v>
      </c>
      <c r="Q52" s="20">
        <f t="shared" si="53"/>
        <v>402.26313463210448</v>
      </c>
      <c r="R52" s="59">
        <f t="shared" si="0"/>
        <v>656.70951445639639</v>
      </c>
      <c r="S52" s="59">
        <f ca="1">AVERAGE(OFFSET($R$3,0,0,'Données projet'!$E$9+1,1))-AVERAGE(OFFSET($H$3,0,0,'Données projet'!$E$9+1,1))</f>
        <v>567.42635821336114</v>
      </c>
      <c r="T52" s="59">
        <f t="shared" si="34"/>
        <v>299.0473530693472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65.855306965724438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65.855306965724438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13.6</v>
      </c>
      <c r="AI52" s="13">
        <f>IF('Données projet'!$A$62&gt;35,AI51+AH52-AQ51,IF(A52&lt;'Données projet'!$A$62,$AF$205^A52,IF(A52='Données projet'!$A$62,'Données projet'!$B$62,AI51+AH52-AQ51)))</f>
        <v>260.40000000000015</v>
      </c>
      <c r="AJ52" s="13">
        <f>AI52*VLOOKUP('Données projet'!$B$10,Paramètres!$A$1:$I$89,3,0)*VLOOKUP('Données projet'!$B$10,Paramètres!$A$1:$I$89,5,0)</f>
        <v>223.42320000000015</v>
      </c>
      <c r="AK52" s="13">
        <f t="shared" si="35"/>
        <v>54.858231422257631</v>
      </c>
      <c r="AL52" s="20">
        <f t="shared" si="4"/>
        <v>484.67349306043229</v>
      </c>
      <c r="AM52" s="59">
        <f t="shared" si="5"/>
        <v>739.11987288472426</v>
      </c>
      <c r="AN52" s="59">
        <f ca="1">AVERAGE(OFFSET($AM$3,0,0,'Données projet'!$E$10+1,1))-AVERAGE(OFFSET($H$3,0,0,'Données projet'!$E$10+1,1))</f>
        <v>570.05585579662738</v>
      </c>
      <c r="AO52" s="59">
        <f t="shared" si="36"/>
        <v>331.25104323342907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44.310855849273935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44.310855849273935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13.598571428571429</v>
      </c>
      <c r="BD52" s="12">
        <f>IF('Données projet'!$A$88&gt;35,BD51+BC52-BL51,IF(A52&lt;'Données projet'!$A$88,$BA$205^A52,IF(A52='Données projet'!$A$88,'Données projet'!$B$88,BD51+BC52-BL51)))</f>
        <v>234.42285714285708</v>
      </c>
      <c r="BE52" s="13">
        <f>BD52*VLOOKUP('Données projet'!$B$11,Paramètres!$A$1:$I$89,3,0)*VLOOKUP('Données projet'!$B$11,Paramètres!$A$1:$I$89,5,0)</f>
        <v>197.47781485714282</v>
      </c>
      <c r="BF52" s="13">
        <f t="shared" si="37"/>
        <v>49.189459016144667</v>
      </c>
      <c r="BG52" s="20">
        <f t="shared" si="7"/>
        <v>429.61216866264232</v>
      </c>
      <c r="BH52" s="59">
        <f t="shared" si="8"/>
        <v>684.05854848693434</v>
      </c>
      <c r="BI52" s="59">
        <f ca="1">AVERAGE(OFFSET($BH$3,0,0,'Données projet'!$E$11+1,1))-AVERAGE(OFFSET($H$3,0,0,'Données projet'!$E$11+1,1))</f>
        <v>458.88102603650725</v>
      </c>
      <c r="BJ52" s="59">
        <f t="shared" si="38"/>
        <v>277.79020316059552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49.716020586704076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49.716020586704076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12.271428571428576</v>
      </c>
      <c r="BY52" s="12">
        <f>IF('Données projet'!$A$114&gt;35,BY51+BX52-CG51,IF(A52&lt;'Données projet'!$A$114,$BV$205^A52,IF(A52='Données projet'!$A$114,'Données projet'!$B$114,BY51+BX52-CG51)))</f>
        <v>204.0414285714287</v>
      </c>
      <c r="BZ52" s="13">
        <f>BY52*VLOOKUP('Données projet'!$B$12,Paramètres!$A$1:$I$89,3,0)*VLOOKUP('Données projet'!$B$12,Paramètres!$A$1:$I$89,5,0)</f>
        <v>194.16582342857154</v>
      </c>
      <c r="CA52" s="13">
        <f t="shared" si="39"/>
        <v>48.459791488807113</v>
      </c>
      <c r="CB52" s="20">
        <f t="shared" si="10"/>
        <v>422.57294598110116</v>
      </c>
      <c r="CC52" s="59">
        <f t="shared" si="11"/>
        <v>677.01932580539312</v>
      </c>
      <c r="CD52" s="59">
        <f ca="1">AVERAGE(OFFSET($CC$3,0,0,'Données projet'!$E$12+1,1))-AVERAGE(OFFSET($H$3,0,0,'Données projet'!$E$12+1,1))</f>
        <v>592.58528888957346</v>
      </c>
      <c r="CE52" s="59">
        <f t="shared" si="40"/>
        <v>311.31528017256846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69.261615946710194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69.261615946710194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25.705000000000002</v>
      </c>
      <c r="CT52" s="12">
        <f>IF('Données projet'!$A$140&gt;35,CT51+CS52-DB51,IF(A52&lt;'Données projet'!$A$140,$CQ$205^A52,IF(A52='Données projet'!$A$140,'Données projet'!$B$140,CT51+CS52-DB51)))</f>
        <v>580.08500000000015</v>
      </c>
      <c r="CU52" s="17">
        <f>CT52*VLOOKUP('Données projet'!$B$13,Paramètres!$A$1:$I$89,3,0)*VLOOKUP('Données projet'!$B$13,Paramètres!$A$1:$I$89,5,0)</f>
        <v>324.26751500000012</v>
      </c>
      <c r="CV52" s="13">
        <f t="shared" si="41"/>
        <v>76.240607370612722</v>
      </c>
      <c r="CW52" s="20">
        <f t="shared" si="13"/>
        <v>697.55164646215064</v>
      </c>
      <c r="CX52" s="59">
        <f t="shared" si="14"/>
        <v>951.99802628644261</v>
      </c>
      <c r="CY52" s="59">
        <f ca="1">AVERAGE(OFFSET($CX$3,0,0,'Données projet'!$E$13+1,1))-AVERAGE(OFFSET($H$3,0,0,'Données projet'!$E$13+1,1))</f>
        <v>420.4890915162182</v>
      </c>
      <c r="CZ52" s="59">
        <f t="shared" si="42"/>
        <v>553.48432338023565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99.996068549354121</v>
      </c>
      <c r="DG52" s="21">
        <f>EXP(-LN(2)/25)*DG51+(1-EXP(-LN(2)/25))/(LN(2)/25)*Calculateur!DB52*Calculateur!DD52*VLOOKUP('Données projet'!$B$13,Paramètres!$A$1:$I$89,3,0)*0.475*44/12</f>
        <v>29.862150284039839</v>
      </c>
      <c r="DH52" s="21">
        <f>EXP(-LN(2)/2)*DH51+(1-EXP(-LN(2)/2))/(LN(2)/2)*DB52*DE52*VLOOKUP('Données projet'!$B$13,Paramètres!$A$1:$I$89,3,0)*0.475*44/12</f>
        <v>1.0218805149208054E-3</v>
      </c>
      <c r="DI52" s="22">
        <f t="shared" si="15"/>
        <v>129.85924071390886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12.271428571428576</v>
      </c>
      <c r="DO52" s="12">
        <f>IF('Données projet'!$A$166&gt;35,DO51+DN52-DW51,IF(A52&lt;'Données projet'!$A$166,$DL$205^A52,IF(A52='Données projet'!$A$166,'Données projet'!$B$166,DO51+DN52-DW51)))</f>
        <v>204.0414285714287</v>
      </c>
      <c r="DP52" s="17">
        <f>DO52*VLOOKUP('Données projet'!$B$14,Paramètres!$A$1:$I$89,3,0)*VLOOKUP('Données projet'!$B$14,Paramètres!$A$1:$I$89,5,0)</f>
        <v>219.63019371428587</v>
      </c>
      <c r="DQ52" s="13">
        <f t="shared" si="43"/>
        <v>54.034502283426129</v>
      </c>
      <c r="DR52" s="20">
        <f t="shared" si="16"/>
        <v>476.63267886268164</v>
      </c>
      <c r="DS52" s="59">
        <f t="shared" si="17"/>
        <v>731.07905868697367</v>
      </c>
      <c r="DT52" s="59">
        <f ca="1">AVERAGE(OFFSET($DS$3,0,0,'Données projet'!$E$14+1,1))-AVERAGE(OFFSET($H$3,0,0,'Données projet'!$E$14+1,1))</f>
        <v>659.55755908012691</v>
      </c>
      <c r="DU52" s="59">
        <f t="shared" si="44"/>
        <v>343.96647464823627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78.345106562672171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78.345106562672171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12.271428571428576</v>
      </c>
      <c r="EJ52" s="12">
        <f>IF('Données projet'!$A$192&gt;35,EJ51+EI52-ER51,IF(A52&lt;'Données projet'!$A$192,$EG$205^A52,IF(A52='Données projet'!$A$192,'Données projet'!$B$192,EJ51+EI52-ER51)))</f>
        <v>204.0414285714287</v>
      </c>
      <c r="EK52" s="17">
        <f>EJ52*VLOOKUP('Données projet'!$B$15,Paramètres!$A$1:$I$89,3,0)*VLOOKUP('Données projet'!$B$15,Paramètres!$A$1:$I$89,5,0)</f>
        <v>197.34886971428583</v>
      </c>
      <c r="EL52" s="13">
        <f t="shared" si="45"/>
        <v>49.161077804261964</v>
      </c>
      <c r="EM52" s="20">
        <f t="shared" si="19"/>
        <v>429.33815859480404</v>
      </c>
      <c r="EN52" s="59">
        <f t="shared" si="20"/>
        <v>683.78453841909595</v>
      </c>
      <c r="EO52" s="59">
        <f ca="1">AVERAGE(OFFSET($EN$3,0,0,'Données projet'!$E$15+1,1))-AVERAGE(OFFSET($H$3,0,0,'Données projet'!$E$15+1,1))</f>
        <v>600.96600099541388</v>
      </c>
      <c r="EP52" s="59">
        <f t="shared" si="46"/>
        <v>315.40159257508969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70.397052273705441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70.397052273705441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216.31285714285727</v>
      </c>
      <c r="O53" s="13">
        <f>N53*VLOOKUP('Données projet'!$B$9,Paramètres!$A$1:$I$89,3,0)*VLOOKUP('Données projet'!$B$9,Paramètres!$A$1:$I$89,5,0)</f>
        <v>195.71987314285727</v>
      </c>
      <c r="P53" s="13">
        <f t="shared" si="33"/>
        <v>48.8023443653355</v>
      </c>
      <c r="Q53" s="20">
        <f t="shared" si="53"/>
        <v>425.87619549343572</v>
      </c>
      <c r="R53" s="59">
        <f t="shared" si="0"/>
        <v>680.99717702290582</v>
      </c>
      <c r="S53" s="59">
        <f ca="1">AVERAGE(OFFSET($R$3,0,0,'Données projet'!$E$9+1,1))-AVERAGE(OFFSET($H$3,0,0,'Données projet'!$E$9+1,1))</f>
        <v>567.42635821336114</v>
      </c>
      <c r="T53" s="59">
        <f t="shared" si="34"/>
        <v>299.0473530693472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64.563924563897586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64.563924563897586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274</v>
      </c>
      <c r="AG53" s="12">
        <f>VLOOKUP(A53,'Données projet'!$A$61:$I$81,9,0)</f>
        <v>13.6</v>
      </c>
      <c r="AH53" s="12">
        <f t="array" ref="AH53">INDEX(AG:AG,MIN(IF(ISNUMBER(AG53:AG249),ROW(AG53:AG249),"")))</f>
        <v>13.6</v>
      </c>
      <c r="AI53" s="13">
        <f>IF('Données projet'!$A$62&gt;35,AI52+AH53-AQ52,IF(A53&lt;'Données projet'!$A$62,$AF$205^A53,IF(A53='Données projet'!$A$62,'Données projet'!$B$62,AI52+AH53-AQ52)))</f>
        <v>274.00000000000017</v>
      </c>
      <c r="AJ53" s="13">
        <f>AI53*VLOOKUP('Données projet'!$B$10,Paramètres!$A$1:$I$89,3,0)*VLOOKUP('Données projet'!$B$10,Paramètres!$A$1:$I$89,5,0)</f>
        <v>235.09200000000016</v>
      </c>
      <c r="AK53" s="13">
        <f t="shared" si="35"/>
        <v>57.38228388709345</v>
      </c>
      <c r="AL53" s="20">
        <f t="shared" si="4"/>
        <v>509.39271110335471</v>
      </c>
      <c r="AM53" s="59">
        <f t="shared" si="5"/>
        <v>764.51369263282481</v>
      </c>
      <c r="AN53" s="59">
        <f ca="1">AVERAGE(OFFSET($AM$3,0,0,'Données projet'!$E$10+1,1))-AVERAGE(OFFSET($H$3,0,0,'Données projet'!$E$10+1,1))</f>
        <v>570.05585579662738</v>
      </c>
      <c r="AO53" s="59">
        <f t="shared" si="36"/>
        <v>331.25104323342907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35</v>
      </c>
      <c r="AR53" s="16">
        <f>IF(ISNA(VLOOKUP(A53,'Données projet'!$A$61:$I$81,5,0)),0%,VLOOKUP(A53,'Données projet'!$A$61:$I$81,5,0)*VLOOKUP('Données projet'!$B$10,Paramètres!$A$1:$I$89,7,0))</f>
        <v>0.53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61.036503006631534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61.036503006631534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13.598571428571429</v>
      </c>
      <c r="BD53" s="12">
        <f>IF('Données projet'!$A$88&gt;35,BD52+BC53-BL52,IF(A53&lt;'Données projet'!$A$88,$BA$205^A53,IF(A53='Données projet'!$A$88,'Données projet'!$B$88,BD52+BC53-BL52)))</f>
        <v>248.02142857142852</v>
      </c>
      <c r="BE53" s="13">
        <f>BD53*VLOOKUP('Données projet'!$B$11,Paramètres!$A$1:$I$89,3,0)*VLOOKUP('Données projet'!$B$11,Paramètres!$A$1:$I$89,5,0)</f>
        <v>208.9332514285714</v>
      </c>
      <c r="BF53" s="13">
        <f t="shared" si="37"/>
        <v>51.702405248349578</v>
      </c>
      <c r="BG53" s="20">
        <f t="shared" si="7"/>
        <v>453.94043537897068</v>
      </c>
      <c r="BH53" s="59">
        <f t="shared" si="8"/>
        <v>709.06141690844083</v>
      </c>
      <c r="BI53" s="59">
        <f ca="1">AVERAGE(OFFSET($BH$3,0,0,'Données projet'!$E$11+1,1))-AVERAGE(OFFSET($H$3,0,0,'Données projet'!$E$11+1,1))</f>
        <v>458.88102603650725</v>
      </c>
      <c r="BJ53" s="59">
        <f t="shared" si="38"/>
        <v>277.79020316059552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48.741119746777144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48.741119746777144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12.271428571428576</v>
      </c>
      <c r="BY53" s="12">
        <f>IF('Données projet'!$A$114&gt;35,BY52+BX53-CG52,IF(A53&lt;'Données projet'!$A$114,$BV$205^A53,IF(A53='Données projet'!$A$114,'Données projet'!$B$114,BY52+BX53-CG52)))</f>
        <v>216.31285714285727</v>
      </c>
      <c r="BZ53" s="13">
        <f>BY53*VLOOKUP('Données projet'!$B$12,Paramètres!$A$1:$I$89,3,0)*VLOOKUP('Données projet'!$B$12,Paramètres!$A$1:$I$89,5,0)</f>
        <v>205.84331485714299</v>
      </c>
      <c r="CA53" s="13">
        <f t="shared" si="39"/>
        <v>51.026191220455026</v>
      </c>
      <c r="CB53" s="20">
        <f t="shared" si="10"/>
        <v>447.38105641848318</v>
      </c>
      <c r="CC53" s="59">
        <f t="shared" si="11"/>
        <v>702.50203794795334</v>
      </c>
      <c r="CD53" s="59">
        <f ca="1">AVERAGE(OFFSET($CC$3,0,0,'Données projet'!$E$12+1,1))-AVERAGE(OFFSET($H$3,0,0,'Données projet'!$E$12+1,1))</f>
        <v>592.58528888957346</v>
      </c>
      <c r="CE53" s="59">
        <f t="shared" si="40"/>
        <v>311.31528017256846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67.903437903409539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67.903437903409539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25.705000000000002</v>
      </c>
      <c r="CT53" s="12">
        <f>IF('Données projet'!$A$140&gt;35,CT52+CS53-DB52,IF(A53&lt;'Données projet'!$A$140,$CQ$205^A53,IF(A53='Données projet'!$A$140,'Données projet'!$B$140,CT52+CS53-DB52)))</f>
        <v>605.79000000000019</v>
      </c>
      <c r="CU53" s="17">
        <f>CT53*VLOOKUP('Données projet'!$B$13,Paramètres!$A$1:$I$89,3,0)*VLOOKUP('Données projet'!$B$13,Paramètres!$A$1:$I$89,5,0)</f>
        <v>338.63661000000013</v>
      </c>
      <c r="CV53" s="13">
        <f t="shared" si="41"/>
        <v>79.218195577662726</v>
      </c>
      <c r="CW53" s="20">
        <f t="shared" si="13"/>
        <v>727.76378638109611</v>
      </c>
      <c r="CX53" s="59">
        <f t="shared" si="14"/>
        <v>982.88476791056621</v>
      </c>
      <c r="CY53" s="59">
        <f ca="1">AVERAGE(OFFSET($CX$3,0,0,'Données projet'!$E$13+1,1))-AVERAGE(OFFSET($H$3,0,0,'Données projet'!$E$13+1,1))</f>
        <v>420.4890915162182</v>
      </c>
      <c r="CZ53" s="59">
        <f t="shared" si="42"/>
        <v>553.48432338023565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98.035206636680684</v>
      </c>
      <c r="DG53" s="21">
        <f>EXP(-LN(2)/25)*DG52+(1-EXP(-LN(2)/25))/(LN(2)/25)*Calculateur!DB53*Calculateur!DD53*VLOOKUP('Données projet'!$B$13,Paramètres!$A$1:$I$89,3,0)*0.475*44/12</f>
        <v>29.045568214140538</v>
      </c>
      <c r="DH53" s="21">
        <f>EXP(-LN(2)/2)*DH52+(1-EXP(-LN(2)/2))/(LN(2)/2)*DB53*DE53*VLOOKUP('Données projet'!$B$13,Paramètres!$A$1:$I$89,3,0)*0.475*44/12</f>
        <v>7.2257864166290248E-4</v>
      </c>
      <c r="DI53" s="22">
        <f t="shared" si="15"/>
        <v>127.08149742946289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12.271428571428576</v>
      </c>
      <c r="DO53" s="12">
        <f>IF('Données projet'!$A$166&gt;35,DO52+DN53-DW52,IF(A53&lt;'Données projet'!$A$166,$DL$205^A53,IF(A53='Données projet'!$A$166,'Données projet'!$B$166,DO52+DN53-DW52)))</f>
        <v>216.31285714285727</v>
      </c>
      <c r="DP53" s="17">
        <f>DO53*VLOOKUP('Données projet'!$B$14,Paramètres!$A$1:$I$89,3,0)*VLOOKUP('Données projet'!$B$14,Paramètres!$A$1:$I$89,5,0)</f>
        <v>232.83915942857158</v>
      </c>
      <c r="DQ53" s="13">
        <f t="shared" si="43"/>
        <v>56.896135152646025</v>
      </c>
      <c r="DR53" s="20">
        <f t="shared" si="16"/>
        <v>504.62230472895391</v>
      </c>
      <c r="DS53" s="59">
        <f t="shared" si="17"/>
        <v>759.74328625842395</v>
      </c>
      <c r="DT53" s="59">
        <f ca="1">AVERAGE(OFFSET($DS$3,0,0,'Données projet'!$E$14+1,1))-AVERAGE(OFFSET($H$3,0,0,'Données projet'!$E$14+1,1))</f>
        <v>659.55755908012691</v>
      </c>
      <c r="DU53" s="59">
        <f t="shared" si="44"/>
        <v>343.96647464823627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76.808806808774719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76.808806808774719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12.271428571428576</v>
      </c>
      <c r="EJ53" s="12">
        <f>IF('Données projet'!$A$192&gt;35,EJ52+EI53-ER52,IF(A53&lt;'Données projet'!$A$192,$EG$205^A53,IF(A53='Données projet'!$A$192,'Données projet'!$B$192,EJ52+EI53-ER52)))</f>
        <v>216.31285714285727</v>
      </c>
      <c r="EK53" s="17">
        <f>EJ53*VLOOKUP('Données projet'!$B$15,Paramètres!$A$1:$I$89,3,0)*VLOOKUP('Données projet'!$B$15,Paramètres!$A$1:$I$89,5,0)</f>
        <v>209.21779542857158</v>
      </c>
      <c r="EL53" s="13">
        <f t="shared" si="45"/>
        <v>51.764617213083469</v>
      </c>
      <c r="EM53" s="20">
        <f t="shared" si="19"/>
        <v>454.54436868421584</v>
      </c>
      <c r="EN53" s="59">
        <f t="shared" si="20"/>
        <v>709.665350213686</v>
      </c>
      <c r="EO53" s="59">
        <f ca="1">AVERAGE(OFFSET($EN$3,0,0,'Données projet'!$E$15+1,1))-AVERAGE(OFFSET($H$3,0,0,'Données projet'!$E$15+1,1))</f>
        <v>600.96600099541388</v>
      </c>
      <c r="EP53" s="59">
        <f t="shared" si="46"/>
        <v>315.40159257508969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69.01660901658019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69.01660901658019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228.58428571428584</v>
      </c>
      <c r="O54" s="13">
        <f>N54*VLOOKUP('Données projet'!$B$9,Paramètres!$A$1:$I$89,3,0)*VLOOKUP('Données projet'!$B$9,Paramètres!$A$1:$I$89,5,0)</f>
        <v>206.82306171428581</v>
      </c>
      <c r="P54" s="13">
        <f t="shared" si="33"/>
        <v>51.240730027878335</v>
      </c>
      <c r="Q54" s="20">
        <f t="shared" si="53"/>
        <v>449.46110395093586</v>
      </c>
      <c r="R54" s="59">
        <f t="shared" si="0"/>
        <v>705.24498435418263</v>
      </c>
      <c r="S54" s="59">
        <f ca="1">AVERAGE(OFFSET($R$3,0,0,'Données projet'!$E$9+1,1))-AVERAGE(OFFSET($H$3,0,0,'Données projet'!$E$9+1,1))</f>
        <v>567.42635821336114</v>
      </c>
      <c r="T54" s="59">
        <f t="shared" si="34"/>
        <v>299.0473530693472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63.297865383305073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63.297865383305073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13.4</v>
      </c>
      <c r="AI54" s="13">
        <f>IF('Données projet'!$A$62&gt;35,AI53+AH54-AQ53,IF(A54&lt;'Données projet'!$A$62,$AF$205^A54,IF(A54='Données projet'!$A$62,'Données projet'!$B$62,AI53+AH54-AQ53)))</f>
        <v>252.40000000000015</v>
      </c>
      <c r="AJ54" s="13">
        <f>AI54*VLOOKUP('Données projet'!$B$10,Paramètres!$A$1:$I$89,3,0)*VLOOKUP('Données projet'!$B$10,Paramètres!$A$1:$I$89,5,0)</f>
        <v>216.55920000000012</v>
      </c>
      <c r="AK54" s="13">
        <f t="shared" si="35"/>
        <v>53.366360125240526</v>
      </c>
      <c r="AL54" s="20">
        <f t="shared" si="4"/>
        <v>470.12035055146072</v>
      </c>
      <c r="AM54" s="59">
        <f t="shared" si="5"/>
        <v>725.9042309547076</v>
      </c>
      <c r="AN54" s="59">
        <f ca="1">AVERAGE(OFFSET($AM$3,0,0,'Données projet'!$E$10+1,1))-AVERAGE(OFFSET($H$3,0,0,'Données projet'!$E$10+1,1))</f>
        <v>570.05585579662738</v>
      </c>
      <c r="AO54" s="59">
        <f t="shared" si="36"/>
        <v>331.25104323342907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59.839614411262303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59.839614411262303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261.62</v>
      </c>
      <c r="BB54" s="12">
        <f>VLOOKUP(A54,'Données projet'!$A$87:$I$107,9,0)</f>
        <v>13.598571428571429</v>
      </c>
      <c r="BC54" s="12">
        <f t="array" ref="BC54">INDEX(BB:BB,MIN(IF(ISNUMBER(BB54:BB250),ROW(BB54:BB250),"")))</f>
        <v>13.598571428571429</v>
      </c>
      <c r="BD54" s="12">
        <f>IF('Données projet'!$A$88&gt;35,BD53+BC54-BL53,IF(A54&lt;'Données projet'!$A$88,$BA$205^A54,IF(A54='Données projet'!$A$88,'Données projet'!$B$88,BD53+BC54-BL53)))</f>
        <v>261.61999999999995</v>
      </c>
      <c r="BE54" s="13">
        <f>BD54*VLOOKUP('Données projet'!$B$11,Paramètres!$A$1:$I$89,3,0)*VLOOKUP('Données projet'!$B$11,Paramètres!$A$1:$I$89,5,0)</f>
        <v>220.38868799999997</v>
      </c>
      <c r="BF54" s="13">
        <f t="shared" si="37"/>
        <v>54.199356456019601</v>
      </c>
      <c r="BG54" s="20">
        <f t="shared" si="7"/>
        <v>478.24084409423403</v>
      </c>
      <c r="BH54" s="59">
        <f t="shared" si="8"/>
        <v>734.02472449748086</v>
      </c>
      <c r="BI54" s="59">
        <f ca="1">AVERAGE(OFFSET($BH$3,0,0,'Données projet'!$E$11+1,1))-AVERAGE(OFFSET($H$3,0,0,'Données projet'!$E$11+1,1))</f>
        <v>458.88102603650725</v>
      </c>
      <c r="BJ54" s="59">
        <f t="shared" si="38"/>
        <v>277.79020316059552</v>
      </c>
      <c r="BK54" s="15">
        <f>IF(ISNA(VLOOKUP(A54,'Données projet'!$A$87:$I$107,3,0)),0,VLOOKUP(A54,'Données projet'!$A$87:$I$107,3,0))</f>
        <v>4</v>
      </c>
      <c r="BL54" s="15">
        <f>IF(ISNA(VLOOKUP(A54,'Données projet'!$A$87:$I$107,4,0)),0,VLOOKUP(A54,'Données projet'!$A$87:$I$107,4,0))</f>
        <v>50.63</v>
      </c>
      <c r="BM54" s="16">
        <f>IF(ISNA(VLOOKUP(A54,'Données projet'!$A$87:$I$107,5,0)),0%,VLOOKUP(A54,'Données projet'!$A$87:$I$107,5,0)*VLOOKUP('Données projet'!$B$11,Paramètres!$A$1:$I$89,7,0))</f>
        <v>0.43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68.059448593946314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68.059448593946314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12.271428571428576</v>
      </c>
      <c r="BY54" s="12">
        <f>IF('Données projet'!$A$114&gt;35,BY53+BX54-CG53,IF(A54&lt;'Données projet'!$A$114,$BV$205^A54,IF(A54='Données projet'!$A$114,'Données projet'!$B$114,BY53+BX54-CG53)))</f>
        <v>228.58428571428584</v>
      </c>
      <c r="BZ54" s="13">
        <f>BY54*VLOOKUP('Données projet'!$B$12,Paramètres!$A$1:$I$89,3,0)*VLOOKUP('Données projet'!$B$12,Paramètres!$A$1:$I$89,5,0)</f>
        <v>217.52080628571443</v>
      </c>
      <c r="CA54" s="13">
        <f t="shared" si="39"/>
        <v>53.575690321455305</v>
      </c>
      <c r="CB54" s="20">
        <f t="shared" si="10"/>
        <v>472.15973159082063</v>
      </c>
      <c r="CC54" s="59">
        <f t="shared" si="11"/>
        <v>727.9436119940674</v>
      </c>
      <c r="CD54" s="59">
        <f ca="1">AVERAGE(OFFSET($CC$3,0,0,'Données projet'!$E$12+1,1))-AVERAGE(OFFSET($H$3,0,0,'Données projet'!$E$12+1,1))</f>
        <v>592.58528888957346</v>
      </c>
      <c r="CE54" s="59">
        <f t="shared" si="40"/>
        <v>311.31528017256846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66.571892903131214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66.571892903131214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25.705000000000002</v>
      </c>
      <c r="CT54" s="12">
        <f>IF('Données projet'!$A$140&gt;35,CT53+CS54-DB53,IF(A54&lt;'Données projet'!$A$140,$CQ$205^A54,IF(A54='Données projet'!$A$140,'Données projet'!$B$140,CT53+CS54-DB53)))</f>
        <v>631.49500000000023</v>
      </c>
      <c r="CU54" s="17">
        <f>CT54*VLOOKUP('Données projet'!$B$13,Paramètres!$A$1:$I$89,3,0)*VLOOKUP('Données projet'!$B$13,Paramètres!$A$1:$I$89,5,0)</f>
        <v>353.00570500000015</v>
      </c>
      <c r="CV54" s="13">
        <f t="shared" si="41"/>
        <v>82.181108764690435</v>
      </c>
      <c r="CW54" s="20">
        <f t="shared" si="13"/>
        <v>757.95036730683603</v>
      </c>
      <c r="CX54" s="59">
        <f t="shared" si="14"/>
        <v>1013.7342477100829</v>
      </c>
      <c r="CY54" s="59">
        <f ca="1">AVERAGE(OFFSET($CX$3,0,0,'Données projet'!$E$13+1,1))-AVERAGE(OFFSET($H$3,0,0,'Données projet'!$E$13+1,1))</f>
        <v>420.4890915162182</v>
      </c>
      <c r="CZ54" s="59">
        <f t="shared" si="42"/>
        <v>553.48432338023565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96.112796030107106</v>
      </c>
      <c r="DG54" s="21">
        <f>EXP(-LN(2)/25)*DG53+(1-EXP(-LN(2)/25))/(LN(2)/25)*Calculateur!DB54*Calculateur!DD54*VLOOKUP('Données projet'!$B$13,Paramètres!$A$1:$I$89,3,0)*0.475*44/12</f>
        <v>28.251315623884818</v>
      </c>
      <c r="DH54" s="21">
        <f>EXP(-LN(2)/2)*DH53+(1-EXP(-LN(2)/2))/(LN(2)/2)*DB54*DE54*VLOOKUP('Données projet'!$B$13,Paramètres!$A$1:$I$89,3,0)*0.475*44/12</f>
        <v>5.109402574604027E-4</v>
      </c>
      <c r="DI54" s="22">
        <f t="shared" si="15"/>
        <v>124.36462259424938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12.271428571428576</v>
      </c>
      <c r="DO54" s="12">
        <f>IF('Données projet'!$A$166&gt;35,DO53+DN54-DW53,IF(A54&lt;'Données projet'!$A$166,$DL$205^A54,IF(A54='Données projet'!$A$166,'Données projet'!$B$166,DO53+DN54-DW53)))</f>
        <v>228.58428571428584</v>
      </c>
      <c r="DP54" s="17">
        <f>DO54*VLOOKUP('Données projet'!$B$14,Paramètres!$A$1:$I$89,3,0)*VLOOKUP('Données projet'!$B$14,Paramètres!$A$1:$I$89,5,0)</f>
        <v>246.04812514285726</v>
      </c>
      <c r="DQ54" s="13">
        <f t="shared" si="43"/>
        <v>59.738923178806004</v>
      </c>
      <c r="DR54" s="20">
        <f t="shared" si="16"/>
        <v>532.57910916023013</v>
      </c>
      <c r="DS54" s="59">
        <f t="shared" si="17"/>
        <v>788.36298956347696</v>
      </c>
      <c r="DT54" s="59">
        <f ca="1">AVERAGE(OFFSET($DS$3,0,0,'Données projet'!$E$14+1,1))-AVERAGE(OFFSET($H$3,0,0,'Données projet'!$E$14+1,1))</f>
        <v>659.55755908012691</v>
      </c>
      <c r="DU54" s="59">
        <f t="shared" si="44"/>
        <v>343.96647464823627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75.302632956000878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75.302632956000878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12.271428571428576</v>
      </c>
      <c r="EJ54" s="12">
        <f>IF('Données projet'!$A$192&gt;35,EJ53+EI54-ER53,IF(A54&lt;'Données projet'!$A$192,$EG$205^A54,IF(A54='Données projet'!$A$192,'Données projet'!$B$192,EJ53+EI54-ER53)))</f>
        <v>228.58428571428584</v>
      </c>
      <c r="EK54" s="17">
        <f>EJ54*VLOOKUP('Données projet'!$B$15,Paramètres!$A$1:$I$89,3,0)*VLOOKUP('Données projet'!$B$15,Paramètres!$A$1:$I$89,5,0)</f>
        <v>221.08672114285727</v>
      </c>
      <c r="EL54" s="13">
        <f t="shared" si="45"/>
        <v>54.35101141362636</v>
      </c>
      <c r="EM54" s="20">
        <f t="shared" si="19"/>
        <v>479.72071753587562</v>
      </c>
      <c r="EN54" s="59">
        <f t="shared" si="20"/>
        <v>735.5045979391225</v>
      </c>
      <c r="EO54" s="59">
        <f ca="1">AVERAGE(OFFSET($EN$3,0,0,'Données projet'!$E$15+1,1))-AVERAGE(OFFSET($H$3,0,0,'Données projet'!$E$15+1,1))</f>
        <v>600.96600099541388</v>
      </c>
      <c r="EP54" s="59">
        <f t="shared" si="46"/>
        <v>315.40159257508969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67.663235409739926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67.663235409739926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240.85571428571441</v>
      </c>
      <c r="O55" s="13">
        <f>N55*VLOOKUP('Données projet'!$B$9,Paramètres!$A$1:$I$89,3,0)*VLOOKUP('Données projet'!$B$9,Paramètres!$A$1:$I$89,5,0)</f>
        <v>217.92625028571439</v>
      </c>
      <c r="P55" s="13">
        <f t="shared" si="33"/>
        <v>53.663918329427027</v>
      </c>
      <c r="Q55" s="20">
        <f t="shared" si="53"/>
        <v>473.01954367137131</v>
      </c>
      <c r="R55" s="59">
        <f t="shared" si="0"/>
        <v>729.45482313495472</v>
      </c>
      <c r="S55" s="59">
        <f ca="1">AVERAGE(OFFSET($R$3,0,0,'Données projet'!$E$9+1,1))-AVERAGE(OFFSET($H$3,0,0,'Données projet'!$E$9+1,1))</f>
        <v>567.42635821336114</v>
      </c>
      <c r="T55" s="59">
        <f t="shared" si="34"/>
        <v>299.0473530693472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62.056632851024133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62.056632851024133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13.4</v>
      </c>
      <c r="AI55" s="13">
        <f>IF('Données projet'!$A$62&gt;35,AI54+AH55-AQ54,IF(A55&lt;'Données projet'!$A$62,$AF$205^A55,IF(A55='Données projet'!$A$62,'Données projet'!$B$62,AI54+AH55-AQ54)))</f>
        <v>265.80000000000013</v>
      </c>
      <c r="AJ55" s="13">
        <f>AI55*VLOOKUP('Données projet'!$B$10,Paramètres!$A$1:$I$89,3,0)*VLOOKUP('Données projet'!$B$10,Paramètres!$A$1:$I$89,5,0)</f>
        <v>228.05640000000014</v>
      </c>
      <c r="AK55" s="13">
        <f t="shared" si="35"/>
        <v>55.862222430632038</v>
      </c>
      <c r="AL55" s="20">
        <f t="shared" si="4"/>
        <v>494.49160073335105</v>
      </c>
      <c r="AM55" s="59">
        <f t="shared" si="5"/>
        <v>750.92688019693446</v>
      </c>
      <c r="AN55" s="59">
        <f ca="1">AVERAGE(OFFSET($AM$3,0,0,'Données projet'!$E$10+1,1))-AVERAGE(OFFSET($H$3,0,0,'Données projet'!$E$10+1,1))</f>
        <v>570.05585579662738</v>
      </c>
      <c r="AO55" s="59">
        <f t="shared" si="36"/>
        <v>331.25104323342907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58.666196071218309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58.666196071218309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13.447142857142856</v>
      </c>
      <c r="BD55" s="12">
        <f>IF('Données projet'!$A$88&gt;35,BD54+BC55-BL54,IF(A55&lt;'Données projet'!$A$88,$BA$205^A55,IF(A55='Données projet'!$A$88,'Données projet'!$B$88,BD54+BC55-BL54)))</f>
        <v>224.43714285714282</v>
      </c>
      <c r="BE55" s="13">
        <f>BD55*VLOOKUP('Données projet'!$B$11,Paramètres!$A$1:$I$89,3,0)*VLOOKUP('Données projet'!$B$11,Paramètres!$A$1:$I$89,5,0)</f>
        <v>189.06584914285713</v>
      </c>
      <c r="BF55" s="13">
        <f t="shared" si="37"/>
        <v>47.333366154738869</v>
      </c>
      <c r="BG55" s="20">
        <f t="shared" si="7"/>
        <v>411.72863330997967</v>
      </c>
      <c r="BH55" s="59">
        <f t="shared" si="8"/>
        <v>668.16391277356297</v>
      </c>
      <c r="BI55" s="59">
        <f ca="1">AVERAGE(OFFSET($BH$3,0,0,'Données projet'!$E$11+1,1))-AVERAGE(OFFSET($H$3,0,0,'Données projet'!$E$11+1,1))</f>
        <v>458.88102603650725</v>
      </c>
      <c r="BJ55" s="59">
        <f t="shared" si="38"/>
        <v>277.79020316059552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66.724844319183688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66.724844319183688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12.271428571428576</v>
      </c>
      <c r="BY55" s="12">
        <f>IF('Données projet'!$A$114&gt;35,BY54+BX55-CG54,IF(A55&lt;'Données projet'!$A$114,$BV$205^A55,IF(A55='Données projet'!$A$114,'Données projet'!$B$114,BY54+BX55-CG54)))</f>
        <v>240.85571428571441</v>
      </c>
      <c r="BZ55" s="13">
        <f>BY55*VLOOKUP('Données projet'!$B$12,Paramètres!$A$1:$I$89,3,0)*VLOOKUP('Données projet'!$B$12,Paramètres!$A$1:$I$89,5,0)</f>
        <v>229.19829771428584</v>
      </c>
      <c r="CA55" s="13">
        <f t="shared" si="39"/>
        <v>56.1092995413808</v>
      </c>
      <c r="CB55" s="20">
        <f t="shared" si="10"/>
        <v>496.91073188695265</v>
      </c>
      <c r="CC55" s="59">
        <f t="shared" si="11"/>
        <v>753.34601135053595</v>
      </c>
      <c r="CD55" s="59">
        <f ca="1">AVERAGE(OFFSET($CC$3,0,0,'Données projet'!$E$12+1,1))-AVERAGE(OFFSET($H$3,0,0,'Données projet'!$E$12+1,1))</f>
        <v>592.58528888957346</v>
      </c>
      <c r="CE55" s="59">
        <f t="shared" si="40"/>
        <v>311.31528017256846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65.266458688146088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65.266458688146088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25.705000000000002</v>
      </c>
      <c r="CT55" s="12">
        <f>IF('Données projet'!$A$140&gt;35,CT54+CS55-DB54,IF(A55&lt;'Données projet'!$A$140,$CQ$205^A55,IF(A55='Données projet'!$A$140,'Données projet'!$B$140,CT54+CS55-DB54)))</f>
        <v>657.20000000000027</v>
      </c>
      <c r="CU55" s="17">
        <f>CT55*VLOOKUP('Données projet'!$B$13,Paramètres!$A$1:$I$89,3,0)*VLOOKUP('Données projet'!$B$13,Paramètres!$A$1:$I$89,5,0)</f>
        <v>367.37480000000016</v>
      </c>
      <c r="CV55" s="13">
        <f t="shared" si="41"/>
        <v>85.13001260681672</v>
      </c>
      <c r="CW55" s="20">
        <f t="shared" si="13"/>
        <v>788.11254862353928</v>
      </c>
      <c r="CX55" s="59">
        <f t="shared" si="14"/>
        <v>1044.5478280871225</v>
      </c>
      <c r="CY55" s="59">
        <f ca="1">AVERAGE(OFFSET($CX$3,0,0,'Données projet'!$E$13+1,1))-AVERAGE(OFFSET($H$3,0,0,'Données projet'!$E$13+1,1))</f>
        <v>420.4890915162182</v>
      </c>
      <c r="CZ55" s="59">
        <f t="shared" si="42"/>
        <v>553.48432338023565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94.228082722973738</v>
      </c>
      <c r="DG55" s="21">
        <f>EXP(-LN(2)/25)*DG54+(1-EXP(-LN(2)/25))/(LN(2)/25)*Calculateur!DB55*Calculateur!DD55*VLOOKUP('Données projet'!$B$13,Paramètres!$A$1:$I$89,3,0)*0.475*44/12</f>
        <v>27.478781912477569</v>
      </c>
      <c r="DH55" s="21">
        <f>EXP(-LN(2)/2)*DH54+(1-EXP(-LN(2)/2))/(LN(2)/2)*DB55*DE55*VLOOKUP('Données projet'!$B$13,Paramètres!$A$1:$I$89,3,0)*0.475*44/12</f>
        <v>3.6128932083145124E-4</v>
      </c>
      <c r="DI55" s="22">
        <f t="shared" si="15"/>
        <v>121.70722592477215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12.271428571428576</v>
      </c>
      <c r="DO55" s="12">
        <f>IF('Données projet'!$A$166&gt;35,DO54+DN55-DW54,IF(A55&lt;'Données projet'!$A$166,$DL$205^A55,IF(A55='Données projet'!$A$166,'Données projet'!$B$166,DO54+DN55-DW54)))</f>
        <v>240.85571428571441</v>
      </c>
      <c r="DP55" s="17">
        <f>DO55*VLOOKUP('Données projet'!$B$14,Paramètres!$A$1:$I$89,3,0)*VLOOKUP('Données projet'!$B$14,Paramètres!$A$1:$I$89,5,0)</f>
        <v>259.257090857143</v>
      </c>
      <c r="DQ55" s="13">
        <f t="shared" si="43"/>
        <v>62.563993385948706</v>
      </c>
      <c r="DR55" s="20">
        <f t="shared" si="16"/>
        <v>560.50505505671811</v>
      </c>
      <c r="DS55" s="59">
        <f t="shared" si="17"/>
        <v>816.94033452030146</v>
      </c>
      <c r="DT55" s="59">
        <f ca="1">AVERAGE(OFFSET($DS$3,0,0,'Données projet'!$E$14+1,1))-AVERAGE(OFFSET($H$3,0,0,'Données projet'!$E$14+1,1))</f>
        <v>659.55755908012691</v>
      </c>
      <c r="DU55" s="59">
        <f t="shared" si="44"/>
        <v>343.96647464823627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73.825994253804581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73.825994253804581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12.271428571428576</v>
      </c>
      <c r="EJ55" s="12">
        <f>IF('Données projet'!$A$192&gt;35,EJ54+EI55-ER54,IF(A55&lt;'Données projet'!$A$192,$EG$205^A55,IF(A55='Données projet'!$A$192,'Données projet'!$B$192,EJ54+EI55-ER54)))</f>
        <v>240.85571428571441</v>
      </c>
      <c r="EK55" s="17">
        <f>EJ55*VLOOKUP('Données projet'!$B$15,Paramètres!$A$1:$I$89,3,0)*VLOOKUP('Données projet'!$B$15,Paramètres!$A$1:$I$89,5,0)</f>
        <v>232.95564685714299</v>
      </c>
      <c r="EL55" s="13">
        <f t="shared" si="45"/>
        <v>56.921285782535307</v>
      </c>
      <c r="EM55" s="20">
        <f t="shared" si="19"/>
        <v>504.86899101410637</v>
      </c>
      <c r="EN55" s="59">
        <f t="shared" si="20"/>
        <v>761.30427047768967</v>
      </c>
      <c r="EO55" s="59">
        <f ca="1">AVERAGE(OFFSET($EN$3,0,0,'Données projet'!$E$15+1,1))-AVERAGE(OFFSET($H$3,0,0,'Données projet'!$E$15+1,1))</f>
        <v>600.96600099541388</v>
      </c>
      <c r="EP55" s="59">
        <f t="shared" si="46"/>
        <v>315.40159257508969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66.336400633853401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66.336400633853401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253.12714285714299</v>
      </c>
      <c r="O56" s="13">
        <f>N56*VLOOKUP('Données projet'!$B$9,Paramètres!$A$1:$I$89,3,0)*VLOOKUP('Données projet'!$B$9,Paramètres!$A$1:$I$89,5,0)</f>
        <v>229.02943885714296</v>
      </c>
      <c r="P56" s="13">
        <f t="shared" si="33"/>
        <v>56.072771899312158</v>
      </c>
      <c r="Q56" s="20">
        <f t="shared" si="53"/>
        <v>496.55301706749265</v>
      </c>
      <c r="R56" s="59">
        <f t="shared" si="0"/>
        <v>753.62839527402593</v>
      </c>
      <c r="S56" s="59">
        <f ca="1">AVERAGE(OFFSET($R$3,0,0,'Données projet'!$E$9+1,1))-AVERAGE(OFFSET($H$3,0,0,'Données projet'!$E$9+1,1))</f>
        <v>567.42635821336114</v>
      </c>
      <c r="T56" s="59">
        <f t="shared" si="34"/>
        <v>299.0473530693472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60.839740131624133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60.839740131624133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13.4</v>
      </c>
      <c r="AI56" s="13">
        <f>IF('Données projet'!$A$62&gt;35,AI55+AH56-AQ55,IF(A56&lt;'Données projet'!$A$62,$AF$205^A56,IF(A56='Données projet'!$A$62,'Données projet'!$B$62,AI55+AH56-AQ55)))</f>
        <v>279.2000000000001</v>
      </c>
      <c r="AJ56" s="13">
        <f>AI56*VLOOKUP('Données projet'!$B$10,Paramètres!$A$1:$I$89,3,0)*VLOOKUP('Données projet'!$B$10,Paramètres!$A$1:$I$89,5,0)</f>
        <v>239.5536000000001</v>
      </c>
      <c r="AK56" s="13">
        <f t="shared" si="35"/>
        <v>58.343474943343601</v>
      </c>
      <c r="AL56" s="20">
        <f t="shared" si="4"/>
        <v>518.83740552632355</v>
      </c>
      <c r="AM56" s="59">
        <f t="shared" si="5"/>
        <v>775.91278373285672</v>
      </c>
      <c r="AN56" s="59">
        <f ca="1">AVERAGE(OFFSET($AM$3,0,0,'Données projet'!$E$10+1,1))-AVERAGE(OFFSET($H$3,0,0,'Données projet'!$E$10+1,1))</f>
        <v>570.05585579662738</v>
      </c>
      <c r="AO56" s="59">
        <f t="shared" si="36"/>
        <v>331.25104323342907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57.515787749108057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57.515787749108057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13.447142857142856</v>
      </c>
      <c r="BD56" s="12">
        <f>IF('Données projet'!$A$88&gt;35,BD55+BC56-BL55,IF(A56&lt;'Données projet'!$A$88,$BA$205^A56,IF(A56='Données projet'!$A$88,'Données projet'!$B$88,BD55+BC56-BL55)))</f>
        <v>237.88428571428568</v>
      </c>
      <c r="BE56" s="13">
        <f>BD56*VLOOKUP('Données projet'!$B$11,Paramètres!$A$1:$I$89,3,0)*VLOOKUP('Données projet'!$B$11,Paramètres!$A$1:$I$89,5,0)</f>
        <v>200.39372228571426</v>
      </c>
      <c r="BF56" s="13">
        <f t="shared" si="37"/>
        <v>49.830686060433919</v>
      </c>
      <c r="BG56" s="20">
        <f t="shared" si="7"/>
        <v>435.80751120287476</v>
      </c>
      <c r="BH56" s="59">
        <f t="shared" si="8"/>
        <v>692.88288940940799</v>
      </c>
      <c r="BI56" s="59">
        <f ca="1">AVERAGE(OFFSET($BH$3,0,0,'Données projet'!$E$11+1,1))-AVERAGE(OFFSET($H$3,0,0,'Données projet'!$E$11+1,1))</f>
        <v>458.88102603650725</v>
      </c>
      <c r="BJ56" s="59">
        <f t="shared" si="38"/>
        <v>277.79020316059552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65.416410820220918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65.416410820220918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12.271428571428576</v>
      </c>
      <c r="BY56" s="12">
        <f>IF('Données projet'!$A$114&gt;35,BY55+BX56-CG55,IF(A56&lt;'Données projet'!$A$114,$BV$205^A56,IF(A56='Données projet'!$A$114,'Données projet'!$B$114,BY55+BX56-CG55)))</f>
        <v>253.12714285714299</v>
      </c>
      <c r="BZ56" s="13">
        <f>BY56*VLOOKUP('Données projet'!$B$12,Paramètres!$A$1:$I$89,3,0)*VLOOKUP('Données projet'!$B$12,Paramètres!$A$1:$I$89,5,0)</f>
        <v>240.87578914285729</v>
      </c>
      <c r="CA56" s="13">
        <f t="shared" si="39"/>
        <v>58.627920818237712</v>
      </c>
      <c r="CB56" s="20">
        <f t="shared" si="10"/>
        <v>521.63562818224045</v>
      </c>
      <c r="CC56" s="59">
        <f t="shared" si="11"/>
        <v>778.71100638877374</v>
      </c>
      <c r="CD56" s="59">
        <f ca="1">AVERAGE(OFFSET($CC$3,0,0,'Données projet'!$E$12+1,1))-AVERAGE(OFFSET($H$3,0,0,'Données projet'!$E$12+1,1))</f>
        <v>592.58528888957346</v>
      </c>
      <c r="CE56" s="59">
        <f t="shared" si="40"/>
        <v>311.31528017256846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63.986623241880572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63.986623241880572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25.705000000000002</v>
      </c>
      <c r="CT56" s="12">
        <f>IF('Données projet'!$A$140&gt;35,CT55+CS56-DB55,IF(A56&lt;'Données projet'!$A$140,$CQ$205^A56,IF(A56='Données projet'!$A$140,'Données projet'!$B$140,CT55+CS56-DB55)))</f>
        <v>682.90500000000031</v>
      </c>
      <c r="CU56" s="17">
        <f>CT56*VLOOKUP('Données projet'!$B$13,Paramètres!$A$1:$I$89,3,0)*VLOOKUP('Données projet'!$B$13,Paramètres!$A$1:$I$89,5,0)</f>
        <v>381.74389500000018</v>
      </c>
      <c r="CV56" s="13">
        <f t="shared" si="41"/>
        <v>88.065517757867923</v>
      </c>
      <c r="CW56" s="20">
        <f t="shared" si="13"/>
        <v>818.25139388662035</v>
      </c>
      <c r="CX56" s="59">
        <f t="shared" si="14"/>
        <v>1075.3267720931535</v>
      </c>
      <c r="CY56" s="59">
        <f ca="1">AVERAGE(OFFSET($CX$3,0,0,'Données projet'!$E$13+1,1))-AVERAGE(OFFSET($H$3,0,0,'Données projet'!$E$13+1,1))</f>
        <v>420.4890915162182</v>
      </c>
      <c r="CZ56" s="59">
        <f t="shared" si="42"/>
        <v>553.48432338023565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92.380327494231651</v>
      </c>
      <c r="DG56" s="21">
        <f>EXP(-LN(2)/25)*DG55+(1-EXP(-LN(2)/25))/(LN(2)/25)*Calculateur!DB56*Calculateur!DD56*VLOOKUP('Données projet'!$B$13,Paramètres!$A$1:$I$89,3,0)*0.475*44/12</f>
        <v>26.727373176034533</v>
      </c>
      <c r="DH56" s="21">
        <f>EXP(-LN(2)/2)*DH55+(1-EXP(-LN(2)/2))/(LN(2)/2)*DB56*DE56*VLOOKUP('Données projet'!$B$13,Paramètres!$A$1:$I$89,3,0)*0.475*44/12</f>
        <v>2.5547012873020135E-4</v>
      </c>
      <c r="DI56" s="22">
        <f t="shared" si="15"/>
        <v>119.10795614039492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12.271428571428576</v>
      </c>
      <c r="DO56" s="12">
        <f>IF('Données projet'!$A$166&gt;35,DO55+DN56-DW55,IF(A56&lt;'Données projet'!$A$166,$DL$205^A56,IF(A56='Données projet'!$A$166,'Données projet'!$B$166,DO55+DN56-DW55)))</f>
        <v>253.12714285714299</v>
      </c>
      <c r="DP56" s="17">
        <f>DO56*VLOOKUP('Données projet'!$B$14,Paramètres!$A$1:$I$89,3,0)*VLOOKUP('Données projet'!$B$14,Paramètres!$A$1:$I$89,5,0)</f>
        <v>272.46605657142868</v>
      </c>
      <c r="DQ56" s="13">
        <f t="shared" si="43"/>
        <v>65.37235146909984</v>
      </c>
      <c r="DR56" s="20">
        <f t="shared" si="16"/>
        <v>588.40189400392057</v>
      </c>
      <c r="DS56" s="59">
        <f t="shared" si="17"/>
        <v>845.47727221045375</v>
      </c>
      <c r="DT56" s="59">
        <f ca="1">AVERAGE(OFFSET($DS$3,0,0,'Données projet'!$E$14+1,1))-AVERAGE(OFFSET($H$3,0,0,'Données projet'!$E$14+1,1))</f>
        <v>659.55755908012691</v>
      </c>
      <c r="DU56" s="59">
        <f t="shared" si="44"/>
        <v>343.96647464823627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72.37831153589768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72.37831153589768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12.271428571428576</v>
      </c>
      <c r="EJ56" s="12">
        <f>IF('Données projet'!$A$192&gt;35,EJ55+EI56-ER55,IF(A56&lt;'Données projet'!$A$192,$EG$205^A56,IF(A56='Données projet'!$A$192,'Données projet'!$B$192,EJ55+EI56-ER55)))</f>
        <v>253.12714285714299</v>
      </c>
      <c r="EK56" s="17">
        <f>EJ56*VLOOKUP('Données projet'!$B$15,Paramètres!$A$1:$I$89,3,0)*VLOOKUP('Données projet'!$B$15,Paramètres!$A$1:$I$89,5,0)</f>
        <v>244.82457257142869</v>
      </c>
      <c r="EL56" s="13">
        <f t="shared" si="45"/>
        <v>59.476355310220612</v>
      </c>
      <c r="EM56" s="20">
        <f t="shared" si="19"/>
        <v>529.99078272720578</v>
      </c>
      <c r="EN56" s="59">
        <f t="shared" si="20"/>
        <v>787.06616093373896</v>
      </c>
      <c r="EO56" s="59">
        <f ca="1">AVERAGE(OFFSET($EN$3,0,0,'Données projet'!$E$15+1,1))-AVERAGE(OFFSET($H$3,0,0,'Données projet'!$E$15+1,1))</f>
        <v>600.96600099541388</v>
      </c>
      <c r="EP56" s="59">
        <f t="shared" si="46"/>
        <v>315.40159257508969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65.035584278632712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65.035584278632712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265.39857142857159</v>
      </c>
      <c r="O57" s="13">
        <f>N57*VLOOKUP('Données projet'!$B$9,Paramètres!$A$1:$I$89,3,0)*VLOOKUP('Données projet'!$B$9,Paramètres!$A$1:$I$89,5,0)</f>
        <v>240.13262742857154</v>
      </c>
      <c r="P57" s="13">
        <f t="shared" si="33"/>
        <v>58.468065001979532</v>
      </c>
      <c r="Q57" s="20">
        <f t="shared" si="53"/>
        <v>520.06287264987645</v>
      </c>
      <c r="R57" s="59">
        <f t="shared" si="0"/>
        <v>777.76724531721584</v>
      </c>
      <c r="S57" s="59">
        <f ca="1">AVERAGE(OFFSET($R$3,0,0,'Données projet'!$E$9+1,1))-AVERAGE(OFFSET($H$3,0,0,'Données projet'!$E$9+1,1))</f>
        <v>567.42635821336114</v>
      </c>
      <c r="T57" s="59">
        <f t="shared" si="34"/>
        <v>299.0473530693472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59.646709936220297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59.646709936220297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13.4</v>
      </c>
      <c r="AI57" s="13">
        <f>IF('Données projet'!$A$62&gt;35,AI56+AH57-AQ56,IF(A57&lt;'Données projet'!$A$62,$AF$205^A57,IF(A57='Données projet'!$A$62,'Données projet'!$B$62,AI56+AH57-AQ56)))</f>
        <v>292.60000000000008</v>
      </c>
      <c r="AJ57" s="13">
        <f>AI57*VLOOKUP('Données projet'!$B$10,Paramètres!$A$1:$I$89,3,0)*VLOOKUP('Données projet'!$B$10,Paramètres!$A$1:$I$89,5,0)</f>
        <v>251.05080000000009</v>
      </c>
      <c r="AK57" s="13">
        <f t="shared" si="35"/>
        <v>60.810898898941176</v>
      </c>
      <c r="AL57" s="20">
        <f t="shared" si="4"/>
        <v>543.15912558232264</v>
      </c>
      <c r="AM57" s="59">
        <f t="shared" si="5"/>
        <v>800.86349824966192</v>
      </c>
      <c r="AN57" s="59">
        <f ca="1">AVERAGE(OFFSET($AM$3,0,0,'Données projet'!$E$10+1,1))-AVERAGE(OFFSET($H$3,0,0,'Données projet'!$E$10+1,1))</f>
        <v>570.05585579662738</v>
      </c>
      <c r="AO57" s="59">
        <f t="shared" si="36"/>
        <v>331.25104323342907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56.3879382325146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56.3879382325146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13.447142857142856</v>
      </c>
      <c r="BD57" s="12">
        <f>IF('Données projet'!$A$88&gt;35,BD56+BC57-BL56,IF(A57&lt;'Données projet'!$A$88,$BA$205^A57,IF(A57='Données projet'!$A$88,'Données projet'!$B$88,BD56+BC57-BL56)))</f>
        <v>251.33142857142855</v>
      </c>
      <c r="BE57" s="13">
        <f>BD57*VLOOKUP('Données projet'!$B$11,Paramètres!$A$1:$I$89,3,0)*VLOOKUP('Données projet'!$B$11,Paramètres!$A$1:$I$89,5,0)</f>
        <v>211.72159542857142</v>
      </c>
      <c r="BF57" s="13">
        <f t="shared" si="37"/>
        <v>52.311618658216112</v>
      </c>
      <c r="BG57" s="20">
        <f t="shared" si="7"/>
        <v>459.85784786782165</v>
      </c>
      <c r="BH57" s="59">
        <f t="shared" si="8"/>
        <v>717.56222053516103</v>
      </c>
      <c r="BI57" s="59">
        <f ca="1">AVERAGE(OFFSET($BH$3,0,0,'Données projet'!$E$11+1,1))-AVERAGE(OFFSET($H$3,0,0,'Données projet'!$E$11+1,1))</f>
        <v>458.88102603650725</v>
      </c>
      <c r="BJ57" s="59">
        <f t="shared" si="38"/>
        <v>277.79020316059552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64.133634904107183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64.133634904107183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12.271428571428576</v>
      </c>
      <c r="BY57" s="12">
        <f>IF('Données projet'!$A$114&gt;35,BY56+BX57-CG56,IF(A57&lt;'Données projet'!$A$114,$BV$205^A57,IF(A57='Données projet'!$A$114,'Données projet'!$B$114,BY56+BX57-CG56)))</f>
        <v>265.39857142857159</v>
      </c>
      <c r="BZ57" s="13">
        <f>BY57*VLOOKUP('Données projet'!$B$12,Paramètres!$A$1:$I$89,3,0)*VLOOKUP('Données projet'!$B$12,Paramètres!$A$1:$I$89,5,0)</f>
        <v>252.55328057142873</v>
      </c>
      <c r="CA57" s="13">
        <f t="shared" si="39"/>
        <v>61.132363698497379</v>
      </c>
      <c r="CB57" s="20">
        <f t="shared" si="10"/>
        <v>546.335830436788</v>
      </c>
      <c r="CC57" s="59">
        <f t="shared" si="11"/>
        <v>804.04020310412739</v>
      </c>
      <c r="CD57" s="59">
        <f ca="1">AVERAGE(OFFSET($CC$3,0,0,'Données projet'!$E$12+1,1))-AVERAGE(OFFSET($H$3,0,0,'Données projet'!$E$12+1,1))</f>
        <v>592.58528888957346</v>
      </c>
      <c r="CE57" s="59">
        <f t="shared" si="40"/>
        <v>311.31528017256846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62.731884588093777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62.731884588093777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>
        <f>VLOOKUP(A57,'Données projet'!$A$139:$I$159,2,0)</f>
        <v>708.61</v>
      </c>
      <c r="CR57" s="12">
        <f>VLOOKUP(A57,'Données projet'!$A$139:$I$159,9,0)</f>
        <v>25.705000000000002</v>
      </c>
      <c r="CS57" s="12">
        <f t="array" ref="CS57">INDEX(CR:CR,MIN(IF(ISNUMBER(CR57:CR253),ROW(CR57:CR253),"")))</f>
        <v>25.705000000000002</v>
      </c>
      <c r="CT57" s="12">
        <f>IF('Données projet'!$A$140&gt;35,CT56+CS57-DB56,IF(A57&lt;'Données projet'!$A$140,$CQ$205^A57,IF(A57='Données projet'!$A$140,'Données projet'!$B$140,CT56+CS57-DB56)))</f>
        <v>708.61000000000035</v>
      </c>
      <c r="CU57" s="17">
        <f>CT57*VLOOKUP('Données projet'!$B$13,Paramètres!$A$1:$I$89,3,0)*VLOOKUP('Données projet'!$B$13,Paramètres!$A$1:$I$89,5,0)</f>
        <v>396.1129900000002</v>
      </c>
      <c r="CV57" s="13">
        <f t="shared" si="41"/>
        <v>90.988186296707582</v>
      </c>
      <c r="CW57" s="20">
        <f t="shared" si="13"/>
        <v>848.36788205009941</v>
      </c>
      <c r="CX57" s="59">
        <f t="shared" si="14"/>
        <v>1106.0722547174387</v>
      </c>
      <c r="CY57" s="59">
        <f ca="1">AVERAGE(OFFSET($CX$3,0,0,'Données projet'!$E$13+1,1))-AVERAGE(OFFSET($H$3,0,0,'Données projet'!$E$13+1,1))</f>
        <v>420.4890915162182</v>
      </c>
      <c r="CZ57" s="59">
        <f t="shared" si="42"/>
        <v>553.48432338023565</v>
      </c>
      <c r="DA57" s="15">
        <f>IF(ISNA(VLOOKUP(A57,'Données projet'!$A$139:$I$159,3,0)),0,VLOOKUP(A57,'Données projet'!$A$139:$I$159,3,0))</f>
        <v>7</v>
      </c>
      <c r="DB57" s="15">
        <f>IF(ISNA(VLOOKUP(A57,'Données projet'!$A$139:$I$159,4,0)),0,VLOOKUP(A57,'Données projet'!$A$139:$I$159,4,0))</f>
        <v>707.75</v>
      </c>
      <c r="DC57" s="16">
        <f>IF(ISNA(VLOOKUP(A57,'Données projet'!$A$139:$I$159,5,0)),0%,VLOOKUP(A57,'Données projet'!$A$139:$I$159,5,0)*VLOOKUP('Données projet'!$B$13,Paramètres!$A$1:$I$89,7,0))</f>
        <v>0.55000000000000004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379.22622977006932</v>
      </c>
      <c r="DG57" s="21">
        <f>EXP(-LN(2)/25)*DG56+(1-EXP(-LN(2)/25))/(LN(2)/25)*Calculateur!DB57*Calculateur!DD57*VLOOKUP('Données projet'!$B$13,Paramètres!$A$1:$I$89,3,0)*0.475*44/12</f>
        <v>25.996511751004398</v>
      </c>
      <c r="DH57" s="21">
        <f>EXP(-LN(2)/2)*DH56+(1-EXP(-LN(2)/2))/(LN(2)/2)*DB57*DE57*VLOOKUP('Données projet'!$B$13,Paramètres!$A$1:$I$89,3,0)*0.475*44/12</f>
        <v>1.8064466041572562E-4</v>
      </c>
      <c r="DI57" s="22">
        <f t="shared" si="15"/>
        <v>405.22292216573413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12.271428571428576</v>
      </c>
      <c r="DO57" s="12">
        <f>IF('Données projet'!$A$166&gt;35,DO56+DN57-DW56,IF(A57&lt;'Données projet'!$A$166,$DL$205^A57,IF(A57='Données projet'!$A$166,'Données projet'!$B$166,DO56+DN57-DW56)))</f>
        <v>265.39857142857159</v>
      </c>
      <c r="DP57" s="17">
        <f>DO57*VLOOKUP('Données projet'!$B$14,Paramètres!$A$1:$I$89,3,0)*VLOOKUP('Données projet'!$B$14,Paramètres!$A$1:$I$89,5,0)</f>
        <v>285.67502228571442</v>
      </c>
      <c r="DQ57" s="13">
        <f t="shared" si="43"/>
        <v>68.164900103225833</v>
      </c>
      <c r="DR57" s="20">
        <f t="shared" si="16"/>
        <v>616.27119816073753</v>
      </c>
      <c r="DS57" s="59">
        <f t="shared" si="17"/>
        <v>873.9755708280768</v>
      </c>
      <c r="DT57" s="59">
        <f ca="1">AVERAGE(OFFSET($DS$3,0,0,'Données projet'!$E$14+1,1))-AVERAGE(OFFSET($H$3,0,0,'Données projet'!$E$14+1,1))</f>
        <v>659.55755908012691</v>
      </c>
      <c r="DU57" s="59">
        <f t="shared" si="44"/>
        <v>343.96647464823627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70.959016993089662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70.959016993089662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12.271428571428576</v>
      </c>
      <c r="EJ57" s="12">
        <f>IF('Données projet'!$A$192&gt;35,EJ56+EI57-ER56,IF(A57&lt;'Données projet'!$A$192,$EG$205^A57,IF(A57='Données projet'!$A$192,'Données projet'!$B$192,EJ56+EI57-ER56)))</f>
        <v>265.39857142857159</v>
      </c>
      <c r="EK57" s="17">
        <f>EJ57*VLOOKUP('Données projet'!$B$15,Paramètres!$A$1:$I$89,3,0)*VLOOKUP('Données projet'!$B$15,Paramètres!$A$1:$I$89,5,0)</f>
        <v>256.69349828571444</v>
      </c>
      <c r="EL57" s="13">
        <f t="shared" si="45"/>
        <v>62.01704125851262</v>
      </c>
      <c r="EM57" s="20">
        <f t="shared" si="19"/>
        <v>555.08752303952883</v>
      </c>
      <c r="EN57" s="59">
        <f t="shared" si="20"/>
        <v>812.79189570686822</v>
      </c>
      <c r="EO57" s="59">
        <f ca="1">AVERAGE(OFFSET($EN$3,0,0,'Données projet'!$E$15+1,1))-AVERAGE(OFFSET($H$3,0,0,'Données projet'!$E$15+1,1))</f>
        <v>600.96600099541388</v>
      </c>
      <c r="EP57" s="59">
        <f t="shared" si="46"/>
        <v>315.40159257508969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63.760276138718268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63.760276138718268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277.67000000000019</v>
      </c>
      <c r="O58" s="13">
        <f>N58*VLOOKUP('Données projet'!$B$9,Paramètres!$A$1:$I$89,3,0)*VLOOKUP('Données projet'!$B$9,Paramètres!$A$1:$I$89,5,0)</f>
        <v>251.23581600000017</v>
      </c>
      <c r="P58" s="13">
        <f t="shared" si="33"/>
        <v>60.850496254681879</v>
      </c>
      <c r="Q58" s="20">
        <f t="shared" si="53"/>
        <v>543.55032717690449</v>
      </c>
      <c r="R58" s="59">
        <f t="shared" si="0"/>
        <v>801.87278265737586</v>
      </c>
      <c r="S58" s="59">
        <f ca="1">AVERAGE(OFFSET($R$3,0,0,'Données projet'!$E$9+1,1))-AVERAGE(OFFSET($H$3,0,0,'Données projet'!$E$9+1,1))</f>
        <v>567.42635821336114</v>
      </c>
      <c r="T58" s="59">
        <f t="shared" si="34"/>
        <v>299.0473530693472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83.526024239001245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83.526024239001245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306</v>
      </c>
      <c r="AG58" s="12">
        <f>VLOOKUP(A58,'Données projet'!$A$61:$I$81,9,0)</f>
        <v>13.4</v>
      </c>
      <c r="AH58" s="12">
        <f t="array" ref="AH58">INDEX(AG:AG,MIN(IF(ISNUMBER(AG58:AG254),ROW(AG58:AG254),"")))</f>
        <v>13.4</v>
      </c>
      <c r="AI58" s="13">
        <f>IF('Données projet'!$A$62&gt;35,AI57+AH58-AQ57,IF(A58&lt;'Données projet'!$A$62,$AF$205^A58,IF(A58='Données projet'!$A$62,'Données projet'!$B$62,AI57+AH58-AQ57)))</f>
        <v>306.00000000000006</v>
      </c>
      <c r="AJ58" s="13">
        <f>AI58*VLOOKUP('Données projet'!$B$10,Paramètres!$A$1:$I$89,3,0)*VLOOKUP('Données projet'!$B$10,Paramètres!$A$1:$I$89,5,0)</f>
        <v>262.54800000000006</v>
      </c>
      <c r="AK58" s="13">
        <f t="shared" si="35"/>
        <v>63.265199933079444</v>
      </c>
      <c r="AL58" s="20">
        <f t="shared" si="4"/>
        <v>567.45798988344677</v>
      </c>
      <c r="AM58" s="59">
        <f t="shared" si="5"/>
        <v>825.78044536391815</v>
      </c>
      <c r="AN58" s="59">
        <f ca="1">AVERAGE(OFFSET($AM$3,0,0,'Données projet'!$E$10+1,1))-AVERAGE(OFFSET($H$3,0,0,'Données projet'!$E$10+1,1))</f>
        <v>570.05585579662738</v>
      </c>
      <c r="AO58" s="59">
        <f t="shared" si="36"/>
        <v>331.25104323342907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72.876761170629749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72.876761170629749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13.447142857142856</v>
      </c>
      <c r="BD58" s="12">
        <f>IF('Données projet'!$A$88&gt;35,BD57+BC58-BL57,IF(A58&lt;'Données projet'!$A$88,$BA$205^A58,IF(A58='Données projet'!$A$88,'Données projet'!$B$88,BD57+BC58-BL57)))</f>
        <v>264.77857142857141</v>
      </c>
      <c r="BE58" s="13">
        <f>BD58*VLOOKUP('Données projet'!$B$11,Paramètres!$A$1:$I$89,3,0)*VLOOKUP('Données projet'!$B$11,Paramètres!$A$1:$I$89,5,0)</f>
        <v>223.04946857142858</v>
      </c>
      <c r="BF58" s="13">
        <f t="shared" si="37"/>
        <v>54.777140700245397</v>
      </c>
      <c r="BG58" s="20">
        <f t="shared" si="7"/>
        <v>483.88134448149884</v>
      </c>
      <c r="BH58" s="59">
        <f t="shared" si="8"/>
        <v>742.20379996197016</v>
      </c>
      <c r="BI58" s="59">
        <f ca="1">AVERAGE(OFFSET($BH$3,0,0,'Données projet'!$E$11+1,1))-AVERAGE(OFFSET($H$3,0,0,'Données projet'!$E$11+1,1))</f>
        <v>458.88102603650725</v>
      </c>
      <c r="BJ58" s="59">
        <f t="shared" si="38"/>
        <v>277.79020316059552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62.876013441292386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62.876013441292386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277.67</v>
      </c>
      <c r="BW58" s="12">
        <f>VLOOKUP(A58,'Données projet'!$A$113:$I$133,9,0)</f>
        <v>12.271428571428576</v>
      </c>
      <c r="BX58" s="12">
        <f t="array" ref="BX58">INDEX(BW:BW,MIN(IF(ISNUMBER(BW58:BW254),ROW(BW58:BW254),"")))</f>
        <v>12.271428571428576</v>
      </c>
      <c r="BY58" s="12">
        <f>IF('Données projet'!$A$114&gt;35,BY57+BX58-CG57,IF(A58&lt;'Données projet'!$A$114,$BV$205^A58,IF(A58='Données projet'!$A$114,'Données projet'!$B$114,BY57+BX58-CG57)))</f>
        <v>277.67000000000019</v>
      </c>
      <c r="BZ58" s="13">
        <f>BY58*VLOOKUP('Données projet'!$B$12,Paramètres!$A$1:$I$89,3,0)*VLOOKUP('Données projet'!$B$12,Paramètres!$A$1:$I$89,5,0)</f>
        <v>264.23077200000017</v>
      </c>
      <c r="CA58" s="13">
        <f t="shared" si="39"/>
        <v>63.623358634313007</v>
      </c>
      <c r="CB58" s="20">
        <f t="shared" si="10"/>
        <v>571.0126108547621</v>
      </c>
      <c r="CC58" s="59">
        <f t="shared" si="11"/>
        <v>829.33506633523348</v>
      </c>
      <c r="CD58" s="59">
        <f ca="1">AVERAGE(OFFSET($CC$3,0,0,'Données projet'!$E$12+1,1))-AVERAGE(OFFSET($H$3,0,0,'Données projet'!$E$12+1,1))</f>
        <v>592.58528888957346</v>
      </c>
      <c r="CE58" s="59">
        <f t="shared" si="40"/>
        <v>311.31528017256846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58.24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87.84633583757028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87.84633583757028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0.8600000000003547</v>
      </c>
      <c r="CU58" s="17">
        <f>CT58*VLOOKUP('Données projet'!$B$13,Paramètres!$A$1:$I$89,3,0)*VLOOKUP('Données projet'!$B$13,Paramètres!$A$1:$I$89,5,0)</f>
        <v>0.48074000000019829</v>
      </c>
      <c r="CV58" s="13">
        <f t="shared" si="41"/>
        <v>0.24126147010950588</v>
      </c>
      <c r="CW58" s="20">
        <f t="shared" si="13"/>
        <v>1.2574858937744013</v>
      </c>
      <c r="CX58" s="59">
        <f t="shared" si="14"/>
        <v>259.57994137424578</v>
      </c>
      <c r="CY58" s="59">
        <f ca="1">AVERAGE(OFFSET($CX$3,0,0,'Données projet'!$E$13+1,1))-AVERAGE(OFFSET($H$3,0,0,'Données projet'!$E$13+1,1))</f>
        <v>420.4890915162182</v>
      </c>
      <c r="CZ58" s="59">
        <f t="shared" si="42"/>
        <v>553.48432338023565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371.78983470943894</v>
      </c>
      <c r="DG58" s="21">
        <f>EXP(-LN(2)/25)*DG57+(1-EXP(-LN(2)/25))/(LN(2)/25)*Calculateur!DB58*Calculateur!DD58*VLOOKUP('Données projet'!$B$13,Paramètres!$A$1:$I$89,3,0)*0.475*44/12</f>
        <v>25.285635770076045</v>
      </c>
      <c r="DH58" s="21">
        <f>EXP(-LN(2)/2)*DH57+(1-EXP(-LN(2)/2))/(LN(2)/2)*DB58*DE58*VLOOKUP('Données projet'!$B$13,Paramètres!$A$1:$I$89,3,0)*0.475*44/12</f>
        <v>1.2773506436510067E-4</v>
      </c>
      <c r="DI58" s="22">
        <f t="shared" si="15"/>
        <v>397.07559821457937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277.67</v>
      </c>
      <c r="DM58" s="12">
        <f>VLOOKUP(A58,'Données projet'!$A$165:$I$185,9,0)</f>
        <v>12.271428571428576</v>
      </c>
      <c r="DN58" s="12">
        <f t="array" ref="DN58">INDEX(DM:DM,MIN(IF(ISNUMBER(DM58:DM254),ROW(DM58:DM254),"")))</f>
        <v>12.271428571428576</v>
      </c>
      <c r="DO58" s="12">
        <f>IF('Données projet'!$A$166&gt;35,DO57+DN58-DW57,IF(A58&lt;'Données projet'!$A$166,$DL$205^A58,IF(A58='Données projet'!$A$166,'Données projet'!$B$166,DO57+DN58-DW57)))</f>
        <v>277.67000000000019</v>
      </c>
      <c r="DP58" s="17">
        <f>DO58*VLOOKUP('Données projet'!$B$14,Paramètres!$A$1:$I$89,3,0)*VLOOKUP('Données projet'!$B$14,Paramètres!$A$1:$I$89,5,0)</f>
        <v>298.88398800000016</v>
      </c>
      <c r="DQ58" s="13">
        <f t="shared" si="43"/>
        <v>70.942453770133753</v>
      </c>
      <c r="DR58" s="20">
        <f t="shared" si="16"/>
        <v>644.11438608298317</v>
      </c>
      <c r="DS58" s="59">
        <f t="shared" si="17"/>
        <v>902.43684156345455</v>
      </c>
      <c r="DT58" s="59">
        <f ca="1">AVERAGE(OFFSET($DS$3,0,0,'Données projet'!$E$14+1,1))-AVERAGE(OFFSET($H$3,0,0,'Données projet'!$E$14+1,1))</f>
        <v>659.55755908012691</v>
      </c>
      <c r="DU58" s="59">
        <f t="shared" si="44"/>
        <v>343.96647464823627</v>
      </c>
      <c r="DV58" s="15">
        <f>IF(ISNA(VLOOKUP(A58,'Données projet'!$A$165:$I$185,3,0)),0,VLOOKUP(A58,'Données projet'!$A$165:$I$185,3,0))</f>
        <v>4</v>
      </c>
      <c r="DW58" s="15">
        <f>IF(ISNA(VLOOKUP(A58,'Données projet'!$A$165:$I$185,4,0)),0,VLOOKUP(A58,'Données projet'!$A$165:$I$185,4,0))</f>
        <v>58.24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99.367166767087667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99.367166767087667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277.67</v>
      </c>
      <c r="EH58" s="12">
        <f>VLOOKUP(A58,'Données projet'!$A$191:$I$211,9,0)</f>
        <v>12.271428571428576</v>
      </c>
      <c r="EI58" s="12">
        <f t="array" ref="EI58">INDEX(EH:EH,MIN(IF(ISNUMBER(EH58:EH254),ROW(EH58:EH254),"")))</f>
        <v>12.271428571428576</v>
      </c>
      <c r="EJ58" s="12">
        <f>IF('Données projet'!$A$192&gt;35,EJ57+EI58-ER57,IF(A58&lt;'Données projet'!$A$192,$EG$205^A58,IF(A58='Données projet'!$A$192,'Données projet'!$B$192,EJ57+EI58-ER57)))</f>
        <v>277.67000000000019</v>
      </c>
      <c r="EK58" s="17">
        <f>EJ58*VLOOKUP('Données projet'!$B$15,Paramètres!$A$1:$I$89,3,0)*VLOOKUP('Données projet'!$B$15,Paramètres!$A$1:$I$89,5,0)</f>
        <v>268.56242400000019</v>
      </c>
      <c r="EL58" s="13">
        <f t="shared" si="45"/>
        <v>64.544084650309699</v>
      </c>
      <c r="EM58" s="20">
        <f t="shared" si="19"/>
        <v>580.16050256595634</v>
      </c>
      <c r="EN58" s="59">
        <f t="shared" si="20"/>
        <v>838.48295804642771</v>
      </c>
      <c r="EO58" s="59">
        <f ca="1">AVERAGE(OFFSET($EN$3,0,0,'Données projet'!$E$15+1,1))-AVERAGE(OFFSET($H$3,0,0,'Données projet'!$E$15+1,1))</f>
        <v>600.96600099541388</v>
      </c>
      <c r="EP58" s="59">
        <f t="shared" si="46"/>
        <v>315.40159257508969</v>
      </c>
      <c r="EQ58" s="15">
        <f>IF(ISNA(VLOOKUP(A58,'Données projet'!$A$191:$I$211,3,0)),0,VLOOKUP(A58,'Données projet'!$A$191:$I$211,3,0))</f>
        <v>4</v>
      </c>
      <c r="ER58" s="15">
        <f>IF(ISNA(VLOOKUP(A58,'Données projet'!$A$191:$I$211,4,0)),0,VLOOKUP(A58,'Données projet'!$A$191:$I$211,4,0))</f>
        <v>58.24</v>
      </c>
      <c r="ES58" s="16">
        <f>IF(ISNA(VLOOKUP(A58,'Données projet'!$A$191:$I$211,5,0)),0%,VLOOKUP(A58,'Données projet'!$A$191:$I$211,5,0)*VLOOKUP('Données projet'!$B$15,Paramètres!$A$1:$I$89,7,0))</f>
        <v>0.43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89.286439703759967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89.286439703759967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231.07500000000016</v>
      </c>
      <c r="O59" s="13">
        <f>N59*VLOOKUP('Données projet'!$B$9,Paramètres!$A$1:$I$89,3,0)*VLOOKUP('Données projet'!$B$9,Paramètres!$A$1:$I$89,5,0)</f>
        <v>209.07666000000012</v>
      </c>
      <c r="P59" s="13">
        <f t="shared" si="33"/>
        <v>51.733760959596957</v>
      </c>
      <c r="Q59" s="20">
        <f t="shared" si="53"/>
        <v>454.24481650463161</v>
      </c>
      <c r="R59" s="59">
        <f t="shared" si="0"/>
        <v>713.17463244325336</v>
      </c>
      <c r="S59" s="59">
        <f ca="1">AVERAGE(OFFSET($R$3,0,0,'Données projet'!$E$9+1,1))-AVERAGE(OFFSET($H$3,0,0,'Données projet'!$E$9+1,1))</f>
        <v>567.42635821336114</v>
      </c>
      <c r="T59" s="59">
        <f t="shared" si="34"/>
        <v>299.0473530693472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81.888129849518734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81.888129849518734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</v>
      </c>
      <c r="AI59" s="13">
        <f>IF('Données projet'!$A$62&gt;35,AI58+AH59-AQ58,IF(A59&lt;'Données projet'!$A$62,$AF$205^A59,IF(A59='Données projet'!$A$62,'Données projet'!$B$62,AI58+AH59-AQ58)))</f>
        <v>284.00000000000006</v>
      </c>
      <c r="AJ59" s="13">
        <f>AI59*VLOOKUP('Données projet'!$B$10,Paramètres!$A$1:$I$89,3,0)*VLOOKUP('Données projet'!$B$10,Paramètres!$A$1:$I$89,5,0)</f>
        <v>243.67200000000008</v>
      </c>
      <c r="AK59" s="13">
        <f t="shared" si="35"/>
        <v>59.228879636606202</v>
      </c>
      <c r="AL59" s="20">
        <f t="shared" si="4"/>
        <v>527.55236536708924</v>
      </c>
      <c r="AM59" s="59">
        <f t="shared" si="5"/>
        <v>786.48218130571104</v>
      </c>
      <c r="AN59" s="59">
        <f ca="1">AVERAGE(OFFSET($AM$3,0,0,'Données projet'!$E$10+1,1))-AVERAGE(OFFSET($H$3,0,0,'Données projet'!$E$10+1,1))</f>
        <v>570.05585579662738</v>
      </c>
      <c r="AO59" s="59">
        <f t="shared" si="36"/>
        <v>331.25104323342907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71.447692334508901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71.447692334508901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13.447142857142856</v>
      </c>
      <c r="BD59" s="12">
        <f>IF('Données projet'!$A$88&gt;35,BD58+BC59-BL58,IF(A59&lt;'Données projet'!$A$88,$BA$205^A59,IF(A59='Données projet'!$A$88,'Données projet'!$B$88,BD58+BC59-BL58)))</f>
        <v>278.22571428571428</v>
      </c>
      <c r="BE59" s="13">
        <f>BD59*VLOOKUP('Données projet'!$B$11,Paramètres!$A$1:$I$89,3,0)*VLOOKUP('Données projet'!$B$11,Paramètres!$A$1:$I$89,5,0)</f>
        <v>234.37734171428573</v>
      </c>
      <c r="BF59" s="13">
        <f t="shared" si="37"/>
        <v>57.228124123262056</v>
      </c>
      <c r="BG59" s="20">
        <f t="shared" si="7"/>
        <v>507.87951966706237</v>
      </c>
      <c r="BH59" s="59">
        <f t="shared" si="8"/>
        <v>766.80933560568405</v>
      </c>
      <c r="BI59" s="59">
        <f ca="1">AVERAGE(OFFSET($BH$3,0,0,'Données projet'!$E$11+1,1))-AVERAGE(OFFSET($H$3,0,0,'Données projet'!$E$11+1,1))</f>
        <v>458.88102603650725</v>
      </c>
      <c r="BJ59" s="59">
        <f t="shared" si="38"/>
        <v>277.79020316059552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61.643053168290038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61.643053168290038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11.644999999999996</v>
      </c>
      <c r="BY59" s="12">
        <f>IF('Données projet'!$A$114&gt;35,BY58+BX59-CG58,IF(A59&lt;'Données projet'!$A$114,$BV$205^A59,IF(A59='Données projet'!$A$114,'Données projet'!$B$114,BY58+BX59-CG58)))</f>
        <v>231.07500000000016</v>
      </c>
      <c r="BZ59" s="13">
        <f>BY59*VLOOKUP('Données projet'!$B$12,Paramètres!$A$1:$I$89,3,0)*VLOOKUP('Données projet'!$B$12,Paramètres!$A$1:$I$89,5,0)</f>
        <v>219.89097000000012</v>
      </c>
      <c r="CA59" s="13">
        <f t="shared" si="39"/>
        <v>54.091187905160375</v>
      </c>
      <c r="CB59" s="20">
        <f t="shared" si="10"/>
        <v>477.18559168482119</v>
      </c>
      <c r="CC59" s="59">
        <f t="shared" si="11"/>
        <v>736.11540762344293</v>
      </c>
      <c r="CD59" s="59">
        <f ca="1">AVERAGE(OFFSET($CC$3,0,0,'Données projet'!$E$12+1,1))-AVERAGE(OFFSET($H$3,0,0,'Données projet'!$E$12+1,1))</f>
        <v>592.58528888957346</v>
      </c>
      <c r="CE59" s="59">
        <f t="shared" si="40"/>
        <v>311.31528017256846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86.12372277276971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86.12372277276971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0.8600000000003547</v>
      </c>
      <c r="CU59" s="17">
        <f>CT59*VLOOKUP('Données projet'!$B$13,Paramètres!$A$1:$I$89,3,0)*VLOOKUP('Données projet'!$B$13,Paramètres!$A$1:$I$89,5,0)</f>
        <v>0.48074000000019829</v>
      </c>
      <c r="CV59" s="13">
        <f t="shared" si="41"/>
        <v>0.24126147010950588</v>
      </c>
      <c r="CW59" s="20">
        <f t="shared" si="13"/>
        <v>1.2574858937744013</v>
      </c>
      <c r="CX59" s="59">
        <f t="shared" si="14"/>
        <v>260.18730183239614</v>
      </c>
      <c r="CY59" s="59">
        <f ca="1">AVERAGE(OFFSET($CX$3,0,0,'Données projet'!$E$13+1,1))-AVERAGE(OFFSET($H$3,0,0,'Données projet'!$E$13+1,1))</f>
        <v>420.4890915162182</v>
      </c>
      <c r="CZ59" s="59">
        <f t="shared" si="42"/>
        <v>553.48432338023565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364.49926282019442</v>
      </c>
      <c r="DG59" s="21">
        <f>EXP(-LN(2)/25)*DG58+(1-EXP(-LN(2)/25))/(LN(2)/25)*Calculateur!DB59*Calculateur!DD59*VLOOKUP('Données projet'!$B$13,Paramètres!$A$1:$I$89,3,0)*0.475*44/12</f>
        <v>24.594198730229522</v>
      </c>
      <c r="DH59" s="21">
        <f>EXP(-LN(2)/2)*DH58+(1-EXP(-LN(2)/2))/(LN(2)/2)*DB59*DE59*VLOOKUP('Données projet'!$B$13,Paramètres!$A$1:$I$89,3,0)*0.475*44/12</f>
        <v>9.032233020786281E-5</v>
      </c>
      <c r="DI59" s="22">
        <f t="shared" si="15"/>
        <v>389.09355187275418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11.644999999999996</v>
      </c>
      <c r="DO59" s="12">
        <f>IF('Données projet'!$A$166&gt;35,DO58+DN59-DW58,IF(A59&lt;'Données projet'!$A$166,$DL$205^A59,IF(A59='Données projet'!$A$166,'Données projet'!$B$166,DO58+DN59-DW58)))</f>
        <v>231.07500000000016</v>
      </c>
      <c r="DP59" s="17">
        <f>DO59*VLOOKUP('Données projet'!$B$14,Paramètres!$A$1:$I$89,3,0)*VLOOKUP('Données projet'!$B$14,Paramètres!$A$1:$I$89,5,0)</f>
        <v>248.72913000000017</v>
      </c>
      <c r="DQ59" s="13">
        <f t="shared" si="43"/>
        <v>60.313722502287384</v>
      </c>
      <c r="DR59" s="20">
        <f t="shared" si="16"/>
        <v>538.24963477481742</v>
      </c>
      <c r="DS59" s="59">
        <f t="shared" si="17"/>
        <v>797.17945071343911</v>
      </c>
      <c r="DT59" s="59">
        <f ca="1">AVERAGE(OFFSET($DS$3,0,0,'Données projet'!$E$14+1,1))-AVERAGE(OFFSET($H$3,0,0,'Données projet'!$E$14+1,1))</f>
        <v>659.55755908012691</v>
      </c>
      <c r="DU59" s="59">
        <f t="shared" si="44"/>
        <v>343.96647464823627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97.418637234772262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97.418637234772262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11.644999999999996</v>
      </c>
      <c r="EJ59" s="12">
        <f>IF('Données projet'!$A$192&gt;35,EJ58+EI59-ER58,IF(A59&lt;'Données projet'!$A$192,$EG$205^A59,IF(A59='Données projet'!$A$192,'Données projet'!$B$192,EJ58+EI59-ER58)))</f>
        <v>231.07500000000016</v>
      </c>
      <c r="EK59" s="17">
        <f>EJ59*VLOOKUP('Données projet'!$B$15,Paramètres!$A$1:$I$89,3,0)*VLOOKUP('Données projet'!$B$15,Paramètres!$A$1:$I$89,5,0)</f>
        <v>223.49574000000015</v>
      </c>
      <c r="EL59" s="13">
        <f t="shared" si="45"/>
        <v>54.873969025325692</v>
      </c>
      <c r="EM59" s="20">
        <f t="shared" si="19"/>
        <v>484.82724321910922</v>
      </c>
      <c r="EN59" s="59">
        <f t="shared" si="20"/>
        <v>743.75705915773096</v>
      </c>
      <c r="EO59" s="59">
        <f ca="1">AVERAGE(OFFSET($EN$3,0,0,'Données projet'!$E$15+1,1))-AVERAGE(OFFSET($H$3,0,0,'Données projet'!$E$15+1,1))</f>
        <v>600.96600099541388</v>
      </c>
      <c r="EP59" s="59">
        <f t="shared" si="46"/>
        <v>315.40159257508969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87.535587080520045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87.535587080520045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242.72000000000014</v>
      </c>
      <c r="O60" s="13">
        <f>N60*VLOOKUP('Données projet'!$B$9,Paramètres!$A$1:$I$89,3,0)*VLOOKUP('Données projet'!$B$9,Paramètres!$A$1:$I$89,5,0)</f>
        <v>219.61305600000011</v>
      </c>
      <c r="P60" s="13">
        <f t="shared" si="33"/>
        <v>54.030776739498059</v>
      </c>
      <c r="Q60" s="20">
        <f t="shared" si="53"/>
        <v>476.59634202129263</v>
      </c>
      <c r="R60" s="59">
        <f t="shared" si="0"/>
        <v>736.12298207197034</v>
      </c>
      <c r="S60" s="59">
        <f ca="1">AVERAGE(OFFSET($R$3,0,0,'Données projet'!$E$9+1,1))-AVERAGE(OFFSET($H$3,0,0,'Données projet'!$E$9+1,1))</f>
        <v>567.42635821336114</v>
      </c>
      <c r="T60" s="59">
        <f t="shared" si="34"/>
        <v>299.0473530693472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80.282353569997042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80.282353569997042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</v>
      </c>
      <c r="AI60" s="13">
        <f>IF('Données projet'!$A$62&gt;35,AI59+AH60-AQ59,IF(A60&lt;'Données projet'!$A$62,$AF$205^A60,IF(A60='Données projet'!$A$62,'Données projet'!$B$62,AI59+AH60-AQ59)))</f>
        <v>297.00000000000006</v>
      </c>
      <c r="AJ60" s="13">
        <f>AI60*VLOOKUP('Données projet'!$B$10,Paramètres!$A$1:$I$89,3,0)*VLOOKUP('Données projet'!$B$10,Paramètres!$A$1:$I$89,5,0)</f>
        <v>254.82600000000008</v>
      </c>
      <c r="AK60" s="13">
        <f t="shared" si="35"/>
        <v>61.618203339594587</v>
      </c>
      <c r="AL60" s="20">
        <f t="shared" si="4"/>
        <v>551.14032081646064</v>
      </c>
      <c r="AM60" s="59">
        <f t="shared" si="5"/>
        <v>810.66696086713841</v>
      </c>
      <c r="AN60" s="59">
        <f ca="1">AVERAGE(OFFSET($AM$3,0,0,'Données projet'!$E$10+1,1))-AVERAGE(OFFSET($H$3,0,0,'Données projet'!$E$10+1,1))</f>
        <v>570.05585579662738</v>
      </c>
      <c r="AO60" s="59">
        <f t="shared" si="36"/>
        <v>331.25104323342907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70.046646666618457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70.046646666618457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13.447142857142856</v>
      </c>
      <c r="BD60" s="12">
        <f>IF('Données projet'!$A$88&gt;35,BD59+BC60-BL59,IF(A60&lt;'Données projet'!$A$88,$BA$205^A60,IF(A60='Données projet'!$A$88,'Données projet'!$B$88,BD59+BC60-BL59)))</f>
        <v>291.67285714285714</v>
      </c>
      <c r="BE60" s="13">
        <f>BD60*VLOOKUP('Données projet'!$B$11,Paramètres!$A$1:$I$89,3,0)*VLOOKUP('Données projet'!$B$11,Paramètres!$A$1:$I$89,5,0)</f>
        <v>245.70521485714286</v>
      </c>
      <c r="BF60" s="13">
        <f t="shared" si="37"/>
        <v>59.665351817423399</v>
      </c>
      <c r="BG60" s="20">
        <f t="shared" si="7"/>
        <v>531.85373695820283</v>
      </c>
      <c r="BH60" s="59">
        <f t="shared" si="8"/>
        <v>791.38037700888049</v>
      </c>
      <c r="BI60" s="59">
        <f ca="1">AVERAGE(OFFSET($BH$3,0,0,'Données projet'!$E$11+1,1))-AVERAGE(OFFSET($H$3,0,0,'Données projet'!$E$11+1,1))</f>
        <v>458.88102603650725</v>
      </c>
      <c r="BJ60" s="59">
        <f t="shared" si="38"/>
        <v>277.79020316059552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60.434270494209755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60.434270494209755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11.644999999999996</v>
      </c>
      <c r="BY60" s="12">
        <f>IF('Données projet'!$A$114&gt;35,BY59+BX60-CG59,IF(A60&lt;'Données projet'!$A$114,$BV$205^A60,IF(A60='Données projet'!$A$114,'Données projet'!$B$114,BY59+BX60-CG59)))</f>
        <v>242.72000000000014</v>
      </c>
      <c r="BZ60" s="13">
        <f>BY60*VLOOKUP('Données projet'!$B$12,Paramètres!$A$1:$I$89,3,0)*VLOOKUP('Données projet'!$B$12,Paramètres!$A$1:$I$89,5,0)</f>
        <v>230.97235200000014</v>
      </c>
      <c r="CA60" s="13">
        <f t="shared" si="39"/>
        <v>56.492875118057718</v>
      </c>
      <c r="CB60" s="20">
        <f t="shared" si="10"/>
        <v>500.66860389728407</v>
      </c>
      <c r="CC60" s="59">
        <f t="shared" si="11"/>
        <v>760.19524394796179</v>
      </c>
      <c r="CD60" s="59">
        <f ca="1">AVERAGE(OFFSET($CC$3,0,0,'Données projet'!$E$12+1,1))-AVERAGE(OFFSET($H$3,0,0,'Données projet'!$E$12+1,1))</f>
        <v>592.58528888957346</v>
      </c>
      <c r="CE60" s="59">
        <f t="shared" si="40"/>
        <v>311.31528017256846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84.434889099479648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84.434889099479648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0.8600000000003547</v>
      </c>
      <c r="CU60" s="17">
        <f>CT60*VLOOKUP('Données projet'!$B$13,Paramètres!$A$1:$I$89,3,0)*VLOOKUP('Données projet'!$B$13,Paramètres!$A$1:$I$89,5,0)</f>
        <v>0.48074000000019829</v>
      </c>
      <c r="CV60" s="13">
        <f t="shared" si="41"/>
        <v>0.24126147010950588</v>
      </c>
      <c r="CW60" s="20">
        <f t="shared" si="13"/>
        <v>1.2574858937744013</v>
      </c>
      <c r="CX60" s="59">
        <f t="shared" si="14"/>
        <v>260.78412594445211</v>
      </c>
      <c r="CY60" s="59">
        <f ca="1">AVERAGE(OFFSET($CX$3,0,0,'Données projet'!$E$13+1,1))-AVERAGE(OFFSET($H$3,0,0,'Données projet'!$E$13+1,1))</f>
        <v>420.4890915162182</v>
      </c>
      <c r="CZ60" s="59">
        <f t="shared" si="42"/>
        <v>553.48432338023565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357.35165459888822</v>
      </c>
      <c r="DG60" s="21">
        <f>EXP(-LN(2)/25)*DG59+(1-EXP(-LN(2)/25))/(LN(2)/25)*Calculateur!DB60*Calculateur!DD60*VLOOKUP('Données projet'!$B$13,Paramètres!$A$1:$I$89,3,0)*0.475*44/12</f>
        <v>23.921669072598696</v>
      </c>
      <c r="DH60" s="21">
        <f>EXP(-LN(2)/2)*DH59+(1-EXP(-LN(2)/2))/(LN(2)/2)*DB60*DE60*VLOOKUP('Données projet'!$B$13,Paramètres!$A$1:$I$89,3,0)*0.475*44/12</f>
        <v>6.3867532182550337E-5</v>
      </c>
      <c r="DI60" s="22">
        <f t="shared" si="15"/>
        <v>381.2733875390191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11.644999999999996</v>
      </c>
      <c r="DO60" s="12">
        <f>IF('Données projet'!$A$166&gt;35,DO59+DN60-DW59,IF(A60&lt;'Données projet'!$A$166,$DL$205^A60,IF(A60='Données projet'!$A$166,'Données projet'!$B$166,DO59+DN60-DW59)))</f>
        <v>242.72000000000014</v>
      </c>
      <c r="DP60" s="17">
        <f>DO60*VLOOKUP('Données projet'!$B$14,Paramètres!$A$1:$I$89,3,0)*VLOOKUP('Données projet'!$B$14,Paramètres!$A$1:$I$89,5,0)</f>
        <v>261.26380800000015</v>
      </c>
      <c r="DQ60" s="13">
        <f t="shared" si="43"/>
        <v>62.991694676793095</v>
      </c>
      <c r="DR60" s="20">
        <f t="shared" si="16"/>
        <v>564.74500049541484</v>
      </c>
      <c r="DS60" s="59">
        <f t="shared" si="17"/>
        <v>824.27164054609261</v>
      </c>
      <c r="DT60" s="59">
        <f ca="1">AVERAGE(OFFSET($DS$3,0,0,'Données projet'!$E$14+1,1))-AVERAGE(OFFSET($H$3,0,0,'Données projet'!$E$14+1,1))</f>
        <v>659.55755908012691</v>
      </c>
      <c r="DU60" s="59">
        <f t="shared" si="44"/>
        <v>343.96647464823627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95.508317178099901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95.508317178099901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11.644999999999996</v>
      </c>
      <c r="EJ60" s="12">
        <f>IF('Données projet'!$A$192&gt;35,EJ59+EI60-ER59,IF(A60&lt;'Données projet'!$A$192,$EG$205^A60,IF(A60='Données projet'!$A$192,'Données projet'!$B$192,EJ59+EI60-ER59)))</f>
        <v>242.72000000000014</v>
      </c>
      <c r="EK60" s="17">
        <f>EJ60*VLOOKUP('Données projet'!$B$15,Paramètres!$A$1:$I$89,3,0)*VLOOKUP('Données projet'!$B$15,Paramètres!$A$1:$I$89,5,0)</f>
        <v>234.75878400000013</v>
      </c>
      <c r="EL60" s="13">
        <f t="shared" si="45"/>
        <v>57.310412276676004</v>
      </c>
      <c r="EM60" s="20">
        <f t="shared" si="19"/>
        <v>508.68718351521102</v>
      </c>
      <c r="EN60" s="59">
        <f t="shared" si="20"/>
        <v>768.21382356588879</v>
      </c>
      <c r="EO60" s="59">
        <f ca="1">AVERAGE(OFFSET($EN$3,0,0,'Données projet'!$E$15+1,1))-AVERAGE(OFFSET($H$3,0,0,'Données projet'!$E$15+1,1))</f>
        <v>600.96600099541388</v>
      </c>
      <c r="EP60" s="59">
        <f t="shared" si="46"/>
        <v>315.40159257508969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85.819067609307197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85.819067609307197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254.36500000000012</v>
      </c>
      <c r="O61" s="13">
        <f>N61*VLOOKUP('Données projet'!$B$9,Paramètres!$A$1:$I$89,3,0)*VLOOKUP('Données projet'!$B$9,Paramètres!$A$1:$I$89,5,0)</f>
        <v>230.14945200000011</v>
      </c>
      <c r="P61" s="13">
        <f t="shared" si="33"/>
        <v>56.314995325940238</v>
      </c>
      <c r="Q61" s="20">
        <f t="shared" si="53"/>
        <v>498.92557909267936</v>
      </c>
      <c r="R61" s="59">
        <f t="shared" si="0"/>
        <v>759.03868969136784</v>
      </c>
      <c r="S61" s="59">
        <f ca="1">AVERAGE(OFFSET($R$3,0,0,'Données projet'!$E$9+1,1))-AVERAGE(OFFSET($H$3,0,0,'Données projet'!$E$9+1,1))</f>
        <v>567.42635821336114</v>
      </c>
      <c r="T61" s="59">
        <f t="shared" si="34"/>
        <v>299.0473530693472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78.708065583889947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78.708065583889947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</v>
      </c>
      <c r="AI61" s="13">
        <f>IF('Données projet'!$A$62&gt;35,AI60+AH61-AQ60,IF(A61&lt;'Données projet'!$A$62,$AF$205^A61,IF(A61='Données projet'!$A$62,'Données projet'!$B$62,AI60+AH61-AQ60)))</f>
        <v>310.00000000000006</v>
      </c>
      <c r="AJ61" s="13">
        <f>AI61*VLOOKUP('Données projet'!$B$10,Paramètres!$A$1:$I$89,3,0)*VLOOKUP('Données projet'!$B$10,Paramètres!$A$1:$I$89,5,0)</f>
        <v>265.98000000000008</v>
      </c>
      <c r="AK61" s="13">
        <f t="shared" si="35"/>
        <v>63.995380422211646</v>
      </c>
      <c r="AL61" s="20">
        <f t="shared" si="4"/>
        <v>574.7071209020188</v>
      </c>
      <c r="AM61" s="59">
        <f t="shared" si="5"/>
        <v>834.82023150070722</v>
      </c>
      <c r="AN61" s="59">
        <f ca="1">AVERAGE(OFFSET($AM$3,0,0,'Données projet'!$E$10+1,1))-AVERAGE(OFFSET($H$3,0,0,'Données projet'!$E$10+1,1))</f>
        <v>570.05585579662738</v>
      </c>
      <c r="AO61" s="59">
        <f t="shared" si="36"/>
        <v>331.25104323342907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68.673074649721869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68.673074649721869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305.12</v>
      </c>
      <c r="BB61" s="12">
        <f>VLOOKUP(A61,'Données projet'!$A$87:$I$107,9,0)</f>
        <v>13.447142857142856</v>
      </c>
      <c r="BC61" s="12">
        <f t="array" ref="BC61">INDEX(BB:BB,MIN(IF(ISNUMBER(BB61:BB257),ROW(BB61:BB257),"")))</f>
        <v>13.447142857142856</v>
      </c>
      <c r="BD61" s="12">
        <f>IF('Données projet'!$A$88&gt;35,BD60+BC61-BL60,IF(A61&lt;'Données projet'!$A$88,$BA$205^A61,IF(A61='Données projet'!$A$88,'Données projet'!$B$88,BD60+BC61-BL60)))</f>
        <v>305.12</v>
      </c>
      <c r="BE61" s="13">
        <f>BD61*VLOOKUP('Données projet'!$B$11,Paramètres!$A$1:$I$89,3,0)*VLOOKUP('Données projet'!$B$11,Paramètres!$A$1:$I$89,5,0)</f>
        <v>257.03308800000002</v>
      </c>
      <c r="BF61" s="13">
        <f t="shared" si="37"/>
        <v>62.08953040488894</v>
      </c>
      <c r="BG61" s="20">
        <f t="shared" si="7"/>
        <v>555.8052270551816</v>
      </c>
      <c r="BH61" s="59">
        <f t="shared" si="8"/>
        <v>815.91833765387003</v>
      </c>
      <c r="BI61" s="59">
        <f ca="1">AVERAGE(OFFSET($BH$3,0,0,'Données projet'!$E$11+1,1))-AVERAGE(OFFSET($H$3,0,0,'Données projet'!$E$11+1,1))</f>
        <v>458.88102603650725</v>
      </c>
      <c r="BJ61" s="59">
        <f t="shared" si="38"/>
        <v>277.79020316059552</v>
      </c>
      <c r="BK61" s="15">
        <f>IF(ISNA(VLOOKUP(A61,'Données projet'!$A$87:$I$107,3,0)),0,VLOOKUP(A61,'Données projet'!$A$87:$I$107,3,0))</f>
        <v>5</v>
      </c>
      <c r="BL61" s="15">
        <f>IF(ISNA(VLOOKUP(A61,'Données projet'!$A$87:$I$107,4,0)),0,VLOOKUP(A61,'Données projet'!$A$87:$I$107,4,0))</f>
        <v>48.81</v>
      </c>
      <c r="BM61" s="16">
        <f>IF(ISNA(VLOOKUP(A61,'Données projet'!$A$87:$I$107,5,0)),0%,VLOOKUP(A61,'Données projet'!$A$87:$I$107,5,0)*VLOOKUP('Données projet'!$B$11,Paramètres!$A$1:$I$89,7,0))</f>
        <v>0.43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78.794508908674956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78.794508908674956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11.644999999999996</v>
      </c>
      <c r="BY61" s="12">
        <f>IF('Données projet'!$A$114&gt;35,BY60+BX61-CG60,IF(A61&lt;'Données projet'!$A$114,$BV$205^A61,IF(A61='Données projet'!$A$114,'Données projet'!$B$114,BY60+BX61-CG60)))</f>
        <v>254.36500000000012</v>
      </c>
      <c r="BZ61" s="13">
        <f>BY61*VLOOKUP('Données projet'!$B$12,Paramètres!$A$1:$I$89,3,0)*VLOOKUP('Données projet'!$B$12,Paramètres!$A$1:$I$89,5,0)</f>
        <v>242.05373400000011</v>
      </c>
      <c r="CA61" s="13">
        <f t="shared" si="39"/>
        <v>58.881181989313333</v>
      </c>
      <c r="CB61" s="20">
        <f t="shared" si="10"/>
        <v>524.1283120147209</v>
      </c>
      <c r="CC61" s="59">
        <f t="shared" si="11"/>
        <v>784.24142261340933</v>
      </c>
      <c r="CD61" s="59">
        <f ca="1">AVERAGE(OFFSET($CC$3,0,0,'Données projet'!$E$12+1,1))-AVERAGE(OFFSET($H$3,0,0,'Données projet'!$E$12+1,1))</f>
        <v>592.58528888957346</v>
      </c>
      <c r="CE61" s="59">
        <f t="shared" si="40"/>
        <v>311.31528017256846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82.779172424435984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82.779172424435984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0.8600000000003547</v>
      </c>
      <c r="CU61" s="17">
        <f>CT61*VLOOKUP('Données projet'!$B$13,Paramètres!$A$1:$I$89,3,0)*VLOOKUP('Données projet'!$B$13,Paramètres!$A$1:$I$89,5,0)</f>
        <v>0.48074000000019829</v>
      </c>
      <c r="CV61" s="13">
        <f t="shared" si="41"/>
        <v>0.24126147010950588</v>
      </c>
      <c r="CW61" s="20">
        <f t="shared" si="13"/>
        <v>1.2574858937744013</v>
      </c>
      <c r="CX61" s="59">
        <f t="shared" si="14"/>
        <v>261.37059649246282</v>
      </c>
      <c r="CY61" s="59">
        <f ca="1">AVERAGE(OFFSET($CX$3,0,0,'Données projet'!$E$13+1,1))-AVERAGE(OFFSET($H$3,0,0,'Données projet'!$E$13+1,1))</f>
        <v>420.4890915162182</v>
      </c>
      <c r="CZ61" s="59">
        <f t="shared" si="42"/>
        <v>553.48432338023565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350.34420661519124</v>
      </c>
      <c r="DG61" s="21">
        <f>EXP(-LN(2)/25)*DG60+(1-EXP(-LN(2)/25))/(LN(2)/25)*Calculateur!DB61*Calculateur!DD61*VLOOKUP('Données projet'!$B$13,Paramètres!$A$1:$I$89,3,0)*0.475*44/12</f>
        <v>23.267529773822581</v>
      </c>
      <c r="DH61" s="21">
        <f>EXP(-LN(2)/2)*DH60+(1-EXP(-LN(2)/2))/(LN(2)/2)*DB61*DE61*VLOOKUP('Données projet'!$B$13,Paramètres!$A$1:$I$89,3,0)*0.475*44/12</f>
        <v>4.5161165103931405E-5</v>
      </c>
      <c r="DI61" s="22">
        <f t="shared" si="15"/>
        <v>373.61178155017888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11.644999999999996</v>
      </c>
      <c r="DO61" s="12">
        <f>IF('Données projet'!$A$166&gt;35,DO60+DN61-DW60,IF(A61&lt;'Données projet'!$A$166,$DL$205^A61,IF(A61='Données projet'!$A$166,'Données projet'!$B$166,DO60+DN61-DW60)))</f>
        <v>254.36500000000012</v>
      </c>
      <c r="DP61" s="17">
        <f>DO61*VLOOKUP('Données projet'!$B$14,Paramètres!$A$1:$I$89,3,0)*VLOOKUP('Données projet'!$B$14,Paramètres!$A$1:$I$89,5,0)</f>
        <v>273.79848600000014</v>
      </c>
      <c r="DQ61" s="13">
        <f t="shared" si="43"/>
        <v>65.654747263764932</v>
      </c>
      <c r="DR61" s="20">
        <f t="shared" si="16"/>
        <v>591.21438126772421</v>
      </c>
      <c r="DS61" s="59">
        <f t="shared" si="17"/>
        <v>851.32749186641263</v>
      </c>
      <c r="DT61" s="59">
        <f ca="1">AVERAGE(OFFSET($DS$3,0,0,'Données projet'!$E$14+1,1))-AVERAGE(OFFSET($H$3,0,0,'Données projet'!$E$14+1,1))</f>
        <v>659.55755908012691</v>
      </c>
      <c r="DU61" s="59">
        <f t="shared" si="44"/>
        <v>343.96647464823627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93.635457332558701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93.635457332558701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11.644999999999996</v>
      </c>
      <c r="EJ61" s="12">
        <f>IF('Données projet'!$A$192&gt;35,EJ60+EI61-ER60,IF(A61&lt;'Données projet'!$A$192,$EG$205^A61,IF(A61='Données projet'!$A$192,'Données projet'!$B$192,EJ60+EI61-ER60)))</f>
        <v>254.36500000000012</v>
      </c>
      <c r="EK61" s="17">
        <f>EJ61*VLOOKUP('Données projet'!$B$15,Paramètres!$A$1:$I$89,3,0)*VLOOKUP('Données projet'!$B$15,Paramètres!$A$1:$I$89,5,0)</f>
        <v>246.02182800000014</v>
      </c>
      <c r="EL61" s="13">
        <f t="shared" si="45"/>
        <v>59.733281552648222</v>
      </c>
      <c r="EM61" s="20">
        <f t="shared" si="19"/>
        <v>532.52348247086252</v>
      </c>
      <c r="EN61" s="59">
        <f t="shared" si="20"/>
        <v>792.63659306955094</v>
      </c>
      <c r="EO61" s="59">
        <f ca="1">AVERAGE(OFFSET($EN$3,0,0,'Données projet'!$E$15+1,1))-AVERAGE(OFFSET($H$3,0,0,'Données projet'!$E$15+1,1))</f>
        <v>600.96600099541388</v>
      </c>
      <c r="EP61" s="59">
        <f t="shared" si="46"/>
        <v>315.40159257508969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84.136208037951334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84.136208037951334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266.0100000000001</v>
      </c>
      <c r="O62" s="13">
        <f>N62*VLOOKUP('Données projet'!$B$9,Paramètres!$A$1:$I$89,3,0)*VLOOKUP('Données projet'!$B$9,Paramètres!$A$1:$I$89,5,0)</f>
        <v>240.68584800000008</v>
      </c>
      <c r="P62" s="13">
        <f t="shared" si="33"/>
        <v>58.587069504016014</v>
      </c>
      <c r="Q62" s="20">
        <f t="shared" si="53"/>
        <v>521.233664652828</v>
      </c>
      <c r="R62" s="59">
        <f t="shared" si="0"/>
        <v>781.92307184667084</v>
      </c>
      <c r="S62" s="59">
        <f ca="1">AVERAGE(OFFSET($R$3,0,0,'Données projet'!$E$9+1,1))-AVERAGE(OFFSET($H$3,0,0,'Données projet'!$E$9+1,1))</f>
        <v>567.42635821336114</v>
      </c>
      <c r="T62" s="59">
        <f t="shared" si="34"/>
        <v>299.0473530693472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77.164648424969556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77.164648424969556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</v>
      </c>
      <c r="AI62" s="13">
        <f>IF('Données projet'!$A$62&gt;35,AI61+AH62-AQ61,IF(A62&lt;'Données projet'!$A$62,$AF$205^A62,IF(A62='Données projet'!$A$62,'Données projet'!$B$62,AI61+AH62-AQ61)))</f>
        <v>323.00000000000006</v>
      </c>
      <c r="AJ62" s="13">
        <f>AI62*VLOOKUP('Données projet'!$B$10,Paramètres!$A$1:$I$89,3,0)*VLOOKUP('Données projet'!$B$10,Paramètres!$A$1:$I$89,5,0)</f>
        <v>277.13400000000007</v>
      </c>
      <c r="AK62" s="13">
        <f t="shared" si="35"/>
        <v>66.360978503745613</v>
      </c>
      <c r="AL62" s="20">
        <f t="shared" si="4"/>
        <v>598.25375422735704</v>
      </c>
      <c r="AM62" s="59">
        <f t="shared" si="5"/>
        <v>858.94316142119987</v>
      </c>
      <c r="AN62" s="59">
        <f ca="1">AVERAGE(OFFSET($AM$3,0,0,'Données projet'!$E$10+1,1))-AVERAGE(OFFSET($H$3,0,0,'Données projet'!$E$10+1,1))</f>
        <v>570.05585579662738</v>
      </c>
      <c r="AO62" s="59">
        <f t="shared" si="36"/>
        <v>331.25104323342907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67.326437542280416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67.326437542280416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13.102857142857138</v>
      </c>
      <c r="BD62" s="12">
        <f>IF('Données projet'!$A$88&gt;35,BD61+BC62-BL61,IF(A62&lt;'Données projet'!$A$88,$BA$205^A62,IF(A62='Données projet'!$A$88,'Données projet'!$B$88,BD61+BC62-BL61)))</f>
        <v>269.41285714285715</v>
      </c>
      <c r="BE62" s="13">
        <f>BD62*VLOOKUP('Données projet'!$B$11,Paramètres!$A$1:$I$89,3,0)*VLOOKUP('Données projet'!$B$11,Paramètres!$A$1:$I$89,5,0)</f>
        <v>226.95339085714286</v>
      </c>
      <c r="BF62" s="13">
        <f t="shared" si="37"/>
        <v>55.623423038577762</v>
      </c>
      <c r="BG62" s="20">
        <f t="shared" si="7"/>
        <v>492.15461753504678</v>
      </c>
      <c r="BH62" s="59">
        <f t="shared" si="8"/>
        <v>752.84402472888951</v>
      </c>
      <c r="BI62" s="59">
        <f ca="1">AVERAGE(OFFSET($BH$3,0,0,'Données projet'!$E$11+1,1))-AVERAGE(OFFSET($H$3,0,0,'Données projet'!$E$11+1,1))</f>
        <v>458.88102603650725</v>
      </c>
      <c r="BJ62" s="59">
        <f t="shared" si="38"/>
        <v>277.79020316059552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77.249396648880747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77.249396648880747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11.644999999999996</v>
      </c>
      <c r="BY62" s="12">
        <f>IF('Données projet'!$A$114&gt;35,BY61+BX62-CG61,IF(A62&lt;'Données projet'!$A$114,$BV$205^A62,IF(A62='Données projet'!$A$114,'Données projet'!$B$114,BY61+BX62-CG61)))</f>
        <v>266.0100000000001</v>
      </c>
      <c r="BZ62" s="13">
        <f>BY62*VLOOKUP('Données projet'!$B$12,Paramètres!$A$1:$I$89,3,0)*VLOOKUP('Données projet'!$B$12,Paramètres!$A$1:$I$89,5,0)</f>
        <v>253.1351160000001</v>
      </c>
      <c r="CA62" s="13">
        <f t="shared" si="39"/>
        <v>61.25679105042029</v>
      </c>
      <c r="CB62" s="20">
        <f t="shared" si="10"/>
        <v>547.56590477948214</v>
      </c>
      <c r="CC62" s="59">
        <f t="shared" si="11"/>
        <v>808.25531197332498</v>
      </c>
      <c r="CD62" s="59">
        <f ca="1">AVERAGE(OFFSET($CC$3,0,0,'Données projet'!$E$12+1,1))-AVERAGE(OFFSET($H$3,0,0,'Données projet'!$E$12+1,1))</f>
        <v>592.58528888957346</v>
      </c>
      <c r="CE62" s="59">
        <f t="shared" si="40"/>
        <v>311.31528017256846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81.155923343502465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81.155923343502465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0.8600000000003547</v>
      </c>
      <c r="CU62" s="17">
        <f>CT62*VLOOKUP('Données projet'!$B$13,Paramètres!$A$1:$I$89,3,0)*VLOOKUP('Données projet'!$B$13,Paramètres!$A$1:$I$89,5,0)</f>
        <v>0.48074000000019829</v>
      </c>
      <c r="CV62" s="13">
        <f t="shared" si="41"/>
        <v>0.24126147010950588</v>
      </c>
      <c r="CW62" s="20">
        <f t="shared" si="13"/>
        <v>1.2574858937744013</v>
      </c>
      <c r="CX62" s="59">
        <f t="shared" si="14"/>
        <v>261.94689308761718</v>
      </c>
      <c r="CY62" s="59">
        <f ca="1">AVERAGE(OFFSET($CX$3,0,0,'Données projet'!$E$13+1,1))-AVERAGE(OFFSET($H$3,0,0,'Données projet'!$E$13+1,1))</f>
        <v>420.4890915162182</v>
      </c>
      <c r="CZ62" s="59">
        <f t="shared" si="42"/>
        <v>553.48432338023565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343.47417041233336</v>
      </c>
      <c r="DG62" s="21">
        <f>EXP(-LN(2)/25)*DG61+(1-EXP(-LN(2)/25))/(LN(2)/25)*Calculateur!DB62*Calculateur!DD62*VLOOKUP('Données projet'!$B$13,Paramètres!$A$1:$I$89,3,0)*0.475*44/12</f>
        <v>22.631277948571189</v>
      </c>
      <c r="DH62" s="21">
        <f>EXP(-LN(2)/2)*DH61+(1-EXP(-LN(2)/2))/(LN(2)/2)*DB62*DE62*VLOOKUP('Données projet'!$B$13,Paramètres!$A$1:$I$89,3,0)*0.475*44/12</f>
        <v>3.1933766091275169E-5</v>
      </c>
      <c r="DI62" s="22">
        <f t="shared" si="15"/>
        <v>366.10548029467066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11.644999999999996</v>
      </c>
      <c r="DO62" s="12">
        <f>IF('Données projet'!$A$166&gt;35,DO61+DN62-DW61,IF(A62&lt;'Données projet'!$A$166,$DL$205^A62,IF(A62='Données projet'!$A$166,'Données projet'!$B$166,DO61+DN62-DW61)))</f>
        <v>266.0100000000001</v>
      </c>
      <c r="DP62" s="17">
        <f>DO62*VLOOKUP('Données projet'!$B$14,Paramètres!$A$1:$I$89,3,0)*VLOOKUP('Données projet'!$B$14,Paramètres!$A$1:$I$89,5,0)</f>
        <v>286.33316400000007</v>
      </c>
      <c r="DQ62" s="13">
        <f t="shared" si="43"/>
        <v>68.303641311659476</v>
      </c>
      <c r="DR62" s="20">
        <f t="shared" si="16"/>
        <v>617.65910258447366</v>
      </c>
      <c r="DS62" s="59">
        <f t="shared" si="17"/>
        <v>878.34850977831638</v>
      </c>
      <c r="DT62" s="59">
        <f ca="1">AVERAGE(OFFSET($DS$3,0,0,'Données projet'!$E$14+1,1))-AVERAGE(OFFSET($H$3,0,0,'Données projet'!$E$14+1,1))</f>
        <v>659.55755908012691</v>
      </c>
      <c r="DU62" s="59">
        <f t="shared" si="44"/>
        <v>343.96647464823627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91.799323126256851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91.799323126256851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11.644999999999996</v>
      </c>
      <c r="EJ62" s="12">
        <f>IF('Données projet'!$A$192&gt;35,EJ61+EI62-ER61,IF(A62&lt;'Données projet'!$A$192,$EG$205^A62,IF(A62='Données projet'!$A$192,'Données projet'!$B$192,EJ61+EI62-ER61)))</f>
        <v>266.0100000000001</v>
      </c>
      <c r="EK62" s="17">
        <f>EJ62*VLOOKUP('Données projet'!$B$15,Paramètres!$A$1:$I$89,3,0)*VLOOKUP('Données projet'!$B$15,Paramètres!$A$1:$I$89,5,0)</f>
        <v>257.28487200000006</v>
      </c>
      <c r="EL62" s="13">
        <f t="shared" si="45"/>
        <v>62.14326926199616</v>
      </c>
      <c r="EM62" s="20">
        <f t="shared" si="19"/>
        <v>556.33734603131006</v>
      </c>
      <c r="EN62" s="59">
        <f t="shared" si="20"/>
        <v>817.02675322515279</v>
      </c>
      <c r="EO62" s="59">
        <f ca="1">AVERAGE(OFFSET($EN$3,0,0,'Données projet'!$E$15+1,1))-AVERAGE(OFFSET($H$3,0,0,'Données projet'!$E$15+1,1))</f>
        <v>600.96600099541388</v>
      </c>
      <c r="EP62" s="59">
        <f t="shared" si="46"/>
        <v>315.40159257508969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82.486348316346778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82.486348316346778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277.65500000000009</v>
      </c>
      <c r="O63" s="13">
        <f>N63*VLOOKUP('Données projet'!$B$9,Paramètres!$A$1:$I$89,3,0)*VLOOKUP('Données projet'!$B$9,Paramètres!$A$1:$I$89,5,0)</f>
        <v>251.22224400000007</v>
      </c>
      <c r="P63" s="13">
        <f t="shared" si="33"/>
        <v>60.847591673657284</v>
      </c>
      <c r="Q63" s="20">
        <f t="shared" si="53"/>
        <v>543.52163046495309</v>
      </c>
      <c r="R63" s="59">
        <f t="shared" si="0"/>
        <v>804.77733679643052</v>
      </c>
      <c r="S63" s="59">
        <f ca="1">AVERAGE(OFFSET($R$3,0,0,'Données projet'!$E$9+1,1))-AVERAGE(OFFSET($H$3,0,0,'Données projet'!$E$9+1,1))</f>
        <v>567.42635821336114</v>
      </c>
      <c r="T63" s="59">
        <f t="shared" si="34"/>
        <v>299.0473530693472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75.651496735144079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75.651496735144079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336</v>
      </c>
      <c r="AG63" s="12">
        <f>VLOOKUP(A63,'Données projet'!$A$61:$I$81,9,0)</f>
        <v>13</v>
      </c>
      <c r="AH63" s="12">
        <f t="array" ref="AH63">INDEX(AG:AG,MIN(IF(ISNUMBER(AG63:AG259),ROW(AG63:AG259),"")))</f>
        <v>13</v>
      </c>
      <c r="AI63" s="13">
        <f>IF('Données projet'!$A$62&gt;35,AI62+AH63-AQ62,IF(A63&lt;'Données projet'!$A$62,$AF$205^A63,IF(A63='Données projet'!$A$62,'Données projet'!$B$62,AI62+AH63-AQ62)))</f>
        <v>336.00000000000006</v>
      </c>
      <c r="AJ63" s="13">
        <f>AI63*VLOOKUP('Données projet'!$B$10,Paramètres!$A$1:$I$89,3,0)*VLOOKUP('Données projet'!$B$10,Paramètres!$A$1:$I$89,5,0)</f>
        <v>288.28800000000007</v>
      </c>
      <c r="AK63" s="13">
        <f t="shared" si="35"/>
        <v>68.715516926722444</v>
      </c>
      <c r="AL63" s="20">
        <f t="shared" si="4"/>
        <v>621.78112531404167</v>
      </c>
      <c r="AM63" s="59">
        <f t="shared" si="5"/>
        <v>883.03683164551921</v>
      </c>
      <c r="AN63" s="59">
        <f ca="1">AVERAGE(OFFSET($AM$3,0,0,'Données projet'!$E$10+1,1))-AVERAGE(OFFSET($H$3,0,0,'Données projet'!$E$10+1,1))</f>
        <v>570.05585579662738</v>
      </c>
      <c r="AO63" s="59">
        <f t="shared" si="36"/>
        <v>331.25104323342907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35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83.600763180756843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83.600763180756843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13.102857142857138</v>
      </c>
      <c r="BD63" s="12">
        <f>IF('Données projet'!$A$88&gt;35,BD62+BC63-BL62,IF(A63&lt;'Données projet'!$A$88,$BA$205^A63,IF(A63='Données projet'!$A$88,'Données projet'!$B$88,BD62+BC63-BL62)))</f>
        <v>282.5157142857143</v>
      </c>
      <c r="BE63" s="13">
        <f>BD63*VLOOKUP('Données projet'!$B$11,Paramètres!$A$1:$I$89,3,0)*VLOOKUP('Données projet'!$B$11,Paramètres!$A$1:$I$89,5,0)</f>
        <v>237.99123771428575</v>
      </c>
      <c r="BF63" s="13">
        <f t="shared" si="37"/>
        <v>58.007124299386852</v>
      </c>
      <c r="BG63" s="20">
        <f t="shared" si="7"/>
        <v>515.53048050714631</v>
      </c>
      <c r="BH63" s="59">
        <f t="shared" si="8"/>
        <v>776.78618683862373</v>
      </c>
      <c r="BI63" s="59">
        <f ca="1">AVERAGE(OFFSET($BH$3,0,0,'Données projet'!$E$11+1,1))-AVERAGE(OFFSET($H$3,0,0,'Données projet'!$E$11+1,1))</f>
        <v>458.88102603650725</v>
      </c>
      <c r="BJ63" s="59">
        <f t="shared" si="38"/>
        <v>277.79020316059552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75.734583098075689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75.734583098075689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11.644999999999996</v>
      </c>
      <c r="BY63" s="12">
        <f>IF('Données projet'!$A$114&gt;35,BY62+BX63-CG62,IF(A63&lt;'Données projet'!$A$114,$BV$205^A63,IF(A63='Données projet'!$A$114,'Données projet'!$B$114,BY62+BX63-CG62)))</f>
        <v>277.65500000000009</v>
      </c>
      <c r="BZ63" s="13">
        <f>BY63*VLOOKUP('Données projet'!$B$12,Paramètres!$A$1:$I$89,3,0)*VLOOKUP('Données projet'!$B$12,Paramètres!$A$1:$I$89,5,0)</f>
        <v>264.21649800000012</v>
      </c>
      <c r="CA63" s="13">
        <f t="shared" si="39"/>
        <v>63.62032169605304</v>
      </c>
      <c r="CB63" s="20">
        <f t="shared" si="10"/>
        <v>570.98246097062588</v>
      </c>
      <c r="CC63" s="59">
        <f t="shared" si="11"/>
        <v>832.23816730210342</v>
      </c>
      <c r="CD63" s="59">
        <f ca="1">AVERAGE(OFFSET($CC$3,0,0,'Données projet'!$E$12+1,1))-AVERAGE(OFFSET($H$3,0,0,'Données projet'!$E$12+1,1))</f>
        <v>592.58528888957346</v>
      </c>
      <c r="CE63" s="59">
        <f t="shared" si="40"/>
        <v>311.31528017256846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79.564505186961881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79.564505186961881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0.8600000000003547</v>
      </c>
      <c r="CU63" s="17">
        <f>CT63*VLOOKUP('Données projet'!$B$13,Paramètres!$A$1:$I$89,3,0)*VLOOKUP('Données projet'!$B$13,Paramètres!$A$1:$I$89,5,0)</f>
        <v>0.48074000000019829</v>
      </c>
      <c r="CV63" s="13">
        <f t="shared" si="41"/>
        <v>0.24126147010950588</v>
      </c>
      <c r="CW63" s="20">
        <f t="shared" si="13"/>
        <v>1.2574858937744013</v>
      </c>
      <c r="CX63" s="59">
        <f t="shared" si="14"/>
        <v>262.51319222525188</v>
      </c>
      <c r="CY63" s="59">
        <f ca="1">AVERAGE(OFFSET($CX$3,0,0,'Données projet'!$E$13+1,1))-AVERAGE(OFFSET($H$3,0,0,'Données projet'!$E$13+1,1))</f>
        <v>420.4890915162182</v>
      </c>
      <c r="CZ63" s="59">
        <f t="shared" si="42"/>
        <v>553.48432338023565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336.73885142910518</v>
      </c>
      <c r="DG63" s="21">
        <f>EXP(-LN(2)/25)*DG62+(1-EXP(-LN(2)/25))/(LN(2)/25)*Calculateur!DB63*Calculateur!DD63*VLOOKUP('Données projet'!$B$13,Paramètres!$A$1:$I$89,3,0)*0.475*44/12</f>
        <v>22.012424462940327</v>
      </c>
      <c r="DH63" s="21">
        <f>EXP(-LN(2)/2)*DH62+(1-EXP(-LN(2)/2))/(LN(2)/2)*DB63*DE63*VLOOKUP('Données projet'!$B$13,Paramètres!$A$1:$I$89,3,0)*0.475*44/12</f>
        <v>2.2580582551965702E-5</v>
      </c>
      <c r="DI63" s="22">
        <f t="shared" si="15"/>
        <v>358.75129847262804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11.644999999999996</v>
      </c>
      <c r="DO63" s="12">
        <f>IF('Données projet'!$A$166&gt;35,DO62+DN63-DW62,IF(A63&lt;'Données projet'!$A$166,$DL$205^A63,IF(A63='Données projet'!$A$166,'Données projet'!$B$166,DO62+DN63-DW62)))</f>
        <v>277.65500000000009</v>
      </c>
      <c r="DP63" s="17">
        <f>DO63*VLOOKUP('Données projet'!$B$14,Paramètres!$A$1:$I$89,3,0)*VLOOKUP('Données projet'!$B$14,Paramètres!$A$1:$I$89,5,0)</f>
        <v>298.86784200000005</v>
      </c>
      <c r="DQ63" s="13">
        <f t="shared" si="43"/>
        <v>70.939067468990103</v>
      </c>
      <c r="DR63" s="20">
        <f t="shared" si="16"/>
        <v>644.08036732515791</v>
      </c>
      <c r="DS63" s="59">
        <f t="shared" si="17"/>
        <v>905.33607365663534</v>
      </c>
      <c r="DT63" s="59">
        <f ca="1">AVERAGE(OFFSET($DS$3,0,0,'Données projet'!$E$14+1,1))-AVERAGE(OFFSET($H$3,0,0,'Données projet'!$E$14+1,1))</f>
        <v>659.55755908012691</v>
      </c>
      <c r="DU63" s="59">
        <f t="shared" si="44"/>
        <v>343.96647464823627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89.999194391809311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89.999194391809311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11.644999999999996</v>
      </c>
      <c r="EJ63" s="12">
        <f>IF('Données projet'!$A$192&gt;35,EJ62+EI63-ER62,IF(A63&lt;'Données projet'!$A$192,$EG$205^A63,IF(A63='Données projet'!$A$192,'Données projet'!$B$192,EJ62+EI63-ER62)))</f>
        <v>277.65500000000009</v>
      </c>
      <c r="EK63" s="17">
        <f>EJ63*VLOOKUP('Données projet'!$B$15,Paramètres!$A$1:$I$89,3,0)*VLOOKUP('Données projet'!$B$15,Paramètres!$A$1:$I$89,5,0)</f>
        <v>268.5479160000001</v>
      </c>
      <c r="EL63" s="13">
        <f t="shared" si="45"/>
        <v>64.54100376296995</v>
      </c>
      <c r="EM63" s="20">
        <f t="shared" si="19"/>
        <v>580.12986858717284</v>
      </c>
      <c r="EN63" s="59">
        <f t="shared" si="20"/>
        <v>841.38557491865026</v>
      </c>
      <c r="EO63" s="59">
        <f ca="1">AVERAGE(OFFSET($EN$3,0,0,'Données projet'!$E$15+1,1))-AVERAGE(OFFSET($H$3,0,0,'Données projet'!$E$15+1,1))</f>
        <v>600.96600099541388</v>
      </c>
      <c r="EP63" s="59">
        <f t="shared" si="46"/>
        <v>315.40159257508969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80.868841337567815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80.868841337567815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289.30000000000007</v>
      </c>
      <c r="O64" s="13">
        <f>N64*VLOOKUP('Données projet'!$B$9,Paramètres!$A$1:$I$89,3,0)*VLOOKUP('Données projet'!$B$9,Paramètres!$A$1:$I$89,5,0)</f>
        <v>261.75864000000007</v>
      </c>
      <c r="P64" s="13">
        <f t="shared" si="33"/>
        <v>63.097101732536537</v>
      </c>
      <c r="Q64" s="20">
        <f t="shared" si="53"/>
        <v>565.79041685083462</v>
      </c>
      <c r="R64" s="59">
        <f t="shared" si="0"/>
        <v>827.60259829596396</v>
      </c>
      <c r="S64" s="59">
        <f ca="1">AVERAGE(OFFSET($R$3,0,0,'Données projet'!$E$9+1,1))-AVERAGE(OFFSET($H$3,0,0,'Données projet'!$E$9+1,1))</f>
        <v>567.42635821336114</v>
      </c>
      <c r="T64" s="59">
        <f t="shared" si="34"/>
        <v>299.0473530693472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74.168017027024689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74.168017027024689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12.6</v>
      </c>
      <c r="AI64" s="13">
        <f>IF('Données projet'!$A$62&gt;35,AI63+AH64-AQ63,IF(A64&lt;'Données projet'!$A$62,$AF$205^A64,IF(A64='Données projet'!$A$62,'Données projet'!$B$62,AI63+AH64-AQ63)))</f>
        <v>313.60000000000008</v>
      </c>
      <c r="AJ64" s="13">
        <f>AI64*VLOOKUP('Données projet'!$B$10,Paramètres!$A$1:$I$89,3,0)*VLOOKUP('Données projet'!$B$10,Paramètres!$A$1:$I$89,5,0)</f>
        <v>269.06880000000007</v>
      </c>
      <c r="AK64" s="13">
        <f t="shared" si="35"/>
        <v>64.651605426750933</v>
      </c>
      <c r="AL64" s="20">
        <f t="shared" si="4"/>
        <v>581.22970611825792</v>
      </c>
      <c r="AM64" s="59">
        <f t="shared" si="5"/>
        <v>843.04188756338726</v>
      </c>
      <c r="AN64" s="59">
        <f ca="1">AVERAGE(OFFSET($AM$3,0,0,'Données projet'!$E$10+1,1))-AVERAGE(OFFSET($H$3,0,0,'Données projet'!$E$10+1,1))</f>
        <v>570.05585579662738</v>
      </c>
      <c r="AO64" s="59">
        <f t="shared" si="36"/>
        <v>331.25104323342907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81.961403206212751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81.961403206212751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13.102857142857138</v>
      </c>
      <c r="BD64" s="12">
        <f>IF('Données projet'!$A$88&gt;35,BD63+BC64-BL63,IF(A64&lt;'Données projet'!$A$88,$BA$205^A64,IF(A64='Données projet'!$A$88,'Données projet'!$B$88,BD63+BC64-BL63)))</f>
        <v>295.61857142857144</v>
      </c>
      <c r="BE64" s="13">
        <f>BD64*VLOOKUP('Données projet'!$B$11,Paramètres!$A$1:$I$89,3,0)*VLOOKUP('Données projet'!$B$11,Paramètres!$A$1:$I$89,5,0)</f>
        <v>249.0290845714286</v>
      </c>
      <c r="BF64" s="13">
        <f t="shared" si="37"/>
        <v>60.377986865151989</v>
      </c>
      <c r="BG64" s="20">
        <f t="shared" si="7"/>
        <v>538.88398275204452</v>
      </c>
      <c r="BH64" s="59">
        <f t="shared" si="8"/>
        <v>800.69616419717386</v>
      </c>
      <c r="BI64" s="59">
        <f ca="1">AVERAGE(OFFSET($BH$3,0,0,'Données projet'!$E$11+1,1))-AVERAGE(OFFSET($H$3,0,0,'Données projet'!$E$11+1,1))</f>
        <v>458.88102603650725</v>
      </c>
      <c r="BJ64" s="59">
        <f t="shared" si="38"/>
        <v>277.79020316059552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74.249474117056877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74.249474117056877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11.644999999999996</v>
      </c>
      <c r="BY64" s="12">
        <f>IF('Données projet'!$A$114&gt;35,BY63+BX64-CG63,IF(A64&lt;'Données projet'!$A$114,$BV$205^A64,IF(A64='Données projet'!$A$114,'Données projet'!$B$114,BY63+BX64-CG63)))</f>
        <v>289.30000000000007</v>
      </c>
      <c r="BZ64" s="13">
        <f>BY64*VLOOKUP('Données projet'!$B$12,Paramètres!$A$1:$I$89,3,0)*VLOOKUP('Données projet'!$B$12,Paramètres!$A$1:$I$89,5,0)</f>
        <v>275.29788000000008</v>
      </c>
      <c r="CA64" s="13">
        <f t="shared" si="39"/>
        <v>65.972338426180542</v>
      </c>
      <c r="CB64" s="20">
        <f t="shared" si="10"/>
        <v>594.37896375893126</v>
      </c>
      <c r="CC64" s="59">
        <f t="shared" si="11"/>
        <v>856.1911452040606</v>
      </c>
      <c r="CD64" s="59">
        <f ca="1">AVERAGE(OFFSET($CC$3,0,0,'Données projet'!$E$12+1,1))-AVERAGE(OFFSET($H$3,0,0,'Données projet'!$E$12+1,1))</f>
        <v>592.58528888957346</v>
      </c>
      <c r="CE64" s="59">
        <f t="shared" si="40"/>
        <v>311.31528017256846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78.004293769801833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78.004293769801833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0.8600000000003547</v>
      </c>
      <c r="CU64" s="17">
        <f>CT64*VLOOKUP('Données projet'!$B$13,Paramètres!$A$1:$I$89,3,0)*VLOOKUP('Données projet'!$B$13,Paramètres!$A$1:$I$89,5,0)</f>
        <v>0.48074000000019829</v>
      </c>
      <c r="CV64" s="13">
        <f t="shared" si="41"/>
        <v>0.24126147010950588</v>
      </c>
      <c r="CW64" s="20">
        <f t="shared" si="13"/>
        <v>1.2574858937744013</v>
      </c>
      <c r="CX64" s="59">
        <f t="shared" si="14"/>
        <v>263.06966733890374</v>
      </c>
      <c r="CY64" s="59">
        <f ca="1">AVERAGE(OFFSET($CX$3,0,0,'Données projet'!$E$13+1,1))-AVERAGE(OFFSET($H$3,0,0,'Données projet'!$E$13+1,1))</f>
        <v>420.4890915162182</v>
      </c>
      <c r="CZ64" s="59">
        <f t="shared" si="42"/>
        <v>553.48432338023565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330.13560794299917</v>
      </c>
      <c r="DG64" s="21">
        <f>EXP(-LN(2)/25)*DG63+(1-EXP(-LN(2)/25))/(LN(2)/25)*Calculateur!DB64*Calculateur!DD64*VLOOKUP('Données projet'!$B$13,Paramètres!$A$1:$I$89,3,0)*0.475*44/12</f>
        <v>21.410493558418132</v>
      </c>
      <c r="DH64" s="21">
        <f>EXP(-LN(2)/2)*DH63+(1-EXP(-LN(2)/2))/(LN(2)/2)*DB64*DE64*VLOOKUP('Données projet'!$B$13,Paramètres!$A$1:$I$89,3,0)*0.475*44/12</f>
        <v>1.5966883045637584E-5</v>
      </c>
      <c r="DI64" s="22">
        <f t="shared" si="15"/>
        <v>351.54611746830034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11.644999999999996</v>
      </c>
      <c r="DO64" s="12">
        <f>IF('Données projet'!$A$166&gt;35,DO63+DN64-DW63,IF(A64&lt;'Données projet'!$A$166,$DL$205^A64,IF(A64='Données projet'!$A$166,'Données projet'!$B$166,DO63+DN64-DW63)))</f>
        <v>289.30000000000007</v>
      </c>
      <c r="DP64" s="17">
        <f>DO64*VLOOKUP('Données projet'!$B$14,Paramètres!$A$1:$I$89,3,0)*VLOOKUP('Données projet'!$B$14,Paramètres!$A$1:$I$89,5,0)</f>
        <v>311.40252000000004</v>
      </c>
      <c r="DQ64" s="13">
        <f t="shared" si="43"/>
        <v>73.561655174595174</v>
      </c>
      <c r="DR64" s="20">
        <f t="shared" si="16"/>
        <v>670.4792717624199</v>
      </c>
      <c r="DS64" s="59">
        <f t="shared" si="17"/>
        <v>932.29145320754924</v>
      </c>
      <c r="DT64" s="59">
        <f ca="1">AVERAGE(OFFSET($DS$3,0,0,'Données projet'!$E$14+1,1))-AVERAGE(OFFSET($H$3,0,0,'Données projet'!$E$14+1,1))</f>
        <v>659.55755908012691</v>
      </c>
      <c r="DU64" s="59">
        <f t="shared" si="44"/>
        <v>343.96647464823627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88.234365083874167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88.234365083874167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11.644999999999996</v>
      </c>
      <c r="EJ64" s="12">
        <f>IF('Données projet'!$A$192&gt;35,EJ63+EI64-ER63,IF(A64&lt;'Données projet'!$A$192,$EG$205^A64,IF(A64='Données projet'!$A$192,'Données projet'!$B$192,EJ63+EI64-ER63)))</f>
        <v>289.30000000000007</v>
      </c>
      <c r="EK64" s="17">
        <f>EJ64*VLOOKUP('Données projet'!$B$15,Paramètres!$A$1:$I$89,3,0)*VLOOKUP('Données projet'!$B$15,Paramètres!$A$1:$I$89,5,0)</f>
        <v>279.81096000000008</v>
      </c>
      <c r="EL64" s="13">
        <f t="shared" si="45"/>
        <v>66.927057724705037</v>
      </c>
      <c r="EM64" s="20">
        <f t="shared" si="19"/>
        <v>603.90204753719468</v>
      </c>
      <c r="EN64" s="59">
        <f t="shared" si="20"/>
        <v>865.71422898232402</v>
      </c>
      <c r="EO64" s="59">
        <f ca="1">AVERAGE(OFFSET($EN$3,0,0,'Données projet'!$E$15+1,1))-AVERAGE(OFFSET($H$3,0,0,'Données projet'!$E$15+1,1))</f>
        <v>600.96600099541388</v>
      </c>
      <c r="EP64" s="59">
        <f t="shared" si="46"/>
        <v>315.40159257508969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79.283052684060877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79.283052684060877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300.94500000000005</v>
      </c>
      <c r="O65" s="13">
        <f>N65*VLOOKUP('Données projet'!$B$9,Paramètres!$A$1:$I$89,3,0)*VLOOKUP('Données projet'!$B$9,Paramètres!$A$1:$I$89,5,0)</f>
        <v>272.29503600000004</v>
      </c>
      <c r="P65" s="13">
        <f t="shared" si="33"/>
        <v>65.336093654015855</v>
      </c>
      <c r="Q65" s="20">
        <f t="shared" si="53"/>
        <v>588.04088414741102</v>
      </c>
      <c r="R65" s="59">
        <f t="shared" si="0"/>
        <v>850.39988710706234</v>
      </c>
      <c r="S65" s="59">
        <f ca="1">AVERAGE(OFFSET($R$3,0,0,'Données projet'!$E$9+1,1))-AVERAGE(OFFSET($H$3,0,0,'Données projet'!$E$9+1,1))</f>
        <v>567.42635821336114</v>
      </c>
      <c r="T65" s="59">
        <f t="shared" si="34"/>
        <v>299.0473530693472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72.713627451148241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72.713627451148241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12.6</v>
      </c>
      <c r="AI65" s="13">
        <f>IF('Données projet'!$A$62&gt;35,AI64+AH65-AQ64,IF(A65&lt;'Données projet'!$A$62,$AF$205^A65,IF(A65='Données projet'!$A$62,'Données projet'!$B$62,AI64+AH65-AQ64)))</f>
        <v>326.2000000000001</v>
      </c>
      <c r="AJ65" s="13">
        <f>AI65*VLOOKUP('Données projet'!$B$10,Paramètres!$A$1:$I$89,3,0)*VLOOKUP('Données projet'!$B$10,Paramètres!$A$1:$I$89,5,0)</f>
        <v>279.87960000000015</v>
      </c>
      <c r="AK65" s="13">
        <f t="shared" si="35"/>
        <v>66.941564263154703</v>
      </c>
      <c r="AL65" s="20">
        <f t="shared" si="4"/>
        <v>604.04686109166141</v>
      </c>
      <c r="AM65" s="59">
        <f t="shared" si="5"/>
        <v>866.40586405131273</v>
      </c>
      <c r="AN65" s="59">
        <f ca="1">AVERAGE(OFFSET($AM$3,0,0,'Données projet'!$E$10+1,1))-AVERAGE(OFFSET($H$3,0,0,'Données projet'!$E$10+1,1))</f>
        <v>570.05585579662738</v>
      </c>
      <c r="AO65" s="59">
        <f t="shared" si="36"/>
        <v>331.25104323342907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80.354190080858615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80.354190080858615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13.102857142857138</v>
      </c>
      <c r="BD65" s="12">
        <f>IF('Données projet'!$A$88&gt;35,BD64+BC65-BL64,IF(A65&lt;'Données projet'!$A$88,$BA$205^A65,IF(A65='Données projet'!$A$88,'Données projet'!$B$88,BD64+BC65-BL64)))</f>
        <v>308.72142857142859</v>
      </c>
      <c r="BE65" s="13">
        <f>BD65*VLOOKUP('Données projet'!$B$11,Paramètres!$A$1:$I$89,3,0)*VLOOKUP('Données projet'!$B$11,Paramètres!$A$1:$I$89,5,0)</f>
        <v>260.06693142857148</v>
      </c>
      <c r="BF65" s="13">
        <f t="shared" si="37"/>
        <v>62.736644818240087</v>
      </c>
      <c r="BG65" s="20">
        <f t="shared" si="7"/>
        <v>562.21622862986351</v>
      </c>
      <c r="BH65" s="59">
        <f t="shared" si="8"/>
        <v>824.57523158951483</v>
      </c>
      <c r="BI65" s="59">
        <f ca="1">AVERAGE(OFFSET($BH$3,0,0,'Données projet'!$E$11+1,1))-AVERAGE(OFFSET($H$3,0,0,'Données projet'!$E$11+1,1))</f>
        <v>458.88102603650725</v>
      </c>
      <c r="BJ65" s="59">
        <f t="shared" si="38"/>
        <v>277.79020316059552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72.793487217328817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72.793487217328817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11.644999999999996</v>
      </c>
      <c r="BY65" s="12">
        <f>IF('Données projet'!$A$114&gt;35,BY64+BX65-CG64,IF(A65&lt;'Données projet'!$A$114,$BV$205^A65,IF(A65='Données projet'!$A$114,'Données projet'!$B$114,BY64+BX65-CG64)))</f>
        <v>300.94500000000005</v>
      </c>
      <c r="BZ65" s="13">
        <f>BY65*VLOOKUP('Données projet'!$B$12,Paramètres!$A$1:$I$89,3,0)*VLOOKUP('Données projet'!$B$12,Paramètres!$A$1:$I$89,5,0)</f>
        <v>286.37926200000004</v>
      </c>
      <c r="CA65" s="13">
        <f t="shared" si="39"/>
        <v>68.313357723761712</v>
      </c>
      <c r="CB65" s="20">
        <f t="shared" si="10"/>
        <v>617.75631268555173</v>
      </c>
      <c r="CC65" s="59">
        <f t="shared" si="11"/>
        <v>880.11531564520305</v>
      </c>
      <c r="CD65" s="59">
        <f ca="1">AVERAGE(OFFSET($CC$3,0,0,'Données projet'!$E$12+1,1))-AVERAGE(OFFSET($H$3,0,0,'Données projet'!$E$12+1,1))</f>
        <v>592.58528888957346</v>
      </c>
      <c r="CE65" s="59">
        <f t="shared" si="40"/>
        <v>311.31528017256846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76.474677146897292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76.474677146897292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0.8600000000003547</v>
      </c>
      <c r="CU65" s="17">
        <f>CT65*VLOOKUP('Données projet'!$B$13,Paramètres!$A$1:$I$89,3,0)*VLOOKUP('Données projet'!$B$13,Paramètres!$A$1:$I$89,5,0)</f>
        <v>0.48074000000019829</v>
      </c>
      <c r="CV65" s="13">
        <f t="shared" si="41"/>
        <v>0.24126147010950588</v>
      </c>
      <c r="CW65" s="20">
        <f t="shared" si="13"/>
        <v>1.2574858937744013</v>
      </c>
      <c r="CX65" s="59">
        <f t="shared" si="14"/>
        <v>263.61648885342572</v>
      </c>
      <c r="CY65" s="59">
        <f ca="1">AVERAGE(OFFSET($CX$3,0,0,'Données projet'!$E$13+1,1))-AVERAGE(OFFSET($H$3,0,0,'Données projet'!$E$13+1,1))</f>
        <v>420.4890915162182</v>
      </c>
      <c r="CZ65" s="59">
        <f t="shared" si="42"/>
        <v>553.48432338023565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323.66185003407486</v>
      </c>
      <c r="DG65" s="21">
        <f>EXP(-LN(2)/25)*DG64+(1-EXP(-LN(2)/25))/(LN(2)/25)*Calculateur!DB65*Calculateur!DD65*VLOOKUP('Données projet'!$B$13,Paramètres!$A$1:$I$89,3,0)*0.475*44/12</f>
        <v>20.825022486134266</v>
      </c>
      <c r="DH65" s="21">
        <f>EXP(-LN(2)/2)*DH64+(1-EXP(-LN(2)/2))/(LN(2)/2)*DB65*DE65*VLOOKUP('Données projet'!$B$13,Paramètres!$A$1:$I$89,3,0)*0.475*44/12</f>
        <v>1.1290291275982851E-5</v>
      </c>
      <c r="DI65" s="22">
        <f t="shared" si="15"/>
        <v>344.48688381050044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11.644999999999996</v>
      </c>
      <c r="DO65" s="12">
        <f>IF('Données projet'!$A$166&gt;35,DO64+DN65-DW64,IF(A65&lt;'Données projet'!$A$166,$DL$205^A65,IF(A65='Données projet'!$A$166,'Données projet'!$B$166,DO64+DN65-DW64)))</f>
        <v>300.94500000000005</v>
      </c>
      <c r="DP65" s="17">
        <f>DO65*VLOOKUP('Données projet'!$B$14,Paramètres!$A$1:$I$89,3,0)*VLOOKUP('Données projet'!$B$14,Paramètres!$A$1:$I$89,5,0)</f>
        <v>323.93719800000008</v>
      </c>
      <c r="DQ65" s="13">
        <f t="shared" si="43"/>
        <v>76.171980326528896</v>
      </c>
      <c r="DR65" s="20">
        <f t="shared" si="16"/>
        <v>696.85681891870456</v>
      </c>
      <c r="DS65" s="59">
        <f t="shared" si="17"/>
        <v>959.21582187835588</v>
      </c>
      <c r="DT65" s="59">
        <f ca="1">AVERAGE(OFFSET($DS$3,0,0,'Données projet'!$E$14+1,1))-AVERAGE(OFFSET($H$3,0,0,'Données projet'!$E$14+1,1))</f>
        <v>659.55755908012691</v>
      </c>
      <c r="DU65" s="59">
        <f t="shared" si="44"/>
        <v>343.96647464823627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86.504143002228048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86.504143002228048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11.644999999999996</v>
      </c>
      <c r="EJ65" s="12">
        <f>IF('Données projet'!$A$192&gt;35,EJ64+EI65-ER64,IF(A65&lt;'Données projet'!$A$192,$EG$205^A65,IF(A65='Données projet'!$A$192,'Données projet'!$B$192,EJ64+EI65-ER64)))</f>
        <v>300.94500000000005</v>
      </c>
      <c r="EK65" s="17">
        <f>EJ65*VLOOKUP('Données projet'!$B$15,Paramètres!$A$1:$I$89,3,0)*VLOOKUP('Données projet'!$B$15,Paramètres!$A$1:$I$89,5,0)</f>
        <v>291.07400400000006</v>
      </c>
      <c r="EL65" s="13">
        <f t="shared" si="45"/>
        <v>69.301955104448211</v>
      </c>
      <c r="EM65" s="20">
        <f t="shared" si="19"/>
        <v>627.65479544024731</v>
      </c>
      <c r="EN65" s="59">
        <f t="shared" si="20"/>
        <v>890.01379839989863</v>
      </c>
      <c r="EO65" s="59">
        <f ca="1">AVERAGE(OFFSET($EN$3,0,0,'Données projet'!$E$15+1,1))-AVERAGE(OFFSET($H$3,0,0,'Données projet'!$E$15+1,1))</f>
        <v>600.96600099541388</v>
      </c>
      <c r="EP65" s="59">
        <f t="shared" si="46"/>
        <v>315.40159257508969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77.728360378813633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77.728360378813633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312.59000000000003</v>
      </c>
      <c r="O66" s="13">
        <f>N66*VLOOKUP('Données projet'!$B$9,Paramètres!$A$1:$I$89,3,0)*VLOOKUP('Données projet'!$B$9,Paramètres!$A$1:$I$89,5,0)</f>
        <v>282.83143200000001</v>
      </c>
      <c r="P66" s="13">
        <f t="shared" si="33"/>
        <v>67.565021018325808</v>
      </c>
      <c r="Q66" s="20">
        <f t="shared" si="53"/>
        <v>610.27382234025083</v>
      </c>
      <c r="R66" s="59">
        <f t="shared" si="0"/>
        <v>873.17016068365695</v>
      </c>
      <c r="S66" s="59">
        <f ca="1">AVERAGE(OFFSET($R$3,0,0,'Données projet'!$E$9+1,1))-AVERAGE(OFFSET($H$3,0,0,'Données projet'!$E$9+1,1))</f>
        <v>567.42635821336114</v>
      </c>
      <c r="T66" s="59">
        <f t="shared" si="34"/>
        <v>299.0473530693472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94.603409598691442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94.603409598691442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12.6</v>
      </c>
      <c r="AI66" s="13">
        <f>IF('Données projet'!$A$62&gt;35,AI65+AH66-AQ65,IF(A66&lt;'Données projet'!$A$62,$AF$205^A66,IF(A66='Données projet'!$A$62,'Données projet'!$B$62,AI65+AH66-AQ65)))</f>
        <v>338.80000000000013</v>
      </c>
      <c r="AJ66" s="13">
        <f>AI66*VLOOKUP('Données projet'!$B$10,Paramètres!$A$1:$I$89,3,0)*VLOOKUP('Données projet'!$B$10,Paramètres!$A$1:$I$89,5,0)</f>
        <v>290.69040000000012</v>
      </c>
      <c r="AK66" s="13">
        <f t="shared" si="35"/>
        <v>69.221247542695323</v>
      </c>
      <c r="AL66" s="20">
        <f t="shared" si="4"/>
        <v>626.84611947019459</v>
      </c>
      <c r="AM66" s="59">
        <f t="shared" si="5"/>
        <v>889.74245781360071</v>
      </c>
      <c r="AN66" s="59">
        <f ca="1">AVERAGE(OFFSET($AM$3,0,0,'Données projet'!$E$10+1,1))-AVERAGE(OFFSET($H$3,0,0,'Données projet'!$E$10+1,1))</f>
        <v>570.05585579662738</v>
      </c>
      <c r="AO66" s="59">
        <f t="shared" si="36"/>
        <v>331.25104323342907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78.77849342458947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78.77849342458947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13.102857142857138</v>
      </c>
      <c r="BD66" s="12">
        <f>IF('Données projet'!$A$88&gt;35,BD65+BC66-BL65,IF(A66&lt;'Données projet'!$A$88,$BA$205^A66,IF(A66='Données projet'!$A$88,'Données projet'!$B$88,BD65+BC66-BL65)))</f>
        <v>321.82428571428574</v>
      </c>
      <c r="BE66" s="13">
        <f>BD66*VLOOKUP('Données projet'!$B$11,Paramètres!$A$1:$I$89,3,0)*VLOOKUP('Données projet'!$B$11,Paramètres!$A$1:$I$89,5,0)</f>
        <v>271.10477828571436</v>
      </c>
      <c r="BF66" s="13">
        <f t="shared" si="37"/>
        <v>65.083675372637074</v>
      </c>
      <c r="BG66" s="20">
        <f t="shared" si="7"/>
        <v>585.5282234549619</v>
      </c>
      <c r="BH66" s="59">
        <f t="shared" si="8"/>
        <v>848.42456179836802</v>
      </c>
      <c r="BI66" s="59">
        <f ca="1">AVERAGE(OFFSET($BH$3,0,0,'Données projet'!$E$11+1,1))-AVERAGE(OFFSET($H$3,0,0,'Données projet'!$E$11+1,1))</f>
        <v>458.88102603650725</v>
      </c>
      <c r="BJ66" s="59">
        <f t="shared" si="38"/>
        <v>277.79020316059552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71.366051332640097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71.366051332640097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312.58999999999997</v>
      </c>
      <c r="BW66" s="12">
        <f>VLOOKUP(A66,'Données projet'!$A$113:$I$133,9,0)</f>
        <v>11.644999999999996</v>
      </c>
      <c r="BX66" s="12">
        <f t="array" ref="BX66">INDEX(BW:BW,MIN(IF(ISNUMBER(BW66:BW262),ROW(BW66:BW262),"")))</f>
        <v>11.644999999999996</v>
      </c>
      <c r="BY66" s="12">
        <f>IF('Données projet'!$A$114&gt;35,BY65+BX66-CG65,IF(A66&lt;'Données projet'!$A$114,$BV$205^A66,IF(A66='Données projet'!$A$114,'Données projet'!$B$114,BY65+BX66-CG65)))</f>
        <v>312.59000000000003</v>
      </c>
      <c r="BZ66" s="13">
        <f>BY66*VLOOKUP('Données projet'!$B$12,Paramètres!$A$1:$I$89,3,0)*VLOOKUP('Données projet'!$B$12,Paramètres!$A$1:$I$89,5,0)</f>
        <v>297.460644</v>
      </c>
      <c r="CA66" s="13">
        <f t="shared" si="39"/>
        <v>70.643853837972429</v>
      </c>
      <c r="CB66" s="20">
        <f t="shared" si="10"/>
        <v>641.11533373446866</v>
      </c>
      <c r="CC66" s="59">
        <f t="shared" si="11"/>
        <v>904.01167207787478</v>
      </c>
      <c r="CD66" s="59">
        <f ca="1">AVERAGE(OFFSET($CC$3,0,0,'Données projet'!$E$12+1,1))-AVERAGE(OFFSET($H$3,0,0,'Données projet'!$E$12+1,1))</f>
        <v>592.58528888957346</v>
      </c>
      <c r="CE66" s="59">
        <f t="shared" si="40"/>
        <v>311.31528017256846</v>
      </c>
      <c r="CF66" s="15">
        <f>IF(ISNA(VLOOKUP(A66,'Données projet'!$A$113:$I$133,3,0)),0,VLOOKUP(A66,'Données projet'!$A$113:$I$133,3,0))</f>
        <v>5</v>
      </c>
      <c r="CG66" s="15">
        <f>IF(ISNA(VLOOKUP(A66,'Données projet'!$A$113:$I$133,4,0)),0,VLOOKUP(A66,'Données projet'!$A$113:$I$133,4,0))</f>
        <v>54.21</v>
      </c>
      <c r="CH66" s="16">
        <f>IF(ISNA(VLOOKUP(A66,'Données projet'!$A$113:$I$133,5,0)),0%,VLOOKUP(A66,'Données projet'!$A$113:$I$133,5,0)*VLOOKUP('Données projet'!$B$12,Paramètres!$A$1:$I$89,7,0))</f>
        <v>0.43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99.496689405520314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99.496689405520314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0.8600000000003547</v>
      </c>
      <c r="CU66" s="17">
        <f>CT66*VLOOKUP('Données projet'!$B$13,Paramètres!$A$1:$I$89,3,0)*VLOOKUP('Données projet'!$B$13,Paramètres!$A$1:$I$89,5,0)</f>
        <v>0.48074000000019829</v>
      </c>
      <c r="CV66" s="13">
        <f t="shared" si="41"/>
        <v>0.24126147010950588</v>
      </c>
      <c r="CW66" s="20">
        <f t="shared" si="13"/>
        <v>1.2574858937744013</v>
      </c>
      <c r="CX66" s="59">
        <f t="shared" si="14"/>
        <v>264.15382423718052</v>
      </c>
      <c r="CY66" s="59">
        <f ca="1">AVERAGE(OFFSET($CX$3,0,0,'Données projet'!$E$13+1,1))-AVERAGE(OFFSET($H$3,0,0,'Données projet'!$E$13+1,1))</f>
        <v>420.4890915162182</v>
      </c>
      <c r="CZ66" s="59">
        <f t="shared" si="42"/>
        <v>553.48432338023565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317.31503856914213</v>
      </c>
      <c r="DG66" s="21">
        <f>EXP(-LN(2)/25)*DG65+(1-EXP(-LN(2)/25))/(LN(2)/25)*Calculateur!DB66*Calculateur!DD66*VLOOKUP('Données projet'!$B$13,Paramètres!$A$1:$I$89,3,0)*0.475*44/12</f>
        <v>20.255561151110587</v>
      </c>
      <c r="DH66" s="21">
        <f>EXP(-LN(2)/2)*DH65+(1-EXP(-LN(2)/2))/(LN(2)/2)*DB66*DE66*VLOOKUP('Données projet'!$B$13,Paramètres!$A$1:$I$89,3,0)*0.475*44/12</f>
        <v>7.9834415228187922E-6</v>
      </c>
      <c r="DI66" s="22">
        <f t="shared" si="15"/>
        <v>337.57060770369429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312.58999999999997</v>
      </c>
      <c r="DM66" s="12">
        <f>VLOOKUP(A66,'Données projet'!$A$165:$I$185,9,0)</f>
        <v>11.644999999999996</v>
      </c>
      <c r="DN66" s="12">
        <f t="array" ref="DN66">INDEX(DM:DM,MIN(IF(ISNUMBER(DM66:DM262),ROW(DM66:DM262),"")))</f>
        <v>11.644999999999996</v>
      </c>
      <c r="DO66" s="12">
        <f>IF('Données projet'!$A$166&gt;35,DO65+DN66-DW65,IF(A66&lt;'Données projet'!$A$166,$DL$205^A66,IF(A66='Données projet'!$A$166,'Données projet'!$B$166,DO65+DN66-DW65)))</f>
        <v>312.59000000000003</v>
      </c>
      <c r="DP66" s="17">
        <f>DO66*VLOOKUP('Données projet'!$B$14,Paramètres!$A$1:$I$89,3,0)*VLOOKUP('Données projet'!$B$14,Paramètres!$A$1:$I$89,5,0)</f>
        <v>336.47187600000001</v>
      </c>
      <c r="DQ66" s="13">
        <f t="shared" si="43"/>
        <v>78.770571730578112</v>
      </c>
      <c r="DR66" s="20">
        <f t="shared" si="16"/>
        <v>723.21392979742359</v>
      </c>
      <c r="DS66" s="59">
        <f t="shared" si="17"/>
        <v>986.1102681408297</v>
      </c>
      <c r="DT66" s="59">
        <f ca="1">AVERAGE(OFFSET($DS$3,0,0,'Données projet'!$E$14+1,1))-AVERAGE(OFFSET($H$3,0,0,'Données projet'!$E$14+1,1))</f>
        <v>659.55755908012691</v>
      </c>
      <c r="DU66" s="59">
        <f t="shared" si="44"/>
        <v>343.96647464823627</v>
      </c>
      <c r="DV66" s="15">
        <f>IF(ISNA(VLOOKUP(A66,'Données projet'!$A$165:$I$185,3,0)),0,VLOOKUP(A66,'Données projet'!$A$165:$I$185,3,0))</f>
        <v>5</v>
      </c>
      <c r="DW66" s="15">
        <f>IF(ISNA(VLOOKUP(A66,'Données projet'!$A$165:$I$185,4,0)),0,VLOOKUP(A66,'Données projet'!$A$165:$I$185,4,0))</f>
        <v>54.21</v>
      </c>
      <c r="DX66" s="16">
        <f>IF(ISNA(VLOOKUP(A66,'Données projet'!$A$165:$I$185,5,0)),0%,VLOOKUP(A66,'Données projet'!$A$165:$I$185,5,0)*VLOOKUP('Données projet'!$B$14,Paramètres!$A$1:$I$89,7,0))</f>
        <v>0.43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112.54543555706393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112.54543555706393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>
        <f>VLOOKUP(A66,'Données projet'!$A$191:$I$211,2,0)</f>
        <v>312.58999999999997</v>
      </c>
      <c r="EH66" s="12">
        <f>VLOOKUP(A66,'Données projet'!$A$191:$I$211,9,0)</f>
        <v>11.644999999999996</v>
      </c>
      <c r="EI66" s="12">
        <f t="array" ref="EI66">INDEX(EH:EH,MIN(IF(ISNUMBER(EH66:EH262),ROW(EH66:EH262),"")))</f>
        <v>11.644999999999996</v>
      </c>
      <c r="EJ66" s="12">
        <f>IF('Données projet'!$A$192&gt;35,EJ65+EI66-ER65,IF(A66&lt;'Données projet'!$A$192,$EG$205^A66,IF(A66='Données projet'!$A$192,'Données projet'!$B$192,EJ65+EI66-ER65)))</f>
        <v>312.59000000000003</v>
      </c>
      <c r="EK66" s="17">
        <f>EJ66*VLOOKUP('Données projet'!$B$15,Paramètres!$A$1:$I$89,3,0)*VLOOKUP('Données projet'!$B$15,Paramètres!$A$1:$I$89,5,0)</f>
        <v>302.33704800000004</v>
      </c>
      <c r="EL66" s="13">
        <f t="shared" si="45"/>
        <v>71.666177014476503</v>
      </c>
      <c r="EM66" s="20">
        <f t="shared" si="19"/>
        <v>651.38895023354655</v>
      </c>
      <c r="EN66" s="59">
        <f t="shared" si="20"/>
        <v>914.28528857695267</v>
      </c>
      <c r="EO66" s="59">
        <f ca="1">AVERAGE(OFFSET($EN$3,0,0,'Données projet'!$E$15+1,1))-AVERAGE(OFFSET($H$3,0,0,'Données projet'!$E$15+1,1))</f>
        <v>600.96600099541388</v>
      </c>
      <c r="EP66" s="59">
        <f t="shared" si="46"/>
        <v>315.40159257508969</v>
      </c>
      <c r="EQ66" s="15">
        <f>IF(ISNA(VLOOKUP(A66,'Données projet'!$A$191:$I$211,3,0)),0,VLOOKUP(A66,'Données projet'!$A$191:$I$211,3,0))</f>
        <v>5</v>
      </c>
      <c r="ER66" s="15">
        <f>IF(ISNA(VLOOKUP(A66,'Données projet'!$A$191:$I$211,4,0)),0,VLOOKUP(A66,'Données projet'!$A$191:$I$211,4,0))</f>
        <v>54.21</v>
      </c>
      <c r="ES66" s="16">
        <f>IF(ISNA(VLOOKUP(A66,'Données projet'!$A$191:$I$211,5,0)),0%,VLOOKUP(A66,'Données projet'!$A$191:$I$211,5,0)*VLOOKUP('Données projet'!$B$15,Paramètres!$A$1:$I$89,7,0))</f>
        <v>0.43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101.12778267446326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101.12778267446326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269.66875000000005</v>
      </c>
      <c r="O67" s="13">
        <f>N67*VLOOKUP('Données projet'!$B$9,Paramètres!$A$1:$I$89,3,0)*VLOOKUP('Données projet'!$B$9,Paramètres!$A$1:$I$89,5,0)</f>
        <v>243.99628500000003</v>
      </c>
      <c r="P67" s="13">
        <f t="shared" si="33"/>
        <v>59.298522534643098</v>
      </c>
      <c r="Q67" s="20">
        <f t="shared" ref="Q67:Q98" si="54">(O67+P67)*0.475*44/12</f>
        <v>528.23845645617007</v>
      </c>
      <c r="R67" s="59">
        <f t="shared" ref="R67:R130" si="55">Q67+(I67+J67)*44/12</f>
        <v>791.66280861572477</v>
      </c>
      <c r="S67" s="59">
        <f ca="1">AVERAGE(OFFSET($R$3,0,0,'Données projet'!$E$9+1,1))-AVERAGE(OFFSET($H$3,0,0,'Données projet'!$E$9+1,1))</f>
        <v>567.42635821336114</v>
      </c>
      <c r="T67" s="59">
        <f t="shared" si="34"/>
        <v>299.0473530693472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92.748294438843317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92.748294438843317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12.6</v>
      </c>
      <c r="AI67" s="13">
        <f>IF('Données projet'!$A$62&gt;35,AI66+AH67-AQ66,IF(A67&lt;'Données projet'!$A$62,$AF$205^A67,IF(A67='Données projet'!$A$62,'Données projet'!$B$62,AI66+AH67-AQ66)))</f>
        <v>351.40000000000015</v>
      </c>
      <c r="AJ67" s="13">
        <f>AI67*VLOOKUP('Données projet'!$B$10,Paramètres!$A$1:$I$89,3,0)*VLOOKUP('Données projet'!$B$10,Paramètres!$A$1:$I$89,5,0)</f>
        <v>301.50120000000015</v>
      </c>
      <c r="AK67" s="13">
        <f t="shared" si="35"/>
        <v>71.491081174003071</v>
      </c>
      <c r="AL67" s="20">
        <f t="shared" si="4"/>
        <v>649.62822304472218</v>
      </c>
      <c r="AM67" s="59">
        <f t="shared" si="5"/>
        <v>913.05257520427699</v>
      </c>
      <c r="AN67" s="59">
        <f ca="1">AVERAGE(OFFSET($AM$3,0,0,'Données projet'!$E$10+1,1))-AVERAGE(OFFSET($H$3,0,0,'Données projet'!$E$10+1,1))</f>
        <v>570.05585579662738</v>
      </c>
      <c r="AO67" s="59">
        <f t="shared" si="36"/>
        <v>331.25104323342907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77.233695218669709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77.233695218669709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13.102857142857138</v>
      </c>
      <c r="BD67" s="12">
        <f>IF('Données projet'!$A$88&gt;35,BD66+BC67-BL66,IF(A67&lt;'Données projet'!$A$88,$BA$205^A67,IF(A67='Données projet'!$A$88,'Données projet'!$B$88,BD66+BC67-BL66)))</f>
        <v>334.92714285714288</v>
      </c>
      <c r="BE67" s="13">
        <f>BD67*VLOOKUP('Données projet'!$B$11,Paramètres!$A$1:$I$89,3,0)*VLOOKUP('Données projet'!$B$11,Paramètres!$A$1:$I$89,5,0)</f>
        <v>282.14262514285718</v>
      </c>
      <c r="BF67" s="13">
        <f t="shared" si="37"/>
        <v>67.419606080697235</v>
      </c>
      <c r="BG67" s="20">
        <f t="shared" si="7"/>
        <v>608.82088604769058</v>
      </c>
      <c r="BH67" s="59">
        <f t="shared" si="8"/>
        <v>872.24523820724539</v>
      </c>
      <c r="BI67" s="59">
        <f ca="1">AVERAGE(OFFSET($BH$3,0,0,'Données projet'!$E$11+1,1))-AVERAGE(OFFSET($H$3,0,0,'Données projet'!$E$11+1,1))</f>
        <v>458.88102603650725</v>
      </c>
      <c r="BJ67" s="59">
        <f t="shared" si="38"/>
        <v>277.79020316059552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69.966606595000201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69.966606595000201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11.28875</v>
      </c>
      <c r="BY67" s="12">
        <f>IF('Données projet'!$A$114&gt;35,BY66+BX67-CG66,IF(A67&lt;'Données projet'!$A$114,$BV$205^A67,IF(A67='Données projet'!$A$114,'Données projet'!$B$114,BY66+BX67-CG66)))</f>
        <v>269.66875000000005</v>
      </c>
      <c r="BZ67" s="13">
        <f>BY67*VLOOKUP('Données projet'!$B$12,Paramètres!$A$1:$I$89,3,0)*VLOOKUP('Données projet'!$B$12,Paramètres!$A$1:$I$89,5,0)</f>
        <v>256.61678250000006</v>
      </c>
      <c r="CA67" s="13">
        <f t="shared" si="39"/>
        <v>62.000663888032079</v>
      </c>
      <c r="CB67" s="20">
        <f t="shared" si="10"/>
        <v>554.92538579248924</v>
      </c>
      <c r="CC67" s="59">
        <f t="shared" si="11"/>
        <v>818.34973795204405</v>
      </c>
      <c r="CD67" s="59">
        <f ca="1">AVERAGE(OFFSET($CC$3,0,0,'Données projet'!$E$12+1,1))-AVERAGE(OFFSET($H$3,0,0,'Données projet'!$E$12+1,1))</f>
        <v>592.58528888957346</v>
      </c>
      <c r="CE67" s="59">
        <f t="shared" si="40"/>
        <v>311.31528017256846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97.545620013266259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97.545620013266259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0.8600000000003547</v>
      </c>
      <c r="CU67" s="17">
        <f>CT67*VLOOKUP('Données projet'!$B$13,Paramètres!$A$1:$I$89,3,0)*VLOOKUP('Données projet'!$B$13,Paramètres!$A$1:$I$89,5,0)</f>
        <v>0.48074000000019829</v>
      </c>
      <c r="CV67" s="13">
        <f t="shared" si="41"/>
        <v>0.24126147010950588</v>
      </c>
      <c r="CW67" s="20">
        <f t="shared" si="13"/>
        <v>1.2574858937744013</v>
      </c>
      <c r="CX67" s="59">
        <f t="shared" si="14"/>
        <v>264.68183805332916</v>
      </c>
      <c r="CY67" s="59">
        <f ca="1">AVERAGE(OFFSET($CX$3,0,0,'Données projet'!$E$13+1,1))-AVERAGE(OFFSET($H$3,0,0,'Données projet'!$E$13+1,1))</f>
        <v>420.4890915162182</v>
      </c>
      <c r="CZ67" s="59">
        <f t="shared" si="42"/>
        <v>553.48432338023565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311.09268420586397</v>
      </c>
      <c r="DG67" s="21">
        <f>EXP(-LN(2)/25)*DG66+(1-EXP(-LN(2)/25))/(LN(2)/25)*Calculateur!DB67*Calculateur!DD67*VLOOKUP('Données projet'!$B$13,Paramètres!$A$1:$I$89,3,0)*0.475*44/12</f>
        <v>19.701671766239802</v>
      </c>
      <c r="DH67" s="21">
        <f>EXP(-LN(2)/2)*DH66+(1-EXP(-LN(2)/2))/(LN(2)/2)*DB67*DE67*VLOOKUP('Données projet'!$B$13,Paramètres!$A$1:$I$89,3,0)*0.475*44/12</f>
        <v>5.6451456379914256E-6</v>
      </c>
      <c r="DI67" s="22">
        <f t="shared" si="15"/>
        <v>330.79436161724942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11.28875</v>
      </c>
      <c r="DO67" s="12">
        <f>IF('Données projet'!$A$166&gt;35,DO66+DN67-DW66,IF(A67&lt;'Données projet'!$A$166,$DL$205^A67,IF(A67='Données projet'!$A$166,'Données projet'!$B$166,DO66+DN67-DW66)))</f>
        <v>269.66875000000005</v>
      </c>
      <c r="DP67" s="17">
        <f>DO67*VLOOKUP('Données projet'!$B$14,Paramètres!$A$1:$I$89,3,0)*VLOOKUP('Données projet'!$B$14,Paramètres!$A$1:$I$89,5,0)</f>
        <v>290.27144250000003</v>
      </c>
      <c r="DQ67" s="13">
        <f t="shared" si="43"/>
        <v>69.133087689937838</v>
      </c>
      <c r="DR67" s="20">
        <f t="shared" si="16"/>
        <v>625.96289008080839</v>
      </c>
      <c r="DS67" s="59">
        <f t="shared" si="17"/>
        <v>889.38724224036309</v>
      </c>
      <c r="DT67" s="59">
        <f ca="1">AVERAGE(OFFSET($DS$3,0,0,'Données projet'!$E$14+1,1))-AVERAGE(OFFSET($H$3,0,0,'Données projet'!$E$14+1,1))</f>
        <v>659.55755908012691</v>
      </c>
      <c r="DU67" s="59">
        <f t="shared" si="44"/>
        <v>343.96647464823627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110.33848821172737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110.33848821172737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11.28875</v>
      </c>
      <c r="EJ67" s="12">
        <f>IF('Données projet'!$A$192&gt;35,EJ66+EI67-ER66,IF(A67&lt;'Données projet'!$A$192,$EG$205^A67,IF(A67='Données projet'!$A$192,'Données projet'!$B$192,EJ66+EI67-ER66)))</f>
        <v>269.66875000000005</v>
      </c>
      <c r="EK67" s="17">
        <f>EJ67*VLOOKUP('Données projet'!$B$15,Paramètres!$A$1:$I$89,3,0)*VLOOKUP('Données projet'!$B$15,Paramètres!$A$1:$I$89,5,0)</f>
        <v>260.82361500000007</v>
      </c>
      <c r="EL67" s="13">
        <f t="shared" si="45"/>
        <v>62.897907062176472</v>
      </c>
      <c r="EM67" s="20">
        <f t="shared" si="19"/>
        <v>563.81498425829068</v>
      </c>
      <c r="EN67" s="59">
        <f t="shared" si="20"/>
        <v>827.23933641784538</v>
      </c>
      <c r="EO67" s="59">
        <f ca="1">AVERAGE(OFFSET($EN$3,0,0,'Données projet'!$E$15+1,1))-AVERAGE(OFFSET($H$3,0,0,'Données projet'!$E$15+1,1))</f>
        <v>600.96600099541388</v>
      </c>
      <c r="EP67" s="59">
        <f t="shared" si="46"/>
        <v>315.40159257508969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99.144728538073892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99.144728538073892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280.95750000000004</v>
      </c>
      <c r="O68" s="13">
        <f>N68*VLOOKUP('Données projet'!$B$9,Paramètres!$A$1:$I$89,3,0)*VLOOKUP('Données projet'!$B$9,Paramètres!$A$1:$I$89,5,0)</f>
        <v>254.21034600000002</v>
      </c>
      <c r="P68" s="13">
        <f t="shared" si="33"/>
        <v>61.486644866788161</v>
      </c>
      <c r="Q68" s="20">
        <f t="shared" si="54"/>
        <v>549.83892575965604</v>
      </c>
      <c r="R68" s="59">
        <f t="shared" si="55"/>
        <v>813.78213187611118</v>
      </c>
      <c r="S68" s="59">
        <f ca="1">AVERAGE(OFFSET($R$3,0,0,'Données projet'!$E$9+1,1))-AVERAGE(OFFSET($H$3,0,0,'Données projet'!$E$9+1,1))</f>
        <v>567.42635821336114</v>
      </c>
      <c r="T68" s="59">
        <f t="shared" si="34"/>
        <v>299.0473530693472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90.929556955771304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90.929556955771304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364</v>
      </c>
      <c r="AG68" s="12">
        <f>VLOOKUP(A68,'Données projet'!$A$61:$I$81,9,0)</f>
        <v>12.6</v>
      </c>
      <c r="AH68" s="12">
        <f t="array" ref="AH68">INDEX(AG:AG,MIN(IF(ISNUMBER(AG68:AG264),ROW(AG68:AG264),"")))</f>
        <v>12.6</v>
      </c>
      <c r="AI68" s="13">
        <f>IF('Données projet'!$A$62&gt;35,AI67+AH68-AQ67,IF(A68&lt;'Données projet'!$A$62,$AF$205^A68,IF(A68='Données projet'!$A$62,'Données projet'!$B$62,AI67+AH68-AQ67)))</f>
        <v>364.00000000000017</v>
      </c>
      <c r="AJ68" s="13">
        <f>AI68*VLOOKUP('Données projet'!$B$10,Paramètres!$A$1:$I$89,3,0)*VLOOKUP('Données projet'!$B$10,Paramètres!$A$1:$I$89,5,0)</f>
        <v>312.31200000000018</v>
      </c>
      <c r="AK68" s="13">
        <f t="shared" si="35"/>
        <v>73.751458791112015</v>
      </c>
      <c r="AL68" s="20">
        <f t="shared" ref="AL68:AL131" si="58">(AJ68+AK68)*0.475*44/12</f>
        <v>672.39385739452041</v>
      </c>
      <c r="AM68" s="59">
        <f t="shared" ref="AM68:AM131" si="59">AL68+(AD68+AE68)*44/12</f>
        <v>936.33706351097567</v>
      </c>
      <c r="AN68" s="59">
        <f ca="1">AVERAGE(OFFSET($AM$3,0,0,'Données projet'!$E$10+1,1))-AVERAGE(OFFSET($H$3,0,0,'Données projet'!$E$10+1,1))</f>
        <v>570.05585579662738</v>
      </c>
      <c r="AO68" s="59">
        <f t="shared" si="36"/>
        <v>331.25104323342907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35</v>
      </c>
      <c r="AR68" s="16">
        <f>IF(ISNA(VLOOKUP(A68,'Données projet'!$A$61:$I$81,5,0)),0%,VLOOKUP(A68,'Données projet'!$A$61:$I$81,5,0)*VLOOKUP('Données projet'!$B$10,Paramètres!$A$1:$I$89,7,0))</f>
        <v>0.53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93.313745576942637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93.313745576942637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348.03</v>
      </c>
      <c r="BB68" s="12">
        <f>VLOOKUP(A68,'Données projet'!$A$87:$I$107,9,0)</f>
        <v>13.102857142857138</v>
      </c>
      <c r="BC68" s="12">
        <f t="array" ref="BC68">INDEX(BB:BB,MIN(IF(ISNUMBER(BB68:BB264),ROW(BB68:BB264),"")))</f>
        <v>13.102857142857138</v>
      </c>
      <c r="BD68" s="12">
        <f>IF('Données projet'!$A$88&gt;35,BD67+BC68-BL67,IF(A68&lt;'Données projet'!$A$88,$BA$205^A68,IF(A68='Données projet'!$A$88,'Données projet'!$B$88,BD67+BC68-BL67)))</f>
        <v>348.03000000000003</v>
      </c>
      <c r="BE68" s="13">
        <f>BD68*VLOOKUP('Données projet'!$B$11,Paramètres!$A$1:$I$89,3,0)*VLOOKUP('Données projet'!$B$11,Paramètres!$A$1:$I$89,5,0)</f>
        <v>293.18047200000007</v>
      </c>
      <c r="BF68" s="13">
        <f t="shared" si="37"/>
        <v>69.744920880406283</v>
      </c>
      <c r="BG68" s="20">
        <f t="shared" ref="BG68:BG131" si="61">(BE68+BF68)*0.475*44/12</f>
        <v>632.09505926670761</v>
      </c>
      <c r="BH68" s="59">
        <f t="shared" ref="BH68:BH131" si="62">BG68+(AY68+AZ68)*44/12</f>
        <v>896.03826538316275</v>
      </c>
      <c r="BI68" s="59">
        <f ca="1">AVERAGE(OFFSET($BH$3,0,0,'Données projet'!$E$11+1,1))-AVERAGE(OFFSET($H$3,0,0,'Données projet'!$E$11+1,1))</f>
        <v>458.88102603650725</v>
      </c>
      <c r="BJ68" s="59">
        <f t="shared" si="38"/>
        <v>277.79020316059552</v>
      </c>
      <c r="BK68" s="15">
        <f>IF(ISNA(VLOOKUP(A68,'Données projet'!$A$87:$I$107,3,0)),0,VLOOKUP(A68,'Données projet'!$A$87:$I$107,3,0))</f>
        <v>6</v>
      </c>
      <c r="BL68" s="15">
        <f>IF(ISNA(VLOOKUP(A68,'Données projet'!$A$87:$I$107,4,0)),0,VLOOKUP(A68,'Données projet'!$A$87:$I$107,4,0))</f>
        <v>50.87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88.964821410508904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88.964821410508904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11.28875</v>
      </c>
      <c r="BY68" s="12">
        <f>IF('Données projet'!$A$114&gt;35,BY67+BX68-CG67,IF(A68&lt;'Données projet'!$A$114,$BV$205^A68,IF(A68='Données projet'!$A$114,'Données projet'!$B$114,BY67+BX68-CG67)))</f>
        <v>280.95750000000004</v>
      </c>
      <c r="BZ68" s="13">
        <f>BY68*VLOOKUP('Données projet'!$B$12,Paramètres!$A$1:$I$89,3,0)*VLOOKUP('Données projet'!$B$12,Paramètres!$A$1:$I$89,5,0)</f>
        <v>267.35915700000004</v>
      </c>
      <c r="CA68" s="13">
        <f t="shared" si="39"/>
        <v>64.288495548289134</v>
      </c>
      <c r="CB68" s="20">
        <f t="shared" ref="CB68:CB131" si="64">(BZ68+CA68)*0.475*44/12</f>
        <v>577.61966152160358</v>
      </c>
      <c r="CC68" s="59">
        <f t="shared" ref="CC68:CC131" si="65">CB68+(BT68+BU68)*44/12</f>
        <v>841.56286763805883</v>
      </c>
      <c r="CD68" s="59">
        <f ca="1">AVERAGE(OFFSET($CC$3,0,0,'Données projet'!$E$12+1,1))-AVERAGE(OFFSET($H$3,0,0,'Données projet'!$E$12+1,1))</f>
        <v>592.58528888957346</v>
      </c>
      <c r="CE68" s="59">
        <f t="shared" si="40"/>
        <v>311.31528017256846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95.632809901759472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95.632809901759472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0.8600000000003547</v>
      </c>
      <c r="CU68" s="17">
        <f>CT68*VLOOKUP('Données projet'!$B$13,Paramètres!$A$1:$I$89,3,0)*VLOOKUP('Données projet'!$B$13,Paramètres!$A$1:$I$89,5,0)</f>
        <v>0.48074000000019829</v>
      </c>
      <c r="CV68" s="13">
        <f t="shared" si="41"/>
        <v>0.24126147010950588</v>
      </c>
      <c r="CW68" s="20">
        <f t="shared" ref="CW68:CW131" si="67">(CU68+CV68)*0.475*44/12</f>
        <v>1.2574858937744013</v>
      </c>
      <c r="CX68" s="59">
        <f t="shared" ref="CX68:CX131" si="68">CW68+(CO68+CP68)*44/12</f>
        <v>265.2006920102296</v>
      </c>
      <c r="CY68" s="59">
        <f ca="1">AVERAGE(OFFSET($CX$3,0,0,'Données projet'!$E$13+1,1))-AVERAGE(OFFSET($H$3,0,0,'Données projet'!$E$13+1,1))</f>
        <v>420.4890915162182</v>
      </c>
      <c r="CZ68" s="59">
        <f t="shared" si="42"/>
        <v>553.48432338023565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304.99234641638833</v>
      </c>
      <c r="DG68" s="21">
        <f>EXP(-LN(2)/25)*DG67+(1-EXP(-LN(2)/25))/(LN(2)/25)*Calculateur!DB68*Calculateur!DD68*VLOOKUP('Données projet'!$B$13,Paramètres!$A$1:$I$89,3,0)*0.475*44/12</f>
        <v>19.162928515726083</v>
      </c>
      <c r="DH68" s="21">
        <f>EXP(-LN(2)/2)*DH67+(1-EXP(-LN(2)/2))/(LN(2)/2)*DB68*DE68*VLOOKUP('Données projet'!$B$13,Paramètres!$A$1:$I$89,3,0)*0.475*44/12</f>
        <v>3.9917207614093961E-6</v>
      </c>
      <c r="DI68" s="22">
        <f t="shared" ref="DI68:DI131" si="69">SUM(DF68:DH68)</f>
        <v>324.15527892383517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11.28875</v>
      </c>
      <c r="DO68" s="12">
        <f>IF('Données projet'!$A$166&gt;35,DO67+DN68-DW67,IF(A68&lt;'Données projet'!$A$166,$DL$205^A68,IF(A68='Données projet'!$A$166,'Données projet'!$B$166,DO67+DN68-DW67)))</f>
        <v>280.95750000000004</v>
      </c>
      <c r="DP68" s="17">
        <f>DO68*VLOOKUP('Données projet'!$B$14,Paramètres!$A$1:$I$89,3,0)*VLOOKUP('Données projet'!$B$14,Paramètres!$A$1:$I$89,5,0)</f>
        <v>302.42265300000003</v>
      </c>
      <c r="DQ68" s="13">
        <f t="shared" si="43"/>
        <v>71.684106612477109</v>
      </c>
      <c r="DR68" s="20">
        <f t="shared" ref="DR68:DR131" si="70">(DP68+DQ68)*0.475*44/12</f>
        <v>651.56927299173105</v>
      </c>
      <c r="DS68" s="59">
        <f t="shared" ref="DS68:DS131" si="71">DR68+(DJ68+DK68)*44/12</f>
        <v>915.5124791081862</v>
      </c>
      <c r="DT68" s="59">
        <f ca="1">AVERAGE(OFFSET($DS$3,0,0,'Données projet'!$E$14+1,1))-AVERAGE(OFFSET($H$3,0,0,'Données projet'!$E$14+1,1))</f>
        <v>659.55755908012691</v>
      </c>
      <c r="DU68" s="59">
        <f t="shared" si="44"/>
        <v>343.96647464823627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108.17481775772789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108.17481775772789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11.28875</v>
      </c>
      <c r="EJ68" s="12">
        <f>IF('Données projet'!$A$192&gt;35,EJ67+EI68-ER67,IF(A68&lt;'Données projet'!$A$192,$EG$205^A68,IF(A68='Données projet'!$A$192,'Données projet'!$B$192,EJ67+EI68-ER67)))</f>
        <v>280.95750000000004</v>
      </c>
      <c r="EK68" s="17">
        <f>EJ68*VLOOKUP('Données projet'!$B$15,Paramètres!$A$1:$I$89,3,0)*VLOOKUP('Données projet'!$B$15,Paramètres!$A$1:$I$89,5,0)</f>
        <v>271.74209400000007</v>
      </c>
      <c r="EL68" s="13">
        <f t="shared" si="45"/>
        <v>65.218847099215822</v>
      </c>
      <c r="EM68" s="20">
        <f t="shared" ref="EM68:EM131" si="73">(EK68+EL68)*0.475*44/12</f>
        <v>586.87363908113434</v>
      </c>
      <c r="EN68" s="59">
        <f t="shared" ref="EN68:EN131" si="74">EM68+(EE68+EF68)*44/12</f>
        <v>850.8168451975896</v>
      </c>
      <c r="EO68" s="59">
        <f ca="1">AVERAGE(OFFSET($EN$3,0,0,'Données projet'!$E$15+1,1))-AVERAGE(OFFSET($H$3,0,0,'Données projet'!$E$15+1,1))</f>
        <v>600.96600099541388</v>
      </c>
      <c r="EP68" s="59">
        <f t="shared" si="46"/>
        <v>315.40159257508969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97.200560883755529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97.200560883755529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292.24625000000003</v>
      </c>
      <c r="O69" s="13">
        <f>N69*VLOOKUP('Données projet'!$B$9,Paramètres!$A$1:$I$89,3,0)*VLOOKUP('Données projet'!$B$9,Paramètres!$A$1:$I$89,5,0)</f>
        <v>264.42440700000003</v>
      </c>
      <c r="P69" s="13">
        <f t="shared" ref="P69:P132" si="87">EXP(-1.0587+0.8836*LN(O69)+0.284)</f>
        <v>63.664554558165378</v>
      </c>
      <c r="Q69" s="20">
        <f t="shared" si="54"/>
        <v>571.42160804713808</v>
      </c>
      <c r="R69" s="59">
        <f t="shared" si="55"/>
        <v>835.87466716432516</v>
      </c>
      <c r="S69" s="59">
        <f ca="1">AVERAGE(OFFSET($R$3,0,0,'Données projet'!$E$9+1,1))-AVERAGE(OFFSET($H$3,0,0,'Données projet'!$E$9+1,1))</f>
        <v>567.42635821336114</v>
      </c>
      <c r="T69" s="59">
        <f t="shared" ref="T69:T132" si="88">$T$3</f>
        <v>299.0473530693472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89.146483805421994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89.146483805421994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11.6</v>
      </c>
      <c r="AI69" s="13">
        <f>IF('Données projet'!$A$62&gt;35,AI68+AH69-AQ68,IF(A69&lt;'Données projet'!$A$62,$AF$205^A69,IF(A69='Données projet'!$A$62,'Données projet'!$B$62,AI68+AH69-AQ68)))</f>
        <v>340.60000000000019</v>
      </c>
      <c r="AJ69" s="13">
        <f>AI69*VLOOKUP('Données projet'!$B$10,Paramètres!$A$1:$I$89,3,0)*VLOOKUP('Données projet'!$B$10,Paramètres!$A$1:$I$89,5,0)</f>
        <v>292.23480000000023</v>
      </c>
      <c r="AK69" s="13">
        <f t="shared" ref="AK69:AK132" si="89">EXP(-1.0587+0.8836*LN(AJ69)+0.284)</f>
        <v>69.546103016553829</v>
      </c>
      <c r="AL69" s="20">
        <f t="shared" si="58"/>
        <v>630.10173942049835</v>
      </c>
      <c r="AM69" s="59">
        <f t="shared" si="59"/>
        <v>894.55479853768543</v>
      </c>
      <c r="AN69" s="59">
        <f ca="1">AVERAGE(OFFSET($AM$3,0,0,'Données projet'!$E$10+1,1))-AVERAGE(OFFSET($H$3,0,0,'Données projet'!$E$10+1,1))</f>
        <v>570.05585579662738</v>
      </c>
      <c r="AO69" s="59">
        <f t="shared" ref="AO69:AO132" si="90">$AO$3</f>
        <v>331.25104323342907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91.483919941943626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91.483919941943626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12.551428571428573</v>
      </c>
      <c r="BD69" s="12">
        <f>IF('Données projet'!$A$88&gt;35,BD68+BC69-BL68,IF(A69&lt;'Données projet'!$A$88,$BA$205^A69,IF(A69='Données projet'!$A$88,'Données projet'!$B$88,BD68+BC69-BL68)))</f>
        <v>309.7114285714286</v>
      </c>
      <c r="BE69" s="13">
        <f>BD69*VLOOKUP('Données projet'!$B$11,Paramètres!$A$1:$I$89,3,0)*VLOOKUP('Données projet'!$B$11,Paramètres!$A$1:$I$89,5,0)</f>
        <v>260.90090742857149</v>
      </c>
      <c r="BF69" s="13">
        <f t="shared" ref="BF69:BF132" si="91">EXP(-1.0587+0.8836*LN(BE69)+0.284)</f>
        <v>62.914376336197464</v>
      </c>
      <c r="BG69" s="20">
        <f t="shared" si="61"/>
        <v>563.97828589030587</v>
      </c>
      <c r="BH69" s="59">
        <f t="shared" si="62"/>
        <v>828.43134500749295</v>
      </c>
      <c r="BI69" s="59">
        <f ca="1">AVERAGE(OFFSET($BH$3,0,0,'Données projet'!$E$11+1,1))-AVERAGE(OFFSET($H$3,0,0,'Données projet'!$E$11+1,1))</f>
        <v>458.88102603650725</v>
      </c>
      <c r="BJ69" s="59">
        <f t="shared" ref="BJ69:BJ132" si="92">$BJ$3</f>
        <v>277.79020316059552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87.220275525831838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87.220275525831838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11.28875</v>
      </c>
      <c r="BY69" s="12">
        <f>IF('Données projet'!$A$114&gt;35,BY68+BX69-CG68,IF(A69&lt;'Données projet'!$A$114,$BV$205^A69,IF(A69='Données projet'!$A$114,'Données projet'!$B$114,BY68+BX69-CG68)))</f>
        <v>292.24625000000003</v>
      </c>
      <c r="BZ69" s="13">
        <f>BY69*VLOOKUP('Données projet'!$B$12,Paramètres!$A$1:$I$89,3,0)*VLOOKUP('Données projet'!$B$12,Paramètres!$A$1:$I$89,5,0)</f>
        <v>278.10153150000002</v>
      </c>
      <c r="CA69" s="13">
        <f t="shared" ref="CA69:CA132" si="93">EXP(-1.0587+0.8836*LN(BZ69)+0.284)</f>
        <v>66.565649193638095</v>
      </c>
      <c r="CB69" s="20">
        <f t="shared" si="64"/>
        <v>600.29533970808632</v>
      </c>
      <c r="CC69" s="59">
        <f t="shared" si="65"/>
        <v>864.7483988252734</v>
      </c>
      <c r="CD69" s="59">
        <f ca="1">AVERAGE(OFFSET($CC$3,0,0,'Données projet'!$E$12+1,1))-AVERAGE(OFFSET($H$3,0,0,'Données projet'!$E$12+1,1))</f>
        <v>592.58528888957346</v>
      </c>
      <c r="CE69" s="59">
        <f t="shared" ref="CE69:CE132" si="94">$CE$3</f>
        <v>311.31528017256846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93.757508829840376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93.757508829840376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0.8600000000003547</v>
      </c>
      <c r="CU69" s="17">
        <f>CT69*VLOOKUP('Données projet'!$B$13,Paramètres!$A$1:$I$89,3,0)*VLOOKUP('Données projet'!$B$13,Paramètres!$A$1:$I$89,5,0)</f>
        <v>0.48074000000019829</v>
      </c>
      <c r="CV69" s="13">
        <f t="shared" ref="CV69:CV132" si="95">EXP(-1.0587+0.8836*LN(CU69)+0.284)</f>
        <v>0.24126147010950588</v>
      </c>
      <c r="CW69" s="20">
        <f t="shared" si="67"/>
        <v>1.2574858937744013</v>
      </c>
      <c r="CX69" s="59">
        <f t="shared" si="68"/>
        <v>265.71054501096148</v>
      </c>
      <c r="CY69" s="59">
        <f ca="1">AVERAGE(OFFSET($CX$3,0,0,'Données projet'!$E$13+1,1))-AVERAGE(OFFSET($H$3,0,0,'Données projet'!$E$13+1,1))</f>
        <v>420.4890915162182</v>
      </c>
      <c r="CZ69" s="59">
        <f t="shared" ref="CZ69:CZ132" si="96">$CZ$3</f>
        <v>553.48432338023565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299.01163253012561</v>
      </c>
      <c r="DG69" s="21">
        <f>EXP(-LN(2)/25)*DG68+(1-EXP(-LN(2)/25))/(LN(2)/25)*Calculateur!DB69*Calculateur!DD69*VLOOKUP('Données projet'!$B$13,Paramètres!$A$1:$I$89,3,0)*0.475*44/12</f>
        <v>18.638917227728939</v>
      </c>
      <c r="DH69" s="21">
        <f>EXP(-LN(2)/2)*DH68+(1-EXP(-LN(2)/2))/(LN(2)/2)*DB69*DE69*VLOOKUP('Données projet'!$B$13,Paramètres!$A$1:$I$89,3,0)*0.475*44/12</f>
        <v>2.8225728189957128E-6</v>
      </c>
      <c r="DI69" s="22">
        <f t="shared" si="69"/>
        <v>317.65055258042736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11.28875</v>
      </c>
      <c r="DO69" s="12">
        <f>IF('Données projet'!$A$166&gt;35,DO68+DN69-DW68,IF(A69&lt;'Données projet'!$A$166,$DL$205^A69,IF(A69='Données projet'!$A$166,'Données projet'!$B$166,DO68+DN69-DW68)))</f>
        <v>292.24625000000003</v>
      </c>
      <c r="DP69" s="17">
        <f>DO69*VLOOKUP('Données projet'!$B$14,Paramètres!$A$1:$I$89,3,0)*VLOOKUP('Données projet'!$B$14,Paramètres!$A$1:$I$89,5,0)</f>
        <v>314.57386350000002</v>
      </c>
      <c r="DQ69" s="13">
        <f t="shared" ref="DQ69:DQ132" si="97">EXP(-1.0587+0.8836*LN(DP69)+0.284)</f>
        <v>74.223219144105187</v>
      </c>
      <c r="DR69" s="20">
        <f t="shared" si="70"/>
        <v>677.15491893848332</v>
      </c>
      <c r="DS69" s="59">
        <f t="shared" si="71"/>
        <v>941.6079780556704</v>
      </c>
      <c r="DT69" s="59">
        <f ca="1">AVERAGE(OFFSET($DS$3,0,0,'Données projet'!$E$14+1,1))-AVERAGE(OFFSET($H$3,0,0,'Données projet'!$E$14+1,1))</f>
        <v>659.55755908012691</v>
      </c>
      <c r="DU69" s="59">
        <f t="shared" ref="DU69:DU132" si="98">$DU$3</f>
        <v>343.96647464823627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106.05357556162268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106.05357556162268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11.28875</v>
      </c>
      <c r="EJ69" s="12">
        <f>IF('Données projet'!$A$192&gt;35,EJ68+EI69-ER68,IF(A69&lt;'Données projet'!$A$192,$EG$205^A69,IF(A69='Données projet'!$A$192,'Données projet'!$B$192,EJ68+EI69-ER68)))</f>
        <v>292.24625000000003</v>
      </c>
      <c r="EK69" s="17">
        <f>EJ69*VLOOKUP('Données projet'!$B$15,Paramètres!$A$1:$I$89,3,0)*VLOOKUP('Données projet'!$B$15,Paramètres!$A$1:$I$89,5,0)</f>
        <v>282.660573</v>
      </c>
      <c r="EL69" s="13">
        <f t="shared" ref="EL69:EL132" si="99">EXP(-1.0587+0.8836*LN(EK69)+0.284)</f>
        <v>67.528954594356733</v>
      </c>
      <c r="EM69" s="20">
        <f t="shared" si="73"/>
        <v>609.91342722683794</v>
      </c>
      <c r="EN69" s="59">
        <f t="shared" si="74"/>
        <v>874.36648634402502</v>
      </c>
      <c r="EO69" s="59">
        <f ca="1">AVERAGE(OFFSET($EN$3,0,0,'Données projet'!$E$15+1,1))-AVERAGE(OFFSET($H$3,0,0,'Données projet'!$E$15+1,1))</f>
        <v>600.96600099541388</v>
      </c>
      <c r="EP69" s="59">
        <f t="shared" ref="EP69:EP132" si="100">$EP$3</f>
        <v>315.40159257508969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95.294517171313174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95.294517171313174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303.53500000000003</v>
      </c>
      <c r="O70" s="13">
        <f>N70*VLOOKUP('Données projet'!$B$9,Paramètres!$A$1:$I$89,3,0)*VLOOKUP('Données projet'!$B$9,Paramètres!$A$1:$I$89,5,0)</f>
        <v>274.63846799999999</v>
      </c>
      <c r="P70" s="13">
        <f t="shared" si="87"/>
        <v>65.832691250400728</v>
      </c>
      <c r="Q70" s="20">
        <f t="shared" si="54"/>
        <v>592.98726902778128</v>
      </c>
      <c r="R70" s="59">
        <f t="shared" si="55"/>
        <v>857.94133633599813</v>
      </c>
      <c r="S70" s="59">
        <f ca="1">AVERAGE(OFFSET($R$3,0,0,'Données projet'!$E$9+1,1))-AVERAGE(OFFSET($H$3,0,0,'Données projet'!$E$9+1,1))</f>
        <v>567.42635821336114</v>
      </c>
      <c r="T70" s="59">
        <f t="shared" si="88"/>
        <v>299.0473530693472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87.398375631983811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87.398375631983811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11.6</v>
      </c>
      <c r="AI70" s="13">
        <f>IF('Données projet'!$A$62&gt;35,AI69+AH70-AQ69,IF(A70&lt;'Données projet'!$A$62,$AF$205^A70,IF(A70='Données projet'!$A$62,'Données projet'!$B$62,AI69+AH70-AQ69)))</f>
        <v>352.20000000000022</v>
      </c>
      <c r="AJ70" s="13">
        <f>AI70*VLOOKUP('Données projet'!$B$10,Paramètres!$A$1:$I$89,3,0)*VLOOKUP('Données projet'!$B$10,Paramètres!$A$1:$I$89,5,0)</f>
        <v>302.1876000000002</v>
      </c>
      <c r="AK70" s="13">
        <f t="shared" si="89"/>
        <v>71.634874359060234</v>
      </c>
      <c r="AL70" s="20">
        <f t="shared" si="58"/>
        <v>651.07414284203026</v>
      </c>
      <c r="AM70" s="59">
        <f t="shared" si="59"/>
        <v>916.02821015024711</v>
      </c>
      <c r="AN70" s="59">
        <f ca="1">AVERAGE(OFFSET($AM$3,0,0,'Données projet'!$E$10+1,1))-AVERAGE(OFFSET($H$3,0,0,'Données projet'!$E$10+1,1))</f>
        <v>570.05585579662738</v>
      </c>
      <c r="AO70" s="59">
        <f t="shared" si="90"/>
        <v>331.25104323342907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89.689976071563521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89.689976071563521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12.551428571428573</v>
      </c>
      <c r="BD70" s="12">
        <f>IF('Données projet'!$A$88&gt;35,BD69+BC70-BL69,IF(A70&lt;'Données projet'!$A$88,$BA$205^A70,IF(A70='Données projet'!$A$88,'Données projet'!$B$88,BD69+BC70-BL69)))</f>
        <v>322.26285714285717</v>
      </c>
      <c r="BE70" s="13">
        <f>BD70*VLOOKUP('Données projet'!$B$11,Paramètres!$A$1:$I$89,3,0)*VLOOKUP('Données projet'!$B$11,Paramètres!$A$1:$I$89,5,0)</f>
        <v>271.47423085714291</v>
      </c>
      <c r="BF70" s="13">
        <f t="shared" si="91"/>
        <v>65.162039061162432</v>
      </c>
      <c r="BG70" s="20">
        <f t="shared" si="61"/>
        <v>586.30817010771511</v>
      </c>
      <c r="BH70" s="59">
        <f t="shared" si="62"/>
        <v>851.26223741593208</v>
      </c>
      <c r="BI70" s="59">
        <f ca="1">AVERAGE(OFFSET($BH$3,0,0,'Données projet'!$E$11+1,1))-AVERAGE(OFFSET($H$3,0,0,'Données projet'!$E$11+1,1))</f>
        <v>458.88102603650725</v>
      </c>
      <c r="BJ70" s="59">
        <f t="shared" si="92"/>
        <v>277.79020316059552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85.509939121885367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85.509939121885367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11.28875</v>
      </c>
      <c r="BY70" s="12">
        <f>IF('Données projet'!$A$114&gt;35,BY69+BX70-CG69,IF(A70&lt;'Données projet'!$A$114,$BV$205^A70,IF(A70='Données projet'!$A$114,'Données projet'!$B$114,BY69+BX70-CG69)))</f>
        <v>303.53500000000003</v>
      </c>
      <c r="BZ70" s="13">
        <f>BY70*VLOOKUP('Données projet'!$B$12,Paramètres!$A$1:$I$89,3,0)*VLOOKUP('Données projet'!$B$12,Paramètres!$A$1:$I$89,5,0)</f>
        <v>288.843906</v>
      </c>
      <c r="CA70" s="13">
        <f t="shared" si="93"/>
        <v>68.832584499489144</v>
      </c>
      <c r="CB70" s="20">
        <f t="shared" si="64"/>
        <v>622.95322095327685</v>
      </c>
      <c r="CC70" s="59">
        <f t="shared" si="65"/>
        <v>887.9072882614937</v>
      </c>
      <c r="CD70" s="59">
        <f ca="1">AVERAGE(OFFSET($CC$3,0,0,'Données projet'!$E$12+1,1))-AVERAGE(OFFSET($H$3,0,0,'Données projet'!$E$12+1,1))</f>
        <v>592.58528888957346</v>
      </c>
      <c r="CE70" s="59">
        <f t="shared" si="94"/>
        <v>311.31528017256846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91.918981268120902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91.918981268120902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0.8600000000003547</v>
      </c>
      <c r="CU70" s="17">
        <f>CT70*VLOOKUP('Données projet'!$B$13,Paramètres!$A$1:$I$89,3,0)*VLOOKUP('Données projet'!$B$13,Paramètres!$A$1:$I$89,5,0)</f>
        <v>0.48074000000019829</v>
      </c>
      <c r="CV70" s="13">
        <f t="shared" si="95"/>
        <v>0.24126147010950588</v>
      </c>
      <c r="CW70" s="20">
        <f t="shared" si="67"/>
        <v>1.2574858937744013</v>
      </c>
      <c r="CX70" s="59">
        <f t="shared" si="68"/>
        <v>266.21155320199131</v>
      </c>
      <c r="CY70" s="59">
        <f ca="1">AVERAGE(OFFSET($CX$3,0,0,'Données projet'!$E$13+1,1))-AVERAGE(OFFSET($H$3,0,0,'Données projet'!$E$13+1,1))</f>
        <v>420.4890915162182</v>
      </c>
      <c r="CZ70" s="59">
        <f t="shared" si="96"/>
        <v>553.48432338023565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293.14819679529722</v>
      </c>
      <c r="DG70" s="21">
        <f>EXP(-LN(2)/25)*DG69+(1-EXP(-LN(2)/25))/(LN(2)/25)*Calculateur!DB70*Calculateur!DD70*VLOOKUP('Données projet'!$B$13,Paramètres!$A$1:$I$89,3,0)*0.475*44/12</f>
        <v>18.129235055958635</v>
      </c>
      <c r="DH70" s="21">
        <f>EXP(-LN(2)/2)*DH69+(1-EXP(-LN(2)/2))/(LN(2)/2)*DB70*DE70*VLOOKUP('Données projet'!$B$13,Paramètres!$A$1:$I$89,3,0)*0.475*44/12</f>
        <v>1.995860380704698E-6</v>
      </c>
      <c r="DI70" s="22">
        <f t="shared" si="69"/>
        <v>311.27743384711624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11.28875</v>
      </c>
      <c r="DO70" s="12">
        <f>IF('Données projet'!$A$166&gt;35,DO69+DN70-DW69,IF(A70&lt;'Données projet'!$A$166,$DL$205^A70,IF(A70='Données projet'!$A$166,'Données projet'!$B$166,DO69+DN70-DW69)))</f>
        <v>303.53500000000003</v>
      </c>
      <c r="DP70" s="17">
        <f>DO70*VLOOKUP('Données projet'!$B$14,Paramètres!$A$1:$I$89,3,0)*VLOOKUP('Données projet'!$B$14,Paramètres!$A$1:$I$89,5,0)</f>
        <v>326.72507400000001</v>
      </c>
      <c r="DQ70" s="13">
        <f t="shared" si="97"/>
        <v>76.75093784030895</v>
      </c>
      <c r="DR70" s="20">
        <f t="shared" si="70"/>
        <v>702.72072062187135</v>
      </c>
      <c r="DS70" s="59">
        <f t="shared" si="71"/>
        <v>967.67478793008831</v>
      </c>
      <c r="DT70" s="59">
        <f ca="1">AVERAGE(OFFSET($DS$3,0,0,'Données projet'!$E$14+1,1))-AVERAGE(OFFSET($H$3,0,0,'Données projet'!$E$14+1,1))</f>
        <v>659.55755908012691</v>
      </c>
      <c r="DU70" s="59">
        <f t="shared" si="98"/>
        <v>343.96647464823627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103.97392963115311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103.97392963115311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11.28875</v>
      </c>
      <c r="EJ70" s="12">
        <f>IF('Données projet'!$A$192&gt;35,EJ69+EI70-ER69,IF(A70&lt;'Données projet'!$A$192,$EG$205^A70,IF(A70='Données projet'!$A$192,'Données projet'!$B$192,EJ69+EI70-ER69)))</f>
        <v>303.53500000000003</v>
      </c>
      <c r="EK70" s="17">
        <f>EJ70*VLOOKUP('Données projet'!$B$15,Paramètres!$A$1:$I$89,3,0)*VLOOKUP('Données projet'!$B$15,Paramètres!$A$1:$I$89,5,0)</f>
        <v>293.57905200000005</v>
      </c>
      <c r="EL70" s="13">
        <f t="shared" si="99"/>
        <v>69.828695875206336</v>
      </c>
      <c r="EM70" s="20">
        <f t="shared" si="73"/>
        <v>632.93516088265108</v>
      </c>
      <c r="EN70" s="59">
        <f t="shared" si="74"/>
        <v>897.88922819086793</v>
      </c>
      <c r="EO70" s="59">
        <f ca="1">AVERAGE(OFFSET($EN$3,0,0,'Données projet'!$E$15+1,1))-AVERAGE(OFFSET($H$3,0,0,'Données projet'!$E$15+1,1))</f>
        <v>600.96600099541388</v>
      </c>
      <c r="EP70" s="59">
        <f t="shared" si="100"/>
        <v>315.40159257508969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93.425849813499937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93.425849813499937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314.82375000000002</v>
      </c>
      <c r="O71" s="13">
        <f>N71*VLOOKUP('Données projet'!$B$9,Paramètres!$A$1:$I$89,3,0)*VLOOKUP('Données projet'!$B$9,Paramètres!$A$1:$I$89,5,0)</f>
        <v>284.852529</v>
      </c>
      <c r="P71" s="13">
        <f t="shared" si="87"/>
        <v>67.991460031008771</v>
      </c>
      <c r="Q71" s="20">
        <f t="shared" si="54"/>
        <v>614.53661422900689</v>
      </c>
      <c r="R71" s="59">
        <f t="shared" si="55"/>
        <v>879.98299835622572</v>
      </c>
      <c r="S71" s="59">
        <f ca="1">AVERAGE(OFFSET($R$3,0,0,'Données projet'!$E$9+1,1))-AVERAGE(OFFSET($H$3,0,0,'Données projet'!$E$9+1,1))</f>
        <v>567.42635821336114</v>
      </c>
      <c r="T71" s="59">
        <f t="shared" si="88"/>
        <v>299.0473530693472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85.684546793586037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85.684546793586037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11.6</v>
      </c>
      <c r="AI71" s="13">
        <f>IF('Données projet'!$A$62&gt;35,AI70+AH71-AQ70,IF(A71&lt;'Données projet'!$A$62,$AF$205^A71,IF(A71='Données projet'!$A$62,'Données projet'!$B$62,AI70+AH71-AQ70)))</f>
        <v>363.80000000000024</v>
      </c>
      <c r="AJ71" s="13">
        <f>AI71*VLOOKUP('Données projet'!$B$10,Paramètres!$A$1:$I$89,3,0)*VLOOKUP('Données projet'!$B$10,Paramètres!$A$1:$I$89,5,0)</f>
        <v>312.14040000000023</v>
      </c>
      <c r="AK71" s="13">
        <f t="shared" si="89"/>
        <v>73.715651717859856</v>
      </c>
      <c r="AL71" s="20">
        <f t="shared" si="58"/>
        <v>672.03262340860624</v>
      </c>
      <c r="AM71" s="59">
        <f t="shared" si="59"/>
        <v>937.47900753582508</v>
      </c>
      <c r="AN71" s="59">
        <f ca="1">AVERAGE(OFFSET($AM$3,0,0,'Données projet'!$E$10+1,1))-AVERAGE(OFFSET($H$3,0,0,'Données projet'!$E$10+1,1))</f>
        <v>570.05585579662738</v>
      </c>
      <c r="AO71" s="59">
        <f t="shared" si="90"/>
        <v>331.25104323342907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87.931210346283848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87.931210346283848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12.551428571428573</v>
      </c>
      <c r="BD71" s="12">
        <f>IF('Données projet'!$A$88&gt;35,BD70+BC71-BL70,IF(A71&lt;'Données projet'!$A$88,$BA$205^A71,IF(A71='Données projet'!$A$88,'Données projet'!$B$88,BD70+BC71-BL70)))</f>
        <v>334.81428571428575</v>
      </c>
      <c r="BE71" s="13">
        <f>BD71*VLOOKUP('Données projet'!$B$11,Paramètres!$A$1:$I$89,3,0)*VLOOKUP('Données projet'!$B$11,Paramètres!$A$1:$I$89,5,0)</f>
        <v>282.04755428571434</v>
      </c>
      <c r="BF71" s="13">
        <f t="shared" si="91"/>
        <v>67.399532301514213</v>
      </c>
      <c r="BG71" s="20">
        <f t="shared" si="61"/>
        <v>608.62034247275642</v>
      </c>
      <c r="BH71" s="59">
        <f t="shared" si="62"/>
        <v>874.06672659997525</v>
      </c>
      <c r="BI71" s="59">
        <f ca="1">AVERAGE(OFFSET($BH$3,0,0,'Données projet'!$E$11+1,1))-AVERAGE(OFFSET($H$3,0,0,'Données projet'!$E$11+1,1))</f>
        <v>458.88102603650725</v>
      </c>
      <c r="BJ71" s="59">
        <f t="shared" si="92"/>
        <v>277.79020316059552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83.833141371618098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83.833141371618098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11.28875</v>
      </c>
      <c r="BY71" s="12">
        <f>IF('Données projet'!$A$114&gt;35,BY70+BX71-CG70,IF(A71&lt;'Données projet'!$A$114,$BV$205^A71,IF(A71='Données projet'!$A$114,'Données projet'!$B$114,BY70+BX71-CG70)))</f>
        <v>314.82375000000002</v>
      </c>
      <c r="BZ71" s="13">
        <f>BY71*VLOOKUP('Données projet'!$B$12,Paramètres!$A$1:$I$89,3,0)*VLOOKUP('Données projet'!$B$12,Paramètres!$A$1:$I$89,5,0)</f>
        <v>299.58628049999999</v>
      </c>
      <c r="CA71" s="13">
        <f t="shared" si="93"/>
        <v>71.089725012564571</v>
      </c>
      <c r="CB71" s="20">
        <f t="shared" si="64"/>
        <v>645.59404293438308</v>
      </c>
      <c r="CC71" s="59">
        <f t="shared" si="65"/>
        <v>911.04042706160192</v>
      </c>
      <c r="CD71" s="59">
        <f ca="1">AVERAGE(OFFSET($CC$3,0,0,'Données projet'!$E$12+1,1))-AVERAGE(OFFSET($H$3,0,0,'Données projet'!$E$12+1,1))</f>
        <v>592.58528888957346</v>
      </c>
      <c r="CE71" s="59">
        <f t="shared" si="94"/>
        <v>311.31528017256846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90.116506110495664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90.116506110495664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0.8600000000003547</v>
      </c>
      <c r="CU71" s="17">
        <f>CT71*VLOOKUP('Données projet'!$B$13,Paramètres!$A$1:$I$89,3,0)*VLOOKUP('Données projet'!$B$13,Paramètres!$A$1:$I$89,5,0)</f>
        <v>0.48074000000019829</v>
      </c>
      <c r="CV71" s="13">
        <f t="shared" si="95"/>
        <v>0.24126147010950588</v>
      </c>
      <c r="CW71" s="20">
        <f t="shared" si="67"/>
        <v>1.2574858937744013</v>
      </c>
      <c r="CX71" s="59">
        <f t="shared" si="68"/>
        <v>266.70387002099324</v>
      </c>
      <c r="CY71" s="59">
        <f ca="1">AVERAGE(OFFSET($CX$3,0,0,'Données projet'!$E$13+1,1))-AVERAGE(OFFSET($H$3,0,0,'Données projet'!$E$13+1,1))</f>
        <v>420.4890915162182</v>
      </c>
      <c r="CZ71" s="59">
        <f t="shared" si="96"/>
        <v>553.48432338023565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287.39973945888619</v>
      </c>
      <c r="DG71" s="21">
        <f>EXP(-LN(2)/25)*DG70+(1-EXP(-LN(2)/25))/(LN(2)/25)*Calculateur!DB71*Calculateur!DD71*VLOOKUP('Données projet'!$B$13,Paramètres!$A$1:$I$89,3,0)*0.475*44/12</f>
        <v>17.633490169978408</v>
      </c>
      <c r="DH71" s="21">
        <f>EXP(-LN(2)/2)*DH70+(1-EXP(-LN(2)/2))/(LN(2)/2)*DB71*DE71*VLOOKUP('Données projet'!$B$13,Paramètres!$A$1:$I$89,3,0)*0.475*44/12</f>
        <v>1.4112864094978564E-6</v>
      </c>
      <c r="DI71" s="22">
        <f t="shared" si="69"/>
        <v>305.03323104015101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11.28875</v>
      </c>
      <c r="DO71" s="12">
        <f>IF('Données projet'!$A$166&gt;35,DO70+DN71-DW70,IF(A71&lt;'Données projet'!$A$166,$DL$205^A71,IF(A71='Données projet'!$A$166,'Données projet'!$B$166,DO70+DN71-DW70)))</f>
        <v>314.82375000000002</v>
      </c>
      <c r="DP71" s="17">
        <f>DO71*VLOOKUP('Données projet'!$B$14,Paramètres!$A$1:$I$89,3,0)*VLOOKUP('Données projet'!$B$14,Paramètres!$A$1:$I$89,5,0)</f>
        <v>338.8762845</v>
      </c>
      <c r="DQ71" s="13">
        <f t="shared" si="97"/>
        <v>79.267734971719548</v>
      </c>
      <c r="DR71" s="20">
        <f t="shared" si="70"/>
        <v>728.26750057991148</v>
      </c>
      <c r="DS71" s="59">
        <f t="shared" si="71"/>
        <v>993.71388470713032</v>
      </c>
      <c r="DT71" s="59">
        <f ca="1">AVERAGE(OFFSET($DS$3,0,0,'Données projet'!$E$14+1,1))-AVERAGE(OFFSET($H$3,0,0,'Données projet'!$E$14+1,1))</f>
        <v>659.55755908012691</v>
      </c>
      <c r="DU71" s="59">
        <f t="shared" si="98"/>
        <v>343.96647464823627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101.93506428892128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101.93506428892128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11.28875</v>
      </c>
      <c r="EJ71" s="12">
        <f>IF('Données projet'!$A$192&gt;35,EJ70+EI71-ER70,IF(A71&lt;'Données projet'!$A$192,$EG$205^A71,IF(A71='Données projet'!$A$192,'Données projet'!$B$192,EJ70+EI71-ER70)))</f>
        <v>314.82375000000002</v>
      </c>
      <c r="EK71" s="17">
        <f>EJ71*VLOOKUP('Données projet'!$B$15,Paramètres!$A$1:$I$89,3,0)*VLOOKUP('Données projet'!$B$15,Paramètres!$A$1:$I$89,5,0)</f>
        <v>304.49753100000004</v>
      </c>
      <c r="EL71" s="13">
        <f t="shared" si="99"/>
        <v>72.118500617847047</v>
      </c>
      <c r="EM71" s="20">
        <f t="shared" si="73"/>
        <v>655.9395884010836</v>
      </c>
      <c r="EN71" s="59">
        <f t="shared" si="74"/>
        <v>921.38597252830243</v>
      </c>
      <c r="EO71" s="59">
        <f ca="1">AVERAGE(OFFSET($EN$3,0,0,'Données projet'!$E$15+1,1))-AVERAGE(OFFSET($H$3,0,0,'Données projet'!$E$15+1,1))</f>
        <v>600.96600099541388</v>
      </c>
      <c r="EP71" s="59">
        <f t="shared" si="100"/>
        <v>315.40159257508969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91.593825882798868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91.593825882798868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326.11250000000001</v>
      </c>
      <c r="O72" s="13">
        <f>N72*VLOOKUP('Données projet'!$B$9,Paramètres!$A$1:$I$89,3,0)*VLOOKUP('Données projet'!$B$9,Paramètres!$A$1:$I$89,5,0)</f>
        <v>295.06659000000002</v>
      </c>
      <c r="P72" s="13">
        <f t="shared" si="87"/>
        <v>70.141235290018571</v>
      </c>
      <c r="Q72" s="20">
        <f t="shared" si="54"/>
        <v>636.07029571344913</v>
      </c>
      <c r="R72" s="59">
        <f t="shared" si="55"/>
        <v>902.00045606351568</v>
      </c>
      <c r="S72" s="59">
        <f ca="1">AVERAGE(OFFSET($R$3,0,0,'Données projet'!$E$9+1,1))-AVERAGE(OFFSET($H$3,0,0,'Données projet'!$E$9+1,1))</f>
        <v>567.42635821336114</v>
      </c>
      <c r="T72" s="59">
        <f t="shared" si="88"/>
        <v>299.0473530693472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84.004325093376877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84.004325093376877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11.6</v>
      </c>
      <c r="AI72" s="13">
        <f>IF('Données projet'!$A$62&gt;35,AI71+AH72-AQ71,IF(A72&lt;'Données projet'!$A$62,$AF$205^A72,IF(A72='Données projet'!$A$62,'Données projet'!$B$62,AI71+AH72-AQ71)))</f>
        <v>375.40000000000026</v>
      </c>
      <c r="AJ72" s="13">
        <f>AI72*VLOOKUP('Données projet'!$B$10,Paramètres!$A$1:$I$89,3,0)*VLOOKUP('Données projet'!$B$10,Paramètres!$A$1:$I$89,5,0)</f>
        <v>322.09320000000025</v>
      </c>
      <c r="AK72" s="13">
        <f t="shared" si="89"/>
        <v>75.788719226219982</v>
      </c>
      <c r="AL72" s="20">
        <f t="shared" si="58"/>
        <v>692.97767598566679</v>
      </c>
      <c r="AM72" s="59">
        <f t="shared" si="59"/>
        <v>958.90783633573335</v>
      </c>
      <c r="AN72" s="59">
        <f ca="1">AVERAGE(OFFSET($AM$3,0,0,'Données projet'!$E$10+1,1))-AVERAGE(OFFSET($H$3,0,0,'Données projet'!$E$10+1,1))</f>
        <v>570.05585579662738</v>
      </c>
      <c r="AO72" s="59">
        <f t="shared" si="90"/>
        <v>331.25104323342907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86.206932944135744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86.206932944135744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12.551428571428573</v>
      </c>
      <c r="BD72" s="12">
        <f>IF('Données projet'!$A$88&gt;35,BD71+BC72-BL71,IF(A72&lt;'Données projet'!$A$88,$BA$205^A72,IF(A72='Données projet'!$A$88,'Données projet'!$B$88,BD71+BC72-BL71)))</f>
        <v>347.36571428571432</v>
      </c>
      <c r="BE72" s="13">
        <f>BD72*VLOOKUP('Données projet'!$B$11,Paramètres!$A$1:$I$89,3,0)*VLOOKUP('Données projet'!$B$11,Paramètres!$A$1:$I$89,5,0)</f>
        <v>292.62087771428577</v>
      </c>
      <c r="BF72" s="13">
        <f t="shared" si="91"/>
        <v>69.627280938771321</v>
      </c>
      <c r="BG72" s="20">
        <f t="shared" si="61"/>
        <v>630.91554298740778</v>
      </c>
      <c r="BH72" s="59">
        <f t="shared" si="62"/>
        <v>896.84570333747433</v>
      </c>
      <c r="BI72" s="59">
        <f ca="1">AVERAGE(OFFSET($BH$3,0,0,'Données projet'!$E$11+1,1))-AVERAGE(OFFSET($H$3,0,0,'Données projet'!$E$11+1,1))</f>
        <v>458.88102603650725</v>
      </c>
      <c r="BJ72" s="59">
        <f t="shared" si="92"/>
        <v>277.79020316059552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82.189224602487926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82.189224602487926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11.28875</v>
      </c>
      <c r="BY72" s="12">
        <f>IF('Données projet'!$A$114&gt;35,BY71+BX72-CG71,IF(A72&lt;'Données projet'!$A$114,$BV$205^A72,IF(A72='Données projet'!$A$114,'Données projet'!$B$114,BY71+BX72-CG71)))</f>
        <v>326.11250000000001</v>
      </c>
      <c r="BZ72" s="13">
        <f>BY72*VLOOKUP('Données projet'!$B$12,Paramètres!$A$1:$I$89,3,0)*VLOOKUP('Données projet'!$B$12,Paramètres!$A$1:$I$89,5,0)</f>
        <v>310.32865500000003</v>
      </c>
      <c r="CA72" s="13">
        <f t="shared" si="93"/>
        <v>73.337462183263924</v>
      </c>
      <c r="CB72" s="20">
        <f t="shared" si="64"/>
        <v>668.21848742751797</v>
      </c>
      <c r="CC72" s="59">
        <f t="shared" si="65"/>
        <v>934.14864777758453</v>
      </c>
      <c r="CD72" s="59">
        <f ca="1">AVERAGE(OFFSET($CC$3,0,0,'Données projet'!$E$12+1,1))-AVERAGE(OFFSET($H$3,0,0,'Données projet'!$E$12+1,1))</f>
        <v>592.58528888957346</v>
      </c>
      <c r="CE72" s="59">
        <f t="shared" si="94"/>
        <v>311.31528017256846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88.349376391310159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88.349376391310159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0.8600000000003547</v>
      </c>
      <c r="CU72" s="17">
        <f>CT72*VLOOKUP('Données projet'!$B$13,Paramètres!$A$1:$I$89,3,0)*VLOOKUP('Données projet'!$B$13,Paramètres!$A$1:$I$89,5,0)</f>
        <v>0.48074000000019829</v>
      </c>
      <c r="CV72" s="13">
        <f t="shared" si="95"/>
        <v>0.24126147010950588</v>
      </c>
      <c r="CW72" s="20">
        <f t="shared" si="67"/>
        <v>1.2574858937744013</v>
      </c>
      <c r="CX72" s="59">
        <f t="shared" si="68"/>
        <v>267.18764624384096</v>
      </c>
      <c r="CY72" s="59">
        <f ca="1">AVERAGE(OFFSET($CX$3,0,0,'Données projet'!$E$13+1,1))-AVERAGE(OFFSET($H$3,0,0,'Données projet'!$E$13+1,1))</f>
        <v>420.4890915162182</v>
      </c>
      <c r="CZ72" s="59">
        <f t="shared" si="96"/>
        <v>553.48432338023565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281.76400586462938</v>
      </c>
      <c r="DG72" s="21">
        <f>EXP(-LN(2)/25)*DG71+(1-EXP(-LN(2)/25))/(LN(2)/25)*Calculateur!DB72*Calculateur!DD72*VLOOKUP('Données projet'!$B$13,Paramètres!$A$1:$I$89,3,0)*0.475*44/12</f>
        <v>17.151301453975403</v>
      </c>
      <c r="DH72" s="21">
        <f>EXP(-LN(2)/2)*DH71+(1-EXP(-LN(2)/2))/(LN(2)/2)*DB72*DE72*VLOOKUP('Données projet'!$B$13,Paramètres!$A$1:$I$89,3,0)*0.475*44/12</f>
        <v>9.9793019035234902E-7</v>
      </c>
      <c r="DI72" s="22">
        <f t="shared" si="69"/>
        <v>298.915308316535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11.28875</v>
      </c>
      <c r="DO72" s="12">
        <f>IF('Données projet'!$A$166&gt;35,DO71+DN72-DW71,IF(A72&lt;'Données projet'!$A$166,$DL$205^A72,IF(A72='Données projet'!$A$166,'Données projet'!$B$166,DO71+DN72-DW71)))</f>
        <v>326.11250000000001</v>
      </c>
      <c r="DP72" s="17">
        <f>DO72*VLOOKUP('Données projet'!$B$14,Paramètres!$A$1:$I$89,3,0)*VLOOKUP('Données projet'!$B$14,Paramètres!$A$1:$I$89,5,0)</f>
        <v>351.02749499999999</v>
      </c>
      <c r="DQ72" s="13">
        <f t="shared" si="97"/>
        <v>81.774047020353763</v>
      </c>
      <c r="DR72" s="20">
        <f t="shared" si="70"/>
        <v>753.79601901878277</v>
      </c>
      <c r="DS72" s="59">
        <f t="shared" si="71"/>
        <v>1019.7261793688493</v>
      </c>
      <c r="DT72" s="59">
        <f ca="1">AVERAGE(OFFSET($DS$3,0,0,'Données projet'!$E$14+1,1))-AVERAGE(OFFSET($H$3,0,0,'Données projet'!$E$14+1,1))</f>
        <v>659.55755908012691</v>
      </c>
      <c r="DU72" s="59">
        <f t="shared" si="98"/>
        <v>343.96647464823627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99.936179852465557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99.936179852465557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11.28875</v>
      </c>
      <c r="EJ72" s="12">
        <f>IF('Données projet'!$A$192&gt;35,EJ71+EI72-ER71,IF(A72&lt;'Données projet'!$A$192,$EG$205^A72,IF(A72='Données projet'!$A$192,'Données projet'!$B$192,EJ71+EI72-ER71)))</f>
        <v>326.11250000000001</v>
      </c>
      <c r="EK72" s="17">
        <f>EJ72*VLOOKUP('Données projet'!$B$15,Paramètres!$A$1:$I$89,3,0)*VLOOKUP('Données projet'!$B$15,Paramètres!$A$1:$I$89,5,0)</f>
        <v>315.41601000000003</v>
      </c>
      <c r="EL72" s="13">
        <f t="shared" si="99"/>
        <v>74.39876593755659</v>
      </c>
      <c r="EM72" s="20">
        <f t="shared" si="73"/>
        <v>678.92740142457785</v>
      </c>
      <c r="EN72" s="59">
        <f t="shared" si="74"/>
        <v>944.85756177464441</v>
      </c>
      <c r="EO72" s="59">
        <f ca="1">AVERAGE(OFFSET($EN$3,0,0,'Données projet'!$E$15+1,1))-AVERAGE(OFFSET($H$3,0,0,'Données projet'!$E$15+1,1))</f>
        <v>600.96600099541388</v>
      </c>
      <c r="EP72" s="59">
        <f t="shared" si="100"/>
        <v>315.40159257508969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89.797726823954591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89.797726823954591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337.40125</v>
      </c>
      <c r="O73" s="13">
        <f>N73*VLOOKUP('Données projet'!$B$9,Paramètres!$A$1:$I$89,3,0)*VLOOKUP('Données projet'!$B$9,Paramètres!$A$1:$I$89,5,0)</f>
        <v>305.28065099999998</v>
      </c>
      <c r="P73" s="13">
        <f t="shared" si="87"/>
        <v>72.282364027590162</v>
      </c>
      <c r="Q73" s="20">
        <f t="shared" si="54"/>
        <v>657.58891783971956</v>
      </c>
      <c r="R73" s="59">
        <f t="shared" si="55"/>
        <v>923.9944619767291</v>
      </c>
      <c r="S73" s="59">
        <f ca="1">AVERAGE(OFFSET($R$3,0,0,'Données projet'!$E$9+1,1))-AVERAGE(OFFSET($H$3,0,0,'Données projet'!$E$9+1,1))</f>
        <v>567.42635821336114</v>
      </c>
      <c r="T73" s="59">
        <f t="shared" si="88"/>
        <v>299.0473530693472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82.357051515874772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82.357051515874772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387</v>
      </c>
      <c r="AG73" s="12">
        <f>VLOOKUP(A73,'Données projet'!$A$61:$I$81,9,0)</f>
        <v>11.6</v>
      </c>
      <c r="AH73" s="12">
        <f t="array" ref="AH73">INDEX(AG:AG,MIN(IF(ISNUMBER(AG73:AG269),ROW(AG73:AG269),"")))</f>
        <v>11.6</v>
      </c>
      <c r="AI73" s="13">
        <f>IF('Données projet'!$A$62&gt;35,AI72+AH73-AQ72,IF(A73&lt;'Données projet'!$A$62,$AF$205^A73,IF(A73='Données projet'!$A$62,'Données projet'!$B$62,AI72+AH73-AQ72)))</f>
        <v>387.00000000000028</v>
      </c>
      <c r="AJ73" s="13">
        <f>AI73*VLOOKUP('Données projet'!$B$10,Paramètres!$A$1:$I$89,3,0)*VLOOKUP('Données projet'!$B$10,Paramètres!$A$1:$I$89,5,0)</f>
        <v>332.04600000000028</v>
      </c>
      <c r="AK73" s="13">
        <f t="shared" si="89"/>
        <v>77.854342460208699</v>
      </c>
      <c r="AL73" s="20">
        <f t="shared" si="58"/>
        <v>713.90976311819725</v>
      </c>
      <c r="AM73" s="59">
        <f t="shared" si="59"/>
        <v>980.31530725520679</v>
      </c>
      <c r="AN73" s="59">
        <f ca="1">AVERAGE(OFFSET($AM$3,0,0,'Données projet'!$E$10+1,1))-AVERAGE(OFFSET($H$3,0,0,'Données projet'!$E$10+1,1))</f>
        <v>570.05585579662738</v>
      </c>
      <c r="AO73" s="59">
        <f t="shared" si="90"/>
        <v>331.25104323342907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35</v>
      </c>
      <c r="AR73" s="16">
        <f>IF(ISNA(VLOOKUP(A73,'Données projet'!$A$61:$I$81,5,0)),0%,VLOOKUP(A73,'Données projet'!$A$61:$I$81,5,0)*VLOOKUP('Données projet'!$B$10,Paramètres!$A$1:$I$89,7,0))</f>
        <v>0.53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102.11102358374687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102.11102358374687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12.551428571428573</v>
      </c>
      <c r="BD73" s="12">
        <f>IF('Données projet'!$A$88&gt;35,BD72+BC73-BL72,IF(A73&lt;'Données projet'!$A$88,$BA$205^A73,IF(A73='Données projet'!$A$88,'Données projet'!$B$88,BD72+BC73-BL72)))</f>
        <v>359.91714285714289</v>
      </c>
      <c r="BE73" s="13">
        <f>BD73*VLOOKUP('Données projet'!$B$11,Paramètres!$A$1:$I$89,3,0)*VLOOKUP('Données projet'!$B$11,Paramètres!$A$1:$I$89,5,0)</f>
        <v>303.1942011428572</v>
      </c>
      <c r="BF73" s="13">
        <f t="shared" si="91"/>
        <v>71.845677409500553</v>
      </c>
      <c r="BG73" s="20">
        <f t="shared" si="61"/>
        <v>653.19445514535653</v>
      </c>
      <c r="BH73" s="59">
        <f t="shared" si="62"/>
        <v>919.59999928236607</v>
      </c>
      <c r="BI73" s="59">
        <f ca="1">AVERAGE(OFFSET($BH$3,0,0,'Données projet'!$E$11+1,1))-AVERAGE(OFFSET($H$3,0,0,'Données projet'!$E$11+1,1))</f>
        <v>458.88102603650725</v>
      </c>
      <c r="BJ73" s="59">
        <f t="shared" si="92"/>
        <v>277.79020316059552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80.577544038510169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80.577544038510169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11.28875</v>
      </c>
      <c r="BY73" s="12">
        <f>IF('Données projet'!$A$114&gt;35,BY72+BX73-CG72,IF(A73&lt;'Données projet'!$A$114,$BV$205^A73,IF(A73='Données projet'!$A$114,'Données projet'!$B$114,BY72+BX73-CG72)))</f>
        <v>337.40125</v>
      </c>
      <c r="BZ73" s="13">
        <f>BY73*VLOOKUP('Données projet'!$B$12,Paramètres!$A$1:$I$89,3,0)*VLOOKUP('Données projet'!$B$12,Paramètres!$A$1:$I$89,5,0)</f>
        <v>321.07102950000001</v>
      </c>
      <c r="CA73" s="13">
        <f t="shared" si="93"/>
        <v>75.576158824004594</v>
      </c>
      <c r="CB73" s="20">
        <f t="shared" si="64"/>
        <v>690.82718633097465</v>
      </c>
      <c r="CC73" s="59">
        <f t="shared" si="65"/>
        <v>957.23273046798408</v>
      </c>
      <c r="CD73" s="59">
        <f ca="1">AVERAGE(OFFSET($CC$3,0,0,'Données projet'!$E$12+1,1))-AVERAGE(OFFSET($H$3,0,0,'Données projet'!$E$12+1,1))</f>
        <v>592.58528888957346</v>
      </c>
      <c r="CE73" s="59">
        <f t="shared" si="94"/>
        <v>311.31528017256846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86.616899008075194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86.616899008075194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0.8600000000003547</v>
      </c>
      <c r="CU73" s="17">
        <f>CT73*VLOOKUP('Données projet'!$B$13,Paramètres!$A$1:$I$89,3,0)*VLOOKUP('Données projet'!$B$13,Paramètres!$A$1:$I$89,5,0)</f>
        <v>0.48074000000019829</v>
      </c>
      <c r="CV73" s="13">
        <f t="shared" si="95"/>
        <v>0.24126147010950588</v>
      </c>
      <c r="CW73" s="20">
        <f t="shared" si="67"/>
        <v>1.2574858937744013</v>
      </c>
      <c r="CX73" s="59">
        <f t="shared" si="68"/>
        <v>267.66303003078389</v>
      </c>
      <c r="CY73" s="59">
        <f ca="1">AVERAGE(OFFSET($CX$3,0,0,'Données projet'!$E$13+1,1))-AVERAGE(OFFSET($H$3,0,0,'Données projet'!$E$13+1,1))</f>
        <v>420.4890915162182</v>
      </c>
      <c r="CZ73" s="59">
        <f t="shared" si="96"/>
        <v>553.48432338023565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276.23878556869789</v>
      </c>
      <c r="DG73" s="21">
        <f>EXP(-LN(2)/25)*DG72+(1-EXP(-LN(2)/25))/(LN(2)/25)*Calculateur!DB73*Calculateur!DD73*VLOOKUP('Données projet'!$B$13,Paramètres!$A$1:$I$89,3,0)*0.475*44/12</f>
        <v>16.682298213768703</v>
      </c>
      <c r="DH73" s="21">
        <f>EXP(-LN(2)/2)*DH72+(1-EXP(-LN(2)/2))/(LN(2)/2)*DB73*DE73*VLOOKUP('Données projet'!$B$13,Paramètres!$A$1:$I$89,3,0)*0.475*44/12</f>
        <v>7.056432047489282E-7</v>
      </c>
      <c r="DI73" s="22">
        <f t="shared" si="69"/>
        <v>292.92108448810984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11.28875</v>
      </c>
      <c r="DO73" s="12">
        <f>IF('Données projet'!$A$166&gt;35,DO72+DN73-DW72,IF(A73&lt;'Données projet'!$A$166,$DL$205^A73,IF(A73='Données projet'!$A$166,'Données projet'!$B$166,DO72+DN73-DW72)))</f>
        <v>337.40125</v>
      </c>
      <c r="DP73" s="17">
        <f>DO73*VLOOKUP('Données projet'!$B$14,Paramètres!$A$1:$I$89,3,0)*VLOOKUP('Données projet'!$B$14,Paramètres!$A$1:$I$89,5,0)</f>
        <v>363.17870549999998</v>
      </c>
      <c r="DQ73" s="13">
        <f t="shared" si="97"/>
        <v>84.270278535793452</v>
      </c>
      <c r="DR73" s="20">
        <f t="shared" si="70"/>
        <v>779.30698052900698</v>
      </c>
      <c r="DS73" s="59">
        <f t="shared" si="71"/>
        <v>1045.7125246660164</v>
      </c>
      <c r="DT73" s="59">
        <f ca="1">AVERAGE(OFFSET($DS$3,0,0,'Données projet'!$E$14+1,1))-AVERAGE(OFFSET($H$3,0,0,'Données projet'!$E$14+1,1))</f>
        <v>659.55755908012691</v>
      </c>
      <c r="DU73" s="59">
        <f t="shared" si="98"/>
        <v>343.96647464823627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97.976492320609609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97.976492320609609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11.28875</v>
      </c>
      <c r="EJ73" s="12">
        <f>IF('Données projet'!$A$192&gt;35,EJ72+EI73-ER72,IF(A73&lt;'Données projet'!$A$192,$EG$205^A73,IF(A73='Données projet'!$A$192,'Données projet'!$B$192,EJ72+EI73-ER72)))</f>
        <v>337.40125</v>
      </c>
      <c r="EK73" s="17">
        <f>EJ73*VLOOKUP('Données projet'!$B$15,Paramètres!$A$1:$I$89,3,0)*VLOOKUP('Données projet'!$B$15,Paramètres!$A$1:$I$89,5,0)</f>
        <v>326.33448900000002</v>
      </c>
      <c r="EL73" s="13">
        <f t="shared" si="99"/>
        <v>76.669859897195522</v>
      </c>
      <c r="EM73" s="20">
        <f t="shared" si="73"/>
        <v>701.89924099594884</v>
      </c>
      <c r="EN73" s="59">
        <f t="shared" si="74"/>
        <v>968.30478513295839</v>
      </c>
      <c r="EO73" s="59">
        <f ca="1">AVERAGE(OFFSET($EN$3,0,0,'Données projet'!$E$15+1,1))-AVERAGE(OFFSET($H$3,0,0,'Données projet'!$E$15+1,1))</f>
        <v>600.96600099541388</v>
      </c>
      <c r="EP73" s="59">
        <f t="shared" si="100"/>
        <v>315.40159257508969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88.036848172142001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88.036848172142001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348.69</v>
      </c>
      <c r="O74" s="13">
        <f>N74*VLOOKUP('Données projet'!$B$9,Paramètres!$A$1:$I$89,3,0)*VLOOKUP('Données projet'!$B$9,Paramètres!$A$1:$I$89,5,0)</f>
        <v>315.49471199999999</v>
      </c>
      <c r="P74" s="13">
        <f t="shared" si="87"/>
        <v>74.415168706532612</v>
      </c>
      <c r="Q74" s="20">
        <f t="shared" si="54"/>
        <v>679.09304223054426</v>
      </c>
      <c r="R74" s="59">
        <f t="shared" si="55"/>
        <v>945.96572330859226</v>
      </c>
      <c r="S74" s="59">
        <f ca="1">AVERAGE(OFFSET($R$3,0,0,'Données projet'!$E$9+1,1))-AVERAGE(OFFSET($H$3,0,0,'Données projet'!$E$9+1,1))</f>
        <v>567.42635821336114</v>
      </c>
      <c r="T74" s="59">
        <f t="shared" si="88"/>
        <v>299.0473530693472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103.13732072204741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103.13732072204741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</v>
      </c>
      <c r="AI74" s="13">
        <f>IF('Données projet'!$A$62&gt;35,AI73+AH74-AQ73,IF(A74&lt;'Données projet'!$A$62,$AF$205^A74,IF(A74='Données projet'!$A$62,'Données projet'!$B$62,AI73+AH74-AQ73)))</f>
        <v>363.00000000000028</v>
      </c>
      <c r="AJ74" s="13">
        <f>AI74*VLOOKUP('Données projet'!$B$10,Paramètres!$A$1:$I$89,3,0)*VLOOKUP('Données projet'!$B$10,Paramètres!$A$1:$I$89,5,0)</f>
        <v>311.45400000000029</v>
      </c>
      <c r="AK74" s="13">
        <f t="shared" si="89"/>
        <v>73.572400496659498</v>
      </c>
      <c r="AL74" s="20">
        <f t="shared" si="58"/>
        <v>670.58764753168236</v>
      </c>
      <c r="AM74" s="59">
        <f t="shared" si="59"/>
        <v>937.46032860973037</v>
      </c>
      <c r="AN74" s="59">
        <f ca="1">AVERAGE(OFFSET($AM$3,0,0,'Données projet'!$E$10+1,1))-AVERAGE(OFFSET($H$3,0,0,'Données projet'!$E$10+1,1))</f>
        <v>570.05585579662738</v>
      </c>
      <c r="AO74" s="59">
        <f t="shared" si="90"/>
        <v>331.25104323342907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100.10868869284418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100.10868869284418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12.551428571428573</v>
      </c>
      <c r="BD74" s="12">
        <f>IF('Données projet'!$A$88&gt;35,BD73+BC74-BL73,IF(A74&lt;'Données projet'!$A$88,$BA$205^A74,IF(A74='Données projet'!$A$88,'Données projet'!$B$88,BD73+BC74-BL73)))</f>
        <v>372.46857142857147</v>
      </c>
      <c r="BE74" s="13">
        <f>BD74*VLOOKUP('Données projet'!$B$11,Paramètres!$A$1:$I$89,3,0)*VLOOKUP('Données projet'!$B$11,Paramètres!$A$1:$I$89,5,0)</f>
        <v>313.76752457142862</v>
      </c>
      <c r="BF74" s="13">
        <f t="shared" si="91"/>
        <v>74.055085227165989</v>
      </c>
      <c r="BG74" s="20">
        <f t="shared" si="61"/>
        <v>675.45771206588552</v>
      </c>
      <c r="BH74" s="59">
        <f t="shared" si="62"/>
        <v>942.33039314393341</v>
      </c>
      <c r="BI74" s="59">
        <f ca="1">AVERAGE(OFFSET($BH$3,0,0,'Données projet'!$E$11+1,1))-AVERAGE(OFFSET($H$3,0,0,'Données projet'!$E$11+1,1))</f>
        <v>458.88102603650725</v>
      </c>
      <c r="BJ74" s="59">
        <f t="shared" si="92"/>
        <v>277.79020316059552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78.997467547363939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78.997467547363939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348.69</v>
      </c>
      <c r="BW74" s="12">
        <f>VLOOKUP(A74,'Données projet'!$A$113:$I$133,9,0)</f>
        <v>11.28875</v>
      </c>
      <c r="BX74" s="12">
        <f t="array" ref="BX74">INDEX(BW:BW,MIN(IF(ISNUMBER(BW74:BW270),ROW(BW74:BW270),"")))</f>
        <v>11.28875</v>
      </c>
      <c r="BY74" s="12">
        <f>IF('Données projet'!$A$114&gt;35,BY73+BX74-CG73,IF(A74&lt;'Données projet'!$A$114,$BV$205^A74,IF(A74='Données projet'!$A$114,'Données projet'!$B$114,BY73+BX74-CG73)))</f>
        <v>348.69</v>
      </c>
      <c r="BZ74" s="13">
        <f>BY74*VLOOKUP('Données projet'!$B$12,Paramètres!$A$1:$I$89,3,0)*VLOOKUP('Données projet'!$B$12,Paramètres!$A$1:$I$89,5,0)</f>
        <v>331.81340399999999</v>
      </c>
      <c r="CA74" s="13">
        <f t="shared" si="93"/>
        <v>77.806152091723447</v>
      </c>
      <c r="CB74" s="20">
        <f t="shared" si="64"/>
        <v>713.42072685975165</v>
      </c>
      <c r="CC74" s="59">
        <f t="shared" si="65"/>
        <v>980.29340793779966</v>
      </c>
      <c r="CD74" s="59">
        <f ca="1">AVERAGE(OFFSET($CC$3,0,0,'Données projet'!$E$12+1,1))-AVERAGE(OFFSET($H$3,0,0,'Données projet'!$E$12+1,1))</f>
        <v>592.58528888957346</v>
      </c>
      <c r="CE74" s="59">
        <f t="shared" si="94"/>
        <v>311.31528017256846</v>
      </c>
      <c r="CF74" s="15">
        <f>IF(ISNA(VLOOKUP(A74,'Données projet'!$A$113:$I$133,3,0)),0,VLOOKUP(A74,'Données projet'!$A$113:$I$133,3,0))</f>
        <v>6</v>
      </c>
      <c r="CG74" s="15">
        <f>IF(ISNA(VLOOKUP(A74,'Données projet'!$A$113:$I$133,4,0)),0,VLOOKUP(A74,'Données projet'!$A$113:$I$133,4,0))</f>
        <v>52.07</v>
      </c>
      <c r="CH74" s="16">
        <f>IF(ISNA(VLOOKUP(A74,'Données projet'!$A$113:$I$133,5,0)),0%,VLOOKUP(A74,'Données projet'!$A$113:$I$133,5,0)*VLOOKUP('Données projet'!$B$12,Paramètres!$A$1:$I$89,7,0))</f>
        <v>0.43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108.47200972491193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108.47200972491193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0.8600000000003547</v>
      </c>
      <c r="CU74" s="17">
        <f>CT74*VLOOKUP('Données projet'!$B$13,Paramètres!$A$1:$I$89,3,0)*VLOOKUP('Données projet'!$B$13,Paramètres!$A$1:$I$89,5,0)</f>
        <v>0.48074000000019829</v>
      </c>
      <c r="CV74" s="13">
        <f t="shared" si="95"/>
        <v>0.24126147010950588</v>
      </c>
      <c r="CW74" s="20">
        <f t="shared" si="67"/>
        <v>1.2574858937744013</v>
      </c>
      <c r="CX74" s="59">
        <f t="shared" si="68"/>
        <v>268.13016697182235</v>
      </c>
      <c r="CY74" s="59">
        <f ca="1">AVERAGE(OFFSET($CX$3,0,0,'Données projet'!$E$13+1,1))-AVERAGE(OFFSET($H$3,0,0,'Données projet'!$E$13+1,1))</f>
        <v>420.4890915162182</v>
      </c>
      <c r="CZ74" s="59">
        <f t="shared" si="96"/>
        <v>553.48432338023565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270.821911472718</v>
      </c>
      <c r="DG74" s="21">
        <f>EXP(-LN(2)/25)*DG73+(1-EXP(-LN(2)/25))/(LN(2)/25)*Calculateur!DB74*Calculateur!DD74*VLOOKUP('Données projet'!$B$13,Paramètres!$A$1:$I$89,3,0)*0.475*44/12</f>
        <v>16.226119891829264</v>
      </c>
      <c r="DH74" s="21">
        <f>EXP(-LN(2)/2)*DH73+(1-EXP(-LN(2)/2))/(LN(2)/2)*DB74*DE74*VLOOKUP('Données projet'!$B$13,Paramètres!$A$1:$I$89,3,0)*0.475*44/12</f>
        <v>4.9896509517617451E-7</v>
      </c>
      <c r="DI74" s="22">
        <f t="shared" si="69"/>
        <v>287.04803186351239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>
        <f>VLOOKUP(A74,'Données projet'!$A$165:$I$185,2,0)</f>
        <v>348.69</v>
      </c>
      <c r="DM74" s="12">
        <f>VLOOKUP(A74,'Données projet'!$A$165:$I$185,9,0)</f>
        <v>11.28875</v>
      </c>
      <c r="DN74" s="12">
        <f t="array" ref="DN74">INDEX(DM:DM,MIN(IF(ISNUMBER(DM74:DM270),ROW(DM74:DM270),"")))</f>
        <v>11.28875</v>
      </c>
      <c r="DO74" s="12">
        <f>IF('Données projet'!$A$166&gt;35,DO73+DN74-DW73,IF(A74&lt;'Données projet'!$A$166,$DL$205^A74,IF(A74='Données projet'!$A$166,'Données projet'!$B$166,DO73+DN74-DW73)))</f>
        <v>348.69</v>
      </c>
      <c r="DP74" s="17">
        <f>DO74*VLOOKUP('Données projet'!$B$14,Paramètres!$A$1:$I$89,3,0)*VLOOKUP('Données projet'!$B$14,Paramètres!$A$1:$I$89,5,0)</f>
        <v>375.32991599999997</v>
      </c>
      <c r="DQ74" s="13">
        <f t="shared" si="97"/>
        <v>86.756805460788797</v>
      </c>
      <c r="DR74" s="20">
        <f t="shared" si="70"/>
        <v>804.80103987754046</v>
      </c>
      <c r="DS74" s="59">
        <f t="shared" si="71"/>
        <v>1071.6737209555884</v>
      </c>
      <c r="DT74" s="59">
        <f ca="1">AVERAGE(OFFSET($DS$3,0,0,'Données projet'!$E$14+1,1))-AVERAGE(OFFSET($H$3,0,0,'Données projet'!$E$14+1,1))</f>
        <v>659.55755908012691</v>
      </c>
      <c r="DU74" s="59">
        <f t="shared" si="98"/>
        <v>343.96647464823627</v>
      </c>
      <c r="DV74" s="15">
        <f>IF(ISNA(VLOOKUP(A74,'Données projet'!$A$165:$I$185,3,0)),0,VLOOKUP(A74,'Données projet'!$A$165:$I$185,3,0))</f>
        <v>6</v>
      </c>
      <c r="DW74" s="15">
        <f>IF(ISNA(VLOOKUP(A74,'Données projet'!$A$165:$I$185,4,0)),0,VLOOKUP(A74,'Données projet'!$A$165:$I$185,4,0))</f>
        <v>52.07</v>
      </c>
      <c r="DX74" s="16">
        <f>IF(ISNA(VLOOKUP(A74,'Données projet'!$A$165:$I$185,5,0)),0%,VLOOKUP(A74,'Données projet'!$A$165:$I$185,5,0)*VLOOKUP('Données projet'!$B$14,Paramètres!$A$1:$I$89,7,0))</f>
        <v>0.43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122.69784706588393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122.69784706588393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>
        <f>VLOOKUP(A74,'Données projet'!$A$191:$I$211,2,0)</f>
        <v>348.69</v>
      </c>
      <c r="EH74" s="12">
        <f>VLOOKUP(A74,'Données projet'!$A$191:$I$211,9,0)</f>
        <v>11.28875</v>
      </c>
      <c r="EI74" s="12">
        <f t="array" ref="EI74">INDEX(EH:EH,MIN(IF(ISNUMBER(EH74:EH270),ROW(EH74:EH270),"")))</f>
        <v>11.28875</v>
      </c>
      <c r="EJ74" s="12">
        <f>IF('Données projet'!$A$192&gt;35,EJ73+EI74-ER73,IF(A74&lt;'Données projet'!$A$192,$EG$205^A74,IF(A74='Données projet'!$A$192,'Données projet'!$B$192,EJ73+EI74-ER73)))</f>
        <v>348.69</v>
      </c>
      <c r="EK74" s="17">
        <f>EJ74*VLOOKUP('Données projet'!$B$15,Paramètres!$A$1:$I$89,3,0)*VLOOKUP('Données projet'!$B$15,Paramètres!$A$1:$I$89,5,0)</f>
        <v>337.25296800000001</v>
      </c>
      <c r="EL74" s="13">
        <f t="shared" si="99"/>
        <v>78.932124532870404</v>
      </c>
      <c r="EM74" s="20">
        <f t="shared" si="73"/>
        <v>724.85570282808249</v>
      </c>
      <c r="EN74" s="59">
        <f t="shared" si="74"/>
        <v>991.72838390613038</v>
      </c>
      <c r="EO74" s="59">
        <f ca="1">AVERAGE(OFFSET($EN$3,0,0,'Données projet'!$E$15+1,1))-AVERAGE(OFFSET($H$3,0,0,'Données projet'!$E$15+1,1))</f>
        <v>600.96600099541388</v>
      </c>
      <c r="EP74" s="59">
        <f t="shared" si="100"/>
        <v>315.40159257508969</v>
      </c>
      <c r="EQ74" s="15">
        <f>IF(ISNA(VLOOKUP(A74,'Données projet'!$A$191:$I$211,3,0)),0,VLOOKUP(A74,'Données projet'!$A$191:$I$211,3,0))</f>
        <v>6</v>
      </c>
      <c r="ER74" s="15">
        <f>IF(ISNA(VLOOKUP(A74,'Données projet'!$A$191:$I$211,4,0)),0,VLOOKUP(A74,'Données projet'!$A$191:$I$211,4,0))</f>
        <v>52.07</v>
      </c>
      <c r="ES74" s="16">
        <f>IF(ISNA(VLOOKUP(A74,'Données projet'!$A$191:$I$211,5,0)),0%,VLOOKUP(A74,'Données projet'!$A$191:$I$211,5,0)*VLOOKUP('Données projet'!$B$15,Paramètres!$A$1:$I$89,7,0))</f>
        <v>0.43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110.25023939253343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110.25023939253343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307.63</v>
      </c>
      <c r="O75" s="13">
        <f>N75*VLOOKUP('Données projet'!$B$9,Paramètres!$A$1:$I$89,3,0)*VLOOKUP('Données projet'!$B$9,Paramètres!$A$1:$I$89,5,0)</f>
        <v>278.34362399999998</v>
      </c>
      <c r="P75" s="13">
        <f t="shared" si="87"/>
        <v>66.616848235919136</v>
      </c>
      <c r="Q75" s="20">
        <f t="shared" si="54"/>
        <v>600.80615581089239</v>
      </c>
      <c r="R75" s="59">
        <f t="shared" si="55"/>
        <v>868.13787004841356</v>
      </c>
      <c r="S75" s="59">
        <f ca="1">AVERAGE(OFFSET($R$3,0,0,'Données projet'!$E$9+1,1))-AVERAGE(OFFSET($H$3,0,0,'Données projet'!$E$9+1,1))</f>
        <v>567.42635821336114</v>
      </c>
      <c r="T75" s="59">
        <f t="shared" si="88"/>
        <v>299.0473530693472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101.11486077024209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101.11486077024209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</v>
      </c>
      <c r="AI75" s="13">
        <f>IF('Données projet'!$A$62&gt;35,AI74+AH75-AQ74,IF(A75&lt;'Données projet'!$A$62,$AF$205^A75,IF(A75='Données projet'!$A$62,'Données projet'!$B$62,AI74+AH75-AQ74)))</f>
        <v>374.00000000000028</v>
      </c>
      <c r="AJ75" s="13">
        <f>AI75*VLOOKUP('Données projet'!$B$10,Paramètres!$A$1:$I$89,3,0)*VLOOKUP('Données projet'!$B$10,Paramètres!$A$1:$I$89,5,0)</f>
        <v>320.89200000000028</v>
      </c>
      <c r="AK75" s="13">
        <f t="shared" si="89"/>
        <v>75.53892153143687</v>
      </c>
      <c r="AL75" s="20">
        <f t="shared" si="58"/>
        <v>690.45052166725316</v>
      </c>
      <c r="AM75" s="59">
        <f t="shared" si="59"/>
        <v>957.78223590477432</v>
      </c>
      <c r="AN75" s="59">
        <f ca="1">AVERAGE(OFFSET($AM$3,0,0,'Données projet'!$E$10+1,1))-AVERAGE(OFFSET($H$3,0,0,'Données projet'!$E$10+1,1))</f>
        <v>570.05585579662738</v>
      </c>
      <c r="AO75" s="59">
        <f t="shared" si="90"/>
        <v>331.25104323342907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98.145618367848414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98.145618367848414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>
        <f>VLOOKUP(A75,'Données projet'!$A$87:$I$107,2,0)</f>
        <v>385.02</v>
      </c>
      <c r="BB75" s="12">
        <f>VLOOKUP(A75,'Données projet'!$A$87:$I$107,9,0)</f>
        <v>12.551428571428573</v>
      </c>
      <c r="BC75" s="12">
        <f t="array" ref="BC75">INDEX(BB:BB,MIN(IF(ISNUMBER(BB75:BB271),ROW(BB75:BB271),"")))</f>
        <v>12.551428571428573</v>
      </c>
      <c r="BD75" s="12">
        <f>IF('Données projet'!$A$88&gt;35,BD74+BC75-BL74,IF(A75&lt;'Données projet'!$A$88,$BA$205^A75,IF(A75='Données projet'!$A$88,'Données projet'!$B$88,BD74+BC75-BL74)))</f>
        <v>385.02000000000004</v>
      </c>
      <c r="BE75" s="13">
        <f>BD75*VLOOKUP('Données projet'!$B$11,Paramètres!$A$1:$I$89,3,0)*VLOOKUP('Données projet'!$B$11,Paramètres!$A$1:$I$89,5,0)</f>
        <v>324.34084800000005</v>
      </c>
      <c r="BF75" s="13">
        <f t="shared" si="91"/>
        <v>76.255842015925154</v>
      </c>
      <c r="BG75" s="20">
        <f t="shared" si="61"/>
        <v>697.70590177773647</v>
      </c>
      <c r="BH75" s="59">
        <f t="shared" si="62"/>
        <v>965.03761601525753</v>
      </c>
      <c r="BI75" s="59">
        <f ca="1">AVERAGE(OFFSET($BH$3,0,0,'Données projet'!$E$11+1,1))-AVERAGE(OFFSET($H$3,0,0,'Données projet'!$E$11+1,1))</f>
        <v>458.88102603650725</v>
      </c>
      <c r="BJ75" s="59">
        <f t="shared" si="92"/>
        <v>277.79020316059552</v>
      </c>
      <c r="BK75" s="15">
        <f>IF(ISNA(VLOOKUP(A75,'Données projet'!$A$87:$I$107,3,0)),0,VLOOKUP(A75,'Données projet'!$A$87:$I$107,3,0))</f>
        <v>7</v>
      </c>
      <c r="BL75" s="15">
        <f>IF(ISNA(VLOOKUP(A75,'Données projet'!$A$87:$I$107,4,0)),0,VLOOKUP(A75,'Données projet'!$A$87:$I$107,4,0))</f>
        <v>58.96</v>
      </c>
      <c r="BM75" s="16">
        <f>IF(ISNA(VLOOKUP(A75,'Données projet'!$A$87:$I$107,5,0)),0%,VLOOKUP(A75,'Données projet'!$A$87:$I$107,5,0)*VLOOKUP('Données projet'!$B$11,Paramètres!$A$1:$I$89,7,0))</f>
        <v>0.43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101.05812596721663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101.05812596721663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11.009999999999998</v>
      </c>
      <c r="BY75" s="12">
        <f>IF('Données projet'!$A$114&gt;35,BY74+BX75-CG74,IF(A75&lt;'Données projet'!$A$114,$BV$205^A75,IF(A75='Données projet'!$A$114,'Données projet'!$B$114,BY74+BX75-CG74)))</f>
        <v>307.63</v>
      </c>
      <c r="BZ75" s="13">
        <f>BY75*VLOOKUP('Données projet'!$B$12,Paramètres!$A$1:$I$89,3,0)*VLOOKUP('Données projet'!$B$12,Paramètres!$A$1:$I$89,5,0)</f>
        <v>292.74070800000004</v>
      </c>
      <c r="CA75" s="13">
        <f t="shared" si="93"/>
        <v>69.652474298028039</v>
      </c>
      <c r="CB75" s="20">
        <f t="shared" si="64"/>
        <v>631.16812583573221</v>
      </c>
      <c r="CC75" s="59">
        <f t="shared" si="65"/>
        <v>898.49984007325338</v>
      </c>
      <c r="CD75" s="59">
        <f ca="1">AVERAGE(OFFSET($CC$3,0,0,'Données projet'!$E$12+1,1))-AVERAGE(OFFSET($H$3,0,0,'Données projet'!$E$12+1,1))</f>
        <v>592.58528888957346</v>
      </c>
      <c r="CE75" s="59">
        <f t="shared" si="94"/>
        <v>311.31528017256846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106.34493977559944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106.34493977559944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0.8600000000003547</v>
      </c>
      <c r="CU75" s="17">
        <f>CT75*VLOOKUP('Données projet'!$B$13,Paramètres!$A$1:$I$89,3,0)*VLOOKUP('Données projet'!$B$13,Paramètres!$A$1:$I$89,5,0)</f>
        <v>0.48074000000019829</v>
      </c>
      <c r="CV75" s="13">
        <f t="shared" si="95"/>
        <v>0.24126147010950588</v>
      </c>
      <c r="CW75" s="20">
        <f t="shared" si="67"/>
        <v>1.2574858937744013</v>
      </c>
      <c r="CX75" s="59">
        <f t="shared" si="68"/>
        <v>268.58920013129551</v>
      </c>
      <c r="CY75" s="59">
        <f ca="1">AVERAGE(OFFSET($CX$3,0,0,'Données projet'!$E$13+1,1))-AVERAGE(OFFSET($H$3,0,0,'Données projet'!$E$13+1,1))</f>
        <v>420.4890915162182</v>
      </c>
      <c r="CZ75" s="59">
        <f t="shared" si="96"/>
        <v>553.48432338023565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265.5112589737933</v>
      </c>
      <c r="DG75" s="21">
        <f>EXP(-LN(2)/25)*DG74+(1-EXP(-LN(2)/25))/(LN(2)/25)*Calculateur!DB75*Calculateur!DD75*VLOOKUP('Données projet'!$B$13,Paramètres!$A$1:$I$89,3,0)*0.475*44/12</f>
        <v>15.782415790092632</v>
      </c>
      <c r="DH75" s="21">
        <f>EXP(-LN(2)/2)*DH74+(1-EXP(-LN(2)/2))/(LN(2)/2)*DB75*DE75*VLOOKUP('Données projet'!$B$13,Paramètres!$A$1:$I$89,3,0)*0.475*44/12</f>
        <v>3.528216023744641E-7</v>
      </c>
      <c r="DI75" s="22">
        <f t="shared" si="69"/>
        <v>281.2936751167075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11.009999999999998</v>
      </c>
      <c r="DO75" s="12">
        <f>IF('Données projet'!$A$166&gt;35,DO74+DN75-DW74,IF(A75&lt;'Données projet'!$A$166,$DL$205^A75,IF(A75='Données projet'!$A$166,'Données projet'!$B$166,DO74+DN75-DW74)))</f>
        <v>307.63</v>
      </c>
      <c r="DP75" s="17">
        <f>DO75*VLOOKUP('Données projet'!$B$14,Paramètres!$A$1:$I$89,3,0)*VLOOKUP('Données projet'!$B$14,Paramètres!$A$1:$I$89,5,0)</f>
        <v>331.13293199999998</v>
      </c>
      <c r="DQ75" s="13">
        <f t="shared" si="97"/>
        <v>77.665146008157507</v>
      </c>
      <c r="DR75" s="20">
        <f t="shared" si="70"/>
        <v>711.9899858642076</v>
      </c>
      <c r="DS75" s="59">
        <f t="shared" si="71"/>
        <v>979.32170010172877</v>
      </c>
      <c r="DT75" s="59">
        <f ca="1">AVERAGE(OFFSET($DS$3,0,0,'Données projet'!$E$14+1,1))-AVERAGE(OFFSET($H$3,0,0,'Données projet'!$E$14+1,1))</f>
        <v>659.55755908012691</v>
      </c>
      <c r="DU75" s="59">
        <f t="shared" si="98"/>
        <v>343.96647464823627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120.29181712321899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120.29181712321899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11.009999999999998</v>
      </c>
      <c r="EJ75" s="12">
        <f>IF('Données projet'!$A$192&gt;35,EJ74+EI75-ER74,IF(A75&lt;'Données projet'!$A$192,$EG$205^A75,IF(A75='Données projet'!$A$192,'Données projet'!$B$192,EJ74+EI75-ER74)))</f>
        <v>307.63</v>
      </c>
      <c r="EK75" s="17">
        <f>EJ75*VLOOKUP('Données projet'!$B$15,Paramètres!$A$1:$I$89,3,0)*VLOOKUP('Données projet'!$B$15,Paramètres!$A$1:$I$89,5,0)</f>
        <v>297.539736</v>
      </c>
      <c r="EL75" s="13">
        <f t="shared" si="99"/>
        <v>70.66045071645857</v>
      </c>
      <c r="EM75" s="20">
        <f t="shared" si="73"/>
        <v>641.28199186449865</v>
      </c>
      <c r="EN75" s="59">
        <f t="shared" si="74"/>
        <v>908.61370610201971</v>
      </c>
      <c r="EO75" s="59">
        <f ca="1">AVERAGE(OFFSET($EN$3,0,0,'Données projet'!$E$15+1,1))-AVERAGE(OFFSET($H$3,0,0,'Données projet'!$E$15+1,1))</f>
        <v>600.96600099541388</v>
      </c>
      <c r="EP75" s="59">
        <f t="shared" si="100"/>
        <v>315.40159257508969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108.08829944405188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108.08829944405188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318.64</v>
      </c>
      <c r="O76" s="13">
        <f>N76*VLOOKUP('Données projet'!$B$9,Paramètres!$A$1:$I$89,3,0)*VLOOKUP('Données projet'!$B$9,Paramètres!$A$1:$I$89,5,0)</f>
        <v>288.30547200000001</v>
      </c>
      <c r="P76" s="13">
        <f t="shared" si="87"/>
        <v>68.719196733788849</v>
      </c>
      <c r="Q76" s="20">
        <f t="shared" si="54"/>
        <v>621.81796471134885</v>
      </c>
      <c r="R76" s="59">
        <f t="shared" si="55"/>
        <v>889.60074890927058</v>
      </c>
      <c r="S76" s="59">
        <f ca="1">AVERAGE(OFFSET($R$3,0,0,'Données projet'!$E$9+1,1))-AVERAGE(OFFSET($H$3,0,0,'Données projet'!$E$9+1,1))</f>
        <v>567.42635821336114</v>
      </c>
      <c r="T76" s="59">
        <f t="shared" si="88"/>
        <v>299.0473530693472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99.13206002451291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99.13206002451291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</v>
      </c>
      <c r="AI76" s="13">
        <f>IF('Données projet'!$A$62&gt;35,AI75+AH76-AQ75,IF(A76&lt;'Données projet'!$A$62,$AF$205^A76,IF(A76='Données projet'!$A$62,'Données projet'!$B$62,AI75+AH76-AQ75)))</f>
        <v>385.00000000000028</v>
      </c>
      <c r="AJ76" s="13">
        <f>AI76*VLOOKUP('Données projet'!$B$10,Paramètres!$A$1:$I$89,3,0)*VLOOKUP('Données projet'!$B$10,Paramètres!$A$1:$I$89,5,0)</f>
        <v>330.33000000000027</v>
      </c>
      <c r="AK76" s="13">
        <f t="shared" si="89"/>
        <v>77.498720610826155</v>
      </c>
      <c r="AL76" s="20">
        <f t="shared" si="58"/>
        <v>710.3016883971892</v>
      </c>
      <c r="AM76" s="59">
        <f t="shared" si="59"/>
        <v>978.08447259511104</v>
      </c>
      <c r="AN76" s="59">
        <f ca="1">AVERAGE(OFFSET($AM$3,0,0,'Données projet'!$E$10+1,1))-AVERAGE(OFFSET($H$3,0,0,'Données projet'!$E$10+1,1))</f>
        <v>570.05585579662738</v>
      </c>
      <c r="AO76" s="59">
        <f t="shared" si="90"/>
        <v>331.25104323342907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96.221042654571136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96.221042654571136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11.91333333333333</v>
      </c>
      <c r="BD76" s="12">
        <f>IF('Données projet'!$A$88&gt;35,BD75+BC76-BL75,IF(A76&lt;'Données projet'!$A$88,$BA$205^A76,IF(A76='Données projet'!$A$88,'Données projet'!$B$88,BD75+BC76-BL75)))</f>
        <v>337.97333333333341</v>
      </c>
      <c r="BE76" s="13">
        <f>BD76*VLOOKUP('Données projet'!$B$11,Paramètres!$A$1:$I$89,3,0)*VLOOKUP('Données projet'!$B$11,Paramètres!$A$1:$I$89,5,0)</f>
        <v>284.7087360000001</v>
      </c>
      <c r="BF76" s="13">
        <f t="shared" si="91"/>
        <v>67.961132259398013</v>
      </c>
      <c r="BG76" s="20">
        <f t="shared" si="61"/>
        <v>614.23335388511839</v>
      </c>
      <c r="BH76" s="59">
        <f t="shared" si="62"/>
        <v>882.01613808304023</v>
      </c>
      <c r="BI76" s="59">
        <f ca="1">AVERAGE(OFFSET($BH$3,0,0,'Données projet'!$E$11+1,1))-AVERAGE(OFFSET($H$3,0,0,'Données projet'!$E$11+1,1))</f>
        <v>458.88102603650725</v>
      </c>
      <c r="BJ76" s="59">
        <f t="shared" si="92"/>
        <v>277.79020316059552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99.07643775636997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99.07643775636997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11.009999999999998</v>
      </c>
      <c r="BY76" s="12">
        <f>IF('Données projet'!$A$114&gt;35,BY75+BX76-CG75,IF(A76&lt;'Données projet'!$A$114,$BV$205^A76,IF(A76='Données projet'!$A$114,'Données projet'!$B$114,BY75+BX76-CG75)))</f>
        <v>318.64</v>
      </c>
      <c r="BZ76" s="13">
        <f>BY76*VLOOKUP('Données projet'!$B$12,Paramètres!$A$1:$I$89,3,0)*VLOOKUP('Données projet'!$B$12,Paramètres!$A$1:$I$89,5,0)</f>
        <v>303.21782400000001</v>
      </c>
      <c r="CA76" s="13">
        <f t="shared" si="93"/>
        <v>71.850623543918246</v>
      </c>
      <c r="CB76" s="20">
        <f t="shared" si="64"/>
        <v>653.24421280565764</v>
      </c>
      <c r="CC76" s="59">
        <f t="shared" si="65"/>
        <v>921.02699700357948</v>
      </c>
      <c r="CD76" s="59">
        <f ca="1">AVERAGE(OFFSET($CC$3,0,0,'Données projet'!$E$12+1,1))-AVERAGE(OFFSET($H$3,0,0,'Données projet'!$E$12+1,1))</f>
        <v>592.58528888957346</v>
      </c>
      <c r="CE76" s="59">
        <f t="shared" si="94"/>
        <v>311.31528017256846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104.25958037060842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104.25958037060842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0.8600000000003547</v>
      </c>
      <c r="CU76" s="17">
        <f>CT76*VLOOKUP('Données projet'!$B$13,Paramètres!$A$1:$I$89,3,0)*VLOOKUP('Données projet'!$B$13,Paramètres!$A$1:$I$89,5,0)</f>
        <v>0.48074000000019829</v>
      </c>
      <c r="CV76" s="13">
        <f t="shared" si="95"/>
        <v>0.24126147010950588</v>
      </c>
      <c r="CW76" s="20">
        <f t="shared" si="67"/>
        <v>1.2574858937744013</v>
      </c>
      <c r="CX76" s="59">
        <f t="shared" si="68"/>
        <v>269.04027009169619</v>
      </c>
      <c r="CY76" s="59">
        <f ca="1">AVERAGE(OFFSET($CX$3,0,0,'Données projet'!$E$13+1,1))-AVERAGE(OFFSET($H$3,0,0,'Données projet'!$E$13+1,1))</f>
        <v>420.4890915162182</v>
      </c>
      <c r="CZ76" s="59">
        <f t="shared" si="96"/>
        <v>553.48432338023565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260.30474513119435</v>
      </c>
      <c r="DG76" s="21">
        <f>EXP(-LN(2)/25)*DG75+(1-EXP(-LN(2)/25))/(LN(2)/25)*Calculateur!DB76*Calculateur!DD76*VLOOKUP('Données projet'!$B$13,Paramètres!$A$1:$I$89,3,0)*0.475*44/12</f>
        <v>15.350844800351373</v>
      </c>
      <c r="DH76" s="21">
        <f>EXP(-LN(2)/2)*DH75+(1-EXP(-LN(2)/2))/(LN(2)/2)*DB76*DE76*VLOOKUP('Données projet'!$B$13,Paramètres!$A$1:$I$89,3,0)*0.475*44/12</f>
        <v>2.4948254758808726E-7</v>
      </c>
      <c r="DI76" s="22">
        <f t="shared" si="69"/>
        <v>275.65559018102823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11.009999999999998</v>
      </c>
      <c r="DO76" s="12">
        <f>IF('Données projet'!$A$166&gt;35,DO75+DN76-DW75,IF(A76&lt;'Données projet'!$A$166,$DL$205^A76,IF(A76='Données projet'!$A$166,'Données projet'!$B$166,DO75+DN76-DW75)))</f>
        <v>318.64</v>
      </c>
      <c r="DP76" s="17">
        <f>DO76*VLOOKUP('Données projet'!$B$14,Paramètres!$A$1:$I$89,3,0)*VLOOKUP('Données projet'!$B$14,Paramètres!$A$1:$I$89,5,0)</f>
        <v>342.98409599999997</v>
      </c>
      <c r="DQ76" s="13">
        <f t="shared" si="97"/>
        <v>80.116165643143006</v>
      </c>
      <c r="DR76" s="20">
        <f t="shared" si="70"/>
        <v>736.89962236180736</v>
      </c>
      <c r="DS76" s="59">
        <f t="shared" si="71"/>
        <v>1004.6824065597291</v>
      </c>
      <c r="DT76" s="59">
        <f ca="1">AVERAGE(OFFSET($DS$3,0,0,'Données projet'!$E$14+1,1))-AVERAGE(OFFSET($H$3,0,0,'Données projet'!$E$14+1,1))</f>
        <v>659.55755908012691</v>
      </c>
      <c r="DU76" s="59">
        <f t="shared" si="98"/>
        <v>343.96647464823627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117.93296796019635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117.93296796019635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11.009999999999998</v>
      </c>
      <c r="EJ76" s="12">
        <f>IF('Données projet'!$A$192&gt;35,EJ75+EI76-ER75,IF(A76&lt;'Données projet'!$A$192,$EG$205^A76,IF(A76='Données projet'!$A$192,'Données projet'!$B$192,EJ75+EI76-ER75)))</f>
        <v>318.64</v>
      </c>
      <c r="EK76" s="17">
        <f>EJ76*VLOOKUP('Données projet'!$B$15,Paramètres!$A$1:$I$89,3,0)*VLOOKUP('Données projet'!$B$15,Paramètres!$A$1:$I$89,5,0)</f>
        <v>308.18860799999999</v>
      </c>
      <c r="EL76" s="13">
        <f t="shared" si="99"/>
        <v>72.890410499251857</v>
      </c>
      <c r="EM76" s="20">
        <f t="shared" si="73"/>
        <v>663.71262388619687</v>
      </c>
      <c r="EN76" s="59">
        <f t="shared" si="74"/>
        <v>931.49540808411871</v>
      </c>
      <c r="EO76" s="59">
        <f ca="1">AVERAGE(OFFSET($EN$3,0,0,'Données projet'!$E$15+1,1))-AVERAGE(OFFSET($H$3,0,0,'Données projet'!$E$15+1,1))</f>
        <v>600.96600099541388</v>
      </c>
      <c r="EP76" s="59">
        <f t="shared" si="100"/>
        <v>315.40159257508969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105.9687538193069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105.9687538193069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329.65</v>
      </c>
      <c r="O77" s="13">
        <f>N77*VLOOKUP('Données projet'!$B$9,Paramètres!$A$1:$I$89,3,0)*VLOOKUP('Données projet'!$B$9,Paramètres!$A$1:$I$89,5,0)</f>
        <v>298.26731999999998</v>
      </c>
      <c r="P77" s="13">
        <f t="shared" si="87"/>
        <v>70.813104833271197</v>
      </c>
      <c r="Q77" s="20">
        <f t="shared" si="54"/>
        <v>642.81507325128075</v>
      </c>
      <c r="R77" s="59">
        <f t="shared" si="55"/>
        <v>911.04110235423161</v>
      </c>
      <c r="S77" s="59">
        <f ca="1">AVERAGE(OFFSET($R$3,0,0,'Données projet'!$E$9+1,1))-AVERAGE(OFFSET($H$3,0,0,'Données projet'!$E$9+1,1))</f>
        <v>567.42635821336114</v>
      </c>
      <c r="T77" s="59">
        <f t="shared" si="88"/>
        <v>299.0473530693472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97.188140792018444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97.188140792018444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</v>
      </c>
      <c r="AI77" s="13">
        <f>IF('Données projet'!$A$62&gt;35,AI76+AH77-AQ76,IF(A77&lt;'Données projet'!$A$62,$AF$205^A77,IF(A77='Données projet'!$A$62,'Données projet'!$B$62,AI76+AH77-AQ76)))</f>
        <v>396.00000000000028</v>
      </c>
      <c r="AJ77" s="13">
        <f>AI77*VLOOKUP('Données projet'!$B$10,Paramètres!$A$1:$I$89,3,0)*VLOOKUP('Données projet'!$B$10,Paramètres!$A$1:$I$89,5,0)</f>
        <v>339.76800000000031</v>
      </c>
      <c r="AK77" s="13">
        <f t="shared" si="89"/>
        <v>79.452011848891985</v>
      </c>
      <c r="AL77" s="20">
        <f t="shared" si="58"/>
        <v>730.1415206368207</v>
      </c>
      <c r="AM77" s="59">
        <f t="shared" si="59"/>
        <v>998.36754973977156</v>
      </c>
      <c r="AN77" s="59">
        <f ca="1">AVERAGE(OFFSET($AM$3,0,0,'Données projet'!$E$10+1,1))-AVERAGE(OFFSET($H$3,0,0,'Données projet'!$E$10+1,1))</f>
        <v>570.05585579662738</v>
      </c>
      <c r="AO77" s="59">
        <f t="shared" si="90"/>
        <v>331.25104323342907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94.334206697155949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94.334206697155949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11.91333333333333</v>
      </c>
      <c r="BD77" s="12">
        <f>IF('Données projet'!$A$88&gt;35,BD76+BC77-BL76,IF(A77&lt;'Données projet'!$A$88,$BA$205^A77,IF(A77='Données projet'!$A$88,'Données projet'!$B$88,BD76+BC77-BL76)))</f>
        <v>349.88666666666677</v>
      </c>
      <c r="BE77" s="13">
        <f>BD77*VLOOKUP('Données projet'!$B$11,Paramètres!$A$1:$I$89,3,0)*VLOOKUP('Données projet'!$B$11,Paramètres!$A$1:$I$89,5,0)</f>
        <v>294.74452800000012</v>
      </c>
      <c r="BF77" s="13">
        <f t="shared" si="91"/>
        <v>70.073583987292722</v>
      </c>
      <c r="BG77" s="20">
        <f t="shared" si="61"/>
        <v>635.39154504453484</v>
      </c>
      <c r="BH77" s="59">
        <f t="shared" si="62"/>
        <v>903.6175741474857</v>
      </c>
      <c r="BI77" s="59">
        <f ca="1">AVERAGE(OFFSET($BH$3,0,0,'Données projet'!$E$11+1,1))-AVERAGE(OFFSET($H$3,0,0,'Données projet'!$E$11+1,1))</f>
        <v>458.88102603650725</v>
      </c>
      <c r="BJ77" s="59">
        <f t="shared" si="92"/>
        <v>277.79020316059552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97.133609242627557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97.133609242627557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11.009999999999998</v>
      </c>
      <c r="BY77" s="12">
        <f>IF('Données projet'!$A$114&gt;35,BY76+BX77-CG76,IF(A77&lt;'Données projet'!$A$114,$BV$205^A77,IF(A77='Données projet'!$A$114,'Données projet'!$B$114,BY76+BX77-CG76)))</f>
        <v>329.65</v>
      </c>
      <c r="BZ77" s="13">
        <f>BY77*VLOOKUP('Données projet'!$B$12,Paramètres!$A$1:$I$89,3,0)*VLOOKUP('Données projet'!$B$12,Paramètres!$A$1:$I$89,5,0)</f>
        <v>313.69493999999997</v>
      </c>
      <c r="CA77" s="13">
        <f t="shared" si="93"/>
        <v>74.03994777560689</v>
      </c>
      <c r="CB77" s="20">
        <f t="shared" si="64"/>
        <v>675.3049295425152</v>
      </c>
      <c r="CC77" s="59">
        <f t="shared" si="65"/>
        <v>943.53095864546606</v>
      </c>
      <c r="CD77" s="59">
        <f ca="1">AVERAGE(OFFSET($CC$3,0,0,'Données projet'!$E$12+1,1))-AVERAGE(OFFSET($H$3,0,0,'Données projet'!$E$12+1,1))</f>
        <v>592.58528888957346</v>
      </c>
      <c r="CE77" s="59">
        <f t="shared" si="94"/>
        <v>311.31528017256846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102.21511359160561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102.21511359160561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0.8600000000003547</v>
      </c>
      <c r="CU77" s="17">
        <f>CT77*VLOOKUP('Données projet'!$B$13,Paramètres!$A$1:$I$89,3,0)*VLOOKUP('Données projet'!$B$13,Paramètres!$A$1:$I$89,5,0)</f>
        <v>0.48074000000019829</v>
      </c>
      <c r="CV77" s="13">
        <f t="shared" si="95"/>
        <v>0.24126147010950588</v>
      </c>
      <c r="CW77" s="20">
        <f t="shared" si="67"/>
        <v>1.2574858937744013</v>
      </c>
      <c r="CX77" s="59">
        <f t="shared" si="68"/>
        <v>269.48351499672526</v>
      </c>
      <c r="CY77" s="59">
        <f ca="1">AVERAGE(OFFSET($CX$3,0,0,'Données projet'!$E$13+1,1))-AVERAGE(OFFSET($H$3,0,0,'Données projet'!$E$13+1,1))</f>
        <v>420.4890915162182</v>
      </c>
      <c r="CZ77" s="59">
        <f t="shared" si="96"/>
        <v>553.48432338023565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255.20032784938891</v>
      </c>
      <c r="DG77" s="21">
        <f>EXP(-LN(2)/25)*DG76+(1-EXP(-LN(2)/25))/(LN(2)/25)*Calculateur!DB77*Calculateur!DD77*VLOOKUP('Données projet'!$B$13,Paramètres!$A$1:$I$89,3,0)*0.475*44/12</f>
        <v>14.931075142019921</v>
      </c>
      <c r="DH77" s="21">
        <f>EXP(-LN(2)/2)*DH76+(1-EXP(-LN(2)/2))/(LN(2)/2)*DB77*DE77*VLOOKUP('Données projet'!$B$13,Paramètres!$A$1:$I$89,3,0)*0.475*44/12</f>
        <v>1.7641080118723205E-7</v>
      </c>
      <c r="DI77" s="22">
        <f t="shared" si="69"/>
        <v>270.13140316781966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11.009999999999998</v>
      </c>
      <c r="DO77" s="12">
        <f>IF('Données projet'!$A$166&gt;35,DO76+DN77-DW76,IF(A77&lt;'Données projet'!$A$166,$DL$205^A77,IF(A77='Données projet'!$A$166,'Données projet'!$B$166,DO76+DN77-DW76)))</f>
        <v>329.65</v>
      </c>
      <c r="DP77" s="17">
        <f>DO77*VLOOKUP('Données projet'!$B$14,Paramètres!$A$1:$I$89,3,0)*VLOOKUP('Données projet'!$B$14,Paramètres!$A$1:$I$89,5,0)</f>
        <v>354.83525999999995</v>
      </c>
      <c r="DQ77" s="13">
        <f t="shared" si="97"/>
        <v>82.557345053163033</v>
      </c>
      <c r="DR77" s="20">
        <f t="shared" si="70"/>
        <v>761.79212046759221</v>
      </c>
      <c r="DS77" s="59">
        <f t="shared" si="71"/>
        <v>1030.0181495705431</v>
      </c>
      <c r="DT77" s="59">
        <f ca="1">AVERAGE(OFFSET($DS$3,0,0,'Données projet'!$E$14+1,1))-AVERAGE(OFFSET($H$3,0,0,'Données projet'!$E$14+1,1))</f>
        <v>659.55755908012691</v>
      </c>
      <c r="DU77" s="59">
        <f t="shared" si="98"/>
        <v>343.96647464823627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115.62037439050467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115.62037439050467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11.009999999999998</v>
      </c>
      <c r="EJ77" s="12">
        <f>IF('Données projet'!$A$192&gt;35,EJ76+EI77-ER76,IF(A77&lt;'Données projet'!$A$192,$EG$205^A77,IF(A77='Données projet'!$A$192,'Données projet'!$B$192,EJ76+EI77-ER76)))</f>
        <v>329.65</v>
      </c>
      <c r="EK77" s="17">
        <f>EJ77*VLOOKUP('Données projet'!$B$15,Paramètres!$A$1:$I$89,3,0)*VLOOKUP('Données projet'!$B$15,Paramètres!$A$1:$I$89,5,0)</f>
        <v>318.83747999999997</v>
      </c>
      <c r="EL77" s="13">
        <f t="shared" si="99"/>
        <v>75.111417556569961</v>
      </c>
      <c r="EM77" s="20">
        <f t="shared" si="73"/>
        <v>686.12766324435927</v>
      </c>
      <c r="EN77" s="59">
        <f t="shared" si="74"/>
        <v>954.35369234731013</v>
      </c>
      <c r="EO77" s="59">
        <f ca="1">AVERAGE(OFFSET($EN$3,0,0,'Données projet'!$E$15+1,1))-AVERAGE(OFFSET($H$3,0,0,'Données projet'!$E$15+1,1))</f>
        <v>600.96600099541388</v>
      </c>
      <c r="EP77" s="59">
        <f t="shared" si="100"/>
        <v>315.40159257508969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103.89077119146799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103.89077119146799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340.65999999999997</v>
      </c>
      <c r="O78" s="13">
        <f>N78*VLOOKUP('Données projet'!$B$9,Paramètres!$A$1:$I$89,3,0)*VLOOKUP('Données projet'!$B$9,Paramètres!$A$1:$I$89,5,0)</f>
        <v>308.22916799999996</v>
      </c>
      <c r="P78" s="13">
        <f t="shared" si="87"/>
        <v>72.898886756758046</v>
      </c>
      <c r="Q78" s="20">
        <f t="shared" si="54"/>
        <v>663.79802870135347</v>
      </c>
      <c r="R78" s="59">
        <f t="shared" si="55"/>
        <v>932.45961340117833</v>
      </c>
      <c r="S78" s="59">
        <f ca="1">AVERAGE(OFFSET($R$3,0,0,'Données projet'!$E$9+1,1))-AVERAGE(OFFSET($H$3,0,0,'Données projet'!$E$9+1,1))</f>
        <v>567.42635821336114</v>
      </c>
      <c r="T78" s="59">
        <f t="shared" si="88"/>
        <v>299.0473530693472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95.282340629999538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95.282340629999538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407</v>
      </c>
      <c r="AG78" s="12">
        <f>VLOOKUP(A78,'Données projet'!$A$61:$I$81,9,0)</f>
        <v>11</v>
      </c>
      <c r="AH78" s="12">
        <f t="array" ref="AH78">INDEX(AG:AG,MIN(IF(ISNUMBER(AG78:AG274),ROW(AG78:AG274),"")))</f>
        <v>11</v>
      </c>
      <c r="AI78" s="13">
        <f>IF('Données projet'!$A$62&gt;35,AI77+AH78-AQ77,IF(A78&lt;'Données projet'!$A$62,$AF$205^A78,IF(A78='Données projet'!$A$62,'Données projet'!$B$62,AI77+AH78-AQ77)))</f>
        <v>407.00000000000028</v>
      </c>
      <c r="AJ78" s="13">
        <f>AI78*VLOOKUP('Données projet'!$B$10,Paramètres!$A$1:$I$89,3,0)*VLOOKUP('Données projet'!$B$10,Paramètres!$A$1:$I$89,5,0)</f>
        <v>349.20600000000024</v>
      </c>
      <c r="AK78" s="13">
        <f t="shared" si="89"/>
        <v>81.39899678761104</v>
      </c>
      <c r="AL78" s="20">
        <f t="shared" si="58"/>
        <v>749.97036940508963</v>
      </c>
      <c r="AM78" s="59">
        <f t="shared" si="59"/>
        <v>1018.6319541049145</v>
      </c>
      <c r="AN78" s="59">
        <f ca="1">AVERAGE(OFFSET($AM$3,0,0,'Données projet'!$E$10+1,1))-AVERAGE(OFFSET($H$3,0,0,'Données projet'!$E$10+1,1))</f>
        <v>570.05585579662738</v>
      </c>
      <c r="AO78" s="59">
        <f t="shared" si="90"/>
        <v>331.25104323342907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35</v>
      </c>
      <c r="AR78" s="16">
        <f>IF(ISNA(VLOOKUP(A78,'Données projet'!$A$61:$I$81,5,0)),0%,VLOOKUP(A78,'Données projet'!$A$61:$I$81,5,0)*VLOOKUP('Données projet'!$B$10,Paramètres!$A$1:$I$89,7,0))</f>
        <v>0.53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110.07892645561786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110.07892645561786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11.91333333333333</v>
      </c>
      <c r="BD78" s="12">
        <f>IF('Données projet'!$A$88&gt;35,BD77+BC78-BL77,IF(A78&lt;'Données projet'!$A$88,$BA$205^A78,IF(A78='Données projet'!$A$88,'Données projet'!$B$88,BD77+BC78-BL77)))</f>
        <v>361.80000000000013</v>
      </c>
      <c r="BE78" s="13">
        <f>BD78*VLOOKUP('Données projet'!$B$11,Paramètres!$A$1:$I$89,3,0)*VLOOKUP('Données projet'!$B$11,Paramètres!$A$1:$I$89,5,0)</f>
        <v>304.78032000000013</v>
      </c>
      <c r="BF78" s="13">
        <f t="shared" si="91"/>
        <v>72.177678261219015</v>
      </c>
      <c r="BG78" s="20">
        <f t="shared" si="61"/>
        <v>656.53518030495661</v>
      </c>
      <c r="BH78" s="59">
        <f t="shared" si="62"/>
        <v>925.19676500478135</v>
      </c>
      <c r="BI78" s="59">
        <f ca="1">AVERAGE(OFFSET($BH$3,0,0,'Données projet'!$E$11+1,1))-AVERAGE(OFFSET($H$3,0,0,'Données projet'!$E$11+1,1))</f>
        <v>458.88102603650725</v>
      </c>
      <c r="BJ78" s="59">
        <f t="shared" si="92"/>
        <v>277.79020316059552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95.228878411031246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95.228878411031246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11.009999999999998</v>
      </c>
      <c r="BY78" s="12">
        <f>IF('Données projet'!$A$114&gt;35,BY77+BX78-CG77,IF(A78&lt;'Données projet'!$A$114,$BV$205^A78,IF(A78='Données projet'!$A$114,'Données projet'!$B$114,BY77+BX78-CG77)))</f>
        <v>340.65999999999997</v>
      </c>
      <c r="BZ78" s="13">
        <f>BY78*VLOOKUP('Données projet'!$B$12,Paramètres!$A$1:$I$89,3,0)*VLOOKUP('Données projet'!$B$12,Paramètres!$A$1:$I$89,5,0)</f>
        <v>324.172056</v>
      </c>
      <c r="CA78" s="13">
        <f t="shared" si="93"/>
        <v>76.220775534111311</v>
      </c>
      <c r="CB78" s="20">
        <f t="shared" si="64"/>
        <v>697.35084825524393</v>
      </c>
      <c r="CC78" s="59">
        <f t="shared" si="65"/>
        <v>966.01243295506879</v>
      </c>
      <c r="CD78" s="59">
        <f ca="1">AVERAGE(OFFSET($CC$3,0,0,'Données projet'!$E$12+1,1))-AVERAGE(OFFSET($H$3,0,0,'Données projet'!$E$12+1,1))</f>
        <v>592.58528888957346</v>
      </c>
      <c r="CE78" s="59">
        <f t="shared" si="94"/>
        <v>311.31528017256846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100.21073755913746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100.21073755913746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0.8600000000003547</v>
      </c>
      <c r="CU78" s="17">
        <f>CT78*VLOOKUP('Données projet'!$B$13,Paramètres!$A$1:$I$89,3,0)*VLOOKUP('Données projet'!$B$13,Paramètres!$A$1:$I$89,5,0)</f>
        <v>0.48074000000019829</v>
      </c>
      <c r="CV78" s="13">
        <f t="shared" si="95"/>
        <v>0.24126147010950588</v>
      </c>
      <c r="CW78" s="20">
        <f t="shared" si="67"/>
        <v>1.2574858937744013</v>
      </c>
      <c r="CX78" s="59">
        <f t="shared" si="68"/>
        <v>269.9190705935992</v>
      </c>
      <c r="CY78" s="59">
        <f ca="1">AVERAGE(OFFSET($CX$3,0,0,'Données projet'!$E$13+1,1))-AVERAGE(OFFSET($H$3,0,0,'Données projet'!$E$13+1,1))</f>
        <v>420.4890915162182</v>
      </c>
      <c r="CZ78" s="59">
        <f t="shared" si="96"/>
        <v>553.48432338023565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250.19600507709254</v>
      </c>
      <c r="DG78" s="21">
        <f>EXP(-LN(2)/25)*DG77+(1-EXP(-LN(2)/25))/(LN(2)/25)*Calculateur!DB78*Calculateur!DD78*VLOOKUP('Données projet'!$B$13,Paramètres!$A$1:$I$89,3,0)*0.475*44/12</f>
        <v>14.522784107070271</v>
      </c>
      <c r="DH78" s="21">
        <f>EXP(-LN(2)/2)*DH77+(1-EXP(-LN(2)/2))/(LN(2)/2)*DB78*DE78*VLOOKUP('Données projet'!$B$13,Paramètres!$A$1:$I$89,3,0)*0.475*44/12</f>
        <v>1.2474127379404363E-7</v>
      </c>
      <c r="DI78" s="22">
        <f t="shared" si="69"/>
        <v>264.71878930890409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11.009999999999998</v>
      </c>
      <c r="DO78" s="12">
        <f>IF('Données projet'!$A$166&gt;35,DO77+DN78-DW77,IF(A78&lt;'Données projet'!$A$166,$DL$205^A78,IF(A78='Données projet'!$A$166,'Données projet'!$B$166,DO77+DN78-DW77)))</f>
        <v>340.65999999999997</v>
      </c>
      <c r="DP78" s="17">
        <f>DO78*VLOOKUP('Données projet'!$B$14,Paramètres!$A$1:$I$89,3,0)*VLOOKUP('Données projet'!$B$14,Paramètres!$A$1:$I$89,5,0)</f>
        <v>366.68642399999993</v>
      </c>
      <c r="DQ78" s="13">
        <f t="shared" si="97"/>
        <v>84.989050573891006</v>
      </c>
      <c r="DR78" s="20">
        <f t="shared" si="70"/>
        <v>786.66811821619331</v>
      </c>
      <c r="DS78" s="59">
        <f t="shared" si="71"/>
        <v>1055.3297029160181</v>
      </c>
      <c r="DT78" s="59">
        <f ca="1">AVERAGE(OFFSET($DS$3,0,0,'Données projet'!$E$14+1,1))-AVERAGE(OFFSET($H$3,0,0,'Données projet'!$E$14+1,1))</f>
        <v>659.55755908012691</v>
      </c>
      <c r="DU78" s="59">
        <f t="shared" si="98"/>
        <v>343.96647464823627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113.35312937017183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113.35312937017183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11.009999999999998</v>
      </c>
      <c r="EJ78" s="12">
        <f>IF('Données projet'!$A$192&gt;35,EJ77+EI78-ER77,IF(A78&lt;'Données projet'!$A$192,$EG$205^A78,IF(A78='Données projet'!$A$192,'Données projet'!$B$192,EJ77+EI78-ER77)))</f>
        <v>340.65999999999997</v>
      </c>
      <c r="EK78" s="17">
        <f>EJ78*VLOOKUP('Données projet'!$B$15,Paramètres!$A$1:$I$89,3,0)*VLOOKUP('Données projet'!$B$15,Paramètres!$A$1:$I$89,5,0)</f>
        <v>329.48635199999995</v>
      </c>
      <c r="EL78" s="13">
        <f t="shared" si="99"/>
        <v>77.323805183914374</v>
      </c>
      <c r="EM78" s="20">
        <f t="shared" si="73"/>
        <v>708.52769042865077</v>
      </c>
      <c r="EN78" s="59">
        <f t="shared" si="74"/>
        <v>977.18927512847563</v>
      </c>
      <c r="EO78" s="59">
        <f ca="1">AVERAGE(OFFSET($EN$3,0,0,'Données projet'!$E$15+1,1))-AVERAGE(OFFSET($H$3,0,0,'Données projet'!$E$15+1,1))</f>
        <v>600.96600099541388</v>
      </c>
      <c r="EP78" s="59">
        <f t="shared" si="100"/>
        <v>315.40159257508969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101.85353653551675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101.85353653551675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351.66999999999996</v>
      </c>
      <c r="O79" s="13">
        <f>N79*VLOOKUP('Données projet'!$B$9,Paramètres!$A$1:$I$89,3,0)*VLOOKUP('Données projet'!$B$9,Paramètres!$A$1:$I$89,5,0)</f>
        <v>318.19101599999993</v>
      </c>
      <c r="P79" s="13">
        <f t="shared" si="87"/>
        <v>74.976835262469947</v>
      </c>
      <c r="Q79" s="20">
        <f t="shared" si="54"/>
        <v>684.76734094880157</v>
      </c>
      <c r="R79" s="59">
        <f t="shared" si="55"/>
        <v>953.85692532965095</v>
      </c>
      <c r="S79" s="59">
        <f ca="1">AVERAGE(OFFSET($R$3,0,0,'Données projet'!$E$9+1,1))-AVERAGE(OFFSET($H$3,0,0,'Données projet'!$E$9+1,1))</f>
        <v>567.42635821336114</v>
      </c>
      <c r="T79" s="59">
        <f t="shared" si="88"/>
        <v>299.0473530693472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93.413912046734509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93.413912046734509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10.4</v>
      </c>
      <c r="AI79" s="13">
        <f>IF('Données projet'!$A$62&gt;35,AI78+AH79-AQ78,IF(A79&lt;'Données projet'!$A$62,$AF$205^A79,IF(A79='Données projet'!$A$62,'Données projet'!$B$62,AI78+AH79-AQ78)))</f>
        <v>382.40000000000026</v>
      </c>
      <c r="AJ79" s="13">
        <f>AI79*VLOOKUP('Données projet'!$B$10,Paramètres!$A$1:$I$89,3,0)*VLOOKUP('Données projet'!$B$10,Paramètres!$A$1:$I$89,5,0)</f>
        <v>328.09920000000028</v>
      </c>
      <c r="AK79" s="13">
        <f t="shared" si="89"/>
        <v>77.036090442258143</v>
      </c>
      <c r="AL79" s="20">
        <f t="shared" si="58"/>
        <v>705.61063085360013</v>
      </c>
      <c r="AM79" s="59">
        <f t="shared" si="59"/>
        <v>974.70021523444962</v>
      </c>
      <c r="AN79" s="59">
        <f ca="1">AVERAGE(OFFSET($AM$3,0,0,'Données projet'!$E$10+1,1))-AVERAGE(OFFSET($H$3,0,0,'Données projet'!$E$10+1,1))</f>
        <v>570.05585579662738</v>
      </c>
      <c r="AO79" s="59">
        <f t="shared" si="90"/>
        <v>331.25104323342907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107.92034584933866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107.92034584933866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11.91333333333333</v>
      </c>
      <c r="BD79" s="12">
        <f>IF('Données projet'!$A$88&gt;35,BD78+BC79-BL78,IF(A79&lt;'Données projet'!$A$88,$BA$205^A79,IF(A79='Données projet'!$A$88,'Données projet'!$B$88,BD78+BC79-BL78)))</f>
        <v>373.71333333333348</v>
      </c>
      <c r="BE79" s="13">
        <f>BD79*VLOOKUP('Données projet'!$B$11,Paramètres!$A$1:$I$89,3,0)*VLOOKUP('Données projet'!$B$11,Paramètres!$A$1:$I$89,5,0)</f>
        <v>314.81611200000015</v>
      </c>
      <c r="BF79" s="13">
        <f t="shared" si="91"/>
        <v>74.273721832141533</v>
      </c>
      <c r="BG79" s="20">
        <f t="shared" si="61"/>
        <v>677.66479392431336</v>
      </c>
      <c r="BH79" s="59">
        <f t="shared" si="62"/>
        <v>946.75437830516285</v>
      </c>
      <c r="BI79" s="59">
        <f ca="1">AVERAGE(OFFSET($BH$3,0,0,'Données projet'!$E$11+1,1))-AVERAGE(OFFSET($H$3,0,0,'Données projet'!$E$11+1,1))</f>
        <v>458.88102603650725</v>
      </c>
      <c r="BJ79" s="59">
        <f t="shared" si="92"/>
        <v>277.79020316059552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93.361498189271444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93.361498189271444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11.009999999999998</v>
      </c>
      <c r="BY79" s="12">
        <f>IF('Données projet'!$A$114&gt;35,BY78+BX79-CG78,IF(A79&lt;'Données projet'!$A$114,$BV$205^A79,IF(A79='Données projet'!$A$114,'Données projet'!$B$114,BY78+BX79-CG78)))</f>
        <v>351.66999999999996</v>
      </c>
      <c r="BZ79" s="13">
        <f>BY79*VLOOKUP('Données projet'!$B$12,Paramètres!$A$1:$I$89,3,0)*VLOOKUP('Données projet'!$B$12,Paramètres!$A$1:$I$89,5,0)</f>
        <v>334.64917199999996</v>
      </c>
      <c r="CA79" s="13">
        <f t="shared" si="93"/>
        <v>78.393412918187892</v>
      </c>
      <c r="CB79" s="20">
        <f t="shared" si="64"/>
        <v>719.38250206584382</v>
      </c>
      <c r="CC79" s="59">
        <f t="shared" si="65"/>
        <v>988.47208644669331</v>
      </c>
      <c r="CD79" s="59">
        <f ca="1">AVERAGE(OFFSET($CC$3,0,0,'Données projet'!$E$12+1,1))-AVERAGE(OFFSET($H$3,0,0,'Données projet'!$E$12+1,1))</f>
        <v>592.58528888957346</v>
      </c>
      <c r="CE79" s="59">
        <f t="shared" si="94"/>
        <v>311.31528017256846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98.245666118117342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98.245666118117342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0.8600000000003547</v>
      </c>
      <c r="CU79" s="17">
        <f>CT79*VLOOKUP('Données projet'!$B$13,Paramètres!$A$1:$I$89,3,0)*VLOOKUP('Données projet'!$B$13,Paramètres!$A$1:$I$89,5,0)</f>
        <v>0.48074000000019829</v>
      </c>
      <c r="CV79" s="13">
        <f t="shared" si="95"/>
        <v>0.24126147010950588</v>
      </c>
      <c r="CW79" s="20">
        <f t="shared" si="67"/>
        <v>1.2574858937744013</v>
      </c>
      <c r="CX79" s="59">
        <f t="shared" si="68"/>
        <v>270.34707027462383</v>
      </c>
      <c r="CY79" s="59">
        <f ca="1">AVERAGE(OFFSET($CX$3,0,0,'Données projet'!$E$13+1,1))-AVERAGE(OFFSET($H$3,0,0,'Données projet'!$E$13+1,1))</f>
        <v>420.4890915162182</v>
      </c>
      <c r="CZ79" s="59">
        <f t="shared" si="96"/>
        <v>553.48432338023565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245.28981402202541</v>
      </c>
      <c r="DG79" s="21">
        <f>EXP(-LN(2)/25)*DG78+(1-EXP(-LN(2)/25))/(LN(2)/25)*Calculateur!DB79*Calculateur!DD79*VLOOKUP('Données projet'!$B$13,Paramètres!$A$1:$I$89,3,0)*0.475*44/12</f>
        <v>14.125657811942411</v>
      </c>
      <c r="DH79" s="21">
        <f>EXP(-LN(2)/2)*DH78+(1-EXP(-LN(2)/2))/(LN(2)/2)*DB79*DE79*VLOOKUP('Données projet'!$B$13,Paramètres!$A$1:$I$89,3,0)*0.475*44/12</f>
        <v>8.8205400593616025E-8</v>
      </c>
      <c r="DI79" s="22">
        <f t="shared" si="69"/>
        <v>259.41547192217325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11.009999999999998</v>
      </c>
      <c r="DO79" s="12">
        <f>IF('Données projet'!$A$166&gt;35,DO78+DN79-DW78,IF(A79&lt;'Données projet'!$A$166,$DL$205^A79,IF(A79='Données projet'!$A$166,'Données projet'!$B$166,DO78+DN79-DW78)))</f>
        <v>351.66999999999996</v>
      </c>
      <c r="DP79" s="17">
        <f>DO79*VLOOKUP('Données projet'!$B$14,Paramètres!$A$1:$I$89,3,0)*VLOOKUP('Données projet'!$B$14,Paramètres!$A$1:$I$89,5,0)</f>
        <v>378.53758799999991</v>
      </c>
      <c r="DQ79" s="13">
        <f t="shared" si="97"/>
        <v>87.411623517030193</v>
      </c>
      <c r="DR79" s="20">
        <f t="shared" si="70"/>
        <v>811.52821005882743</v>
      </c>
      <c r="DS79" s="59">
        <f t="shared" si="71"/>
        <v>1080.6177944396768</v>
      </c>
      <c r="DT79" s="59">
        <f ca="1">AVERAGE(OFFSET($DS$3,0,0,'Données projet'!$E$14+1,1))-AVERAGE(OFFSET($H$3,0,0,'Données projet'!$E$14+1,1))</f>
        <v>659.55755908012691</v>
      </c>
      <c r="DU79" s="59">
        <f t="shared" si="98"/>
        <v>343.96647464823627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111.13034364180481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111.13034364180481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11.009999999999998</v>
      </c>
      <c r="EJ79" s="12">
        <f>IF('Données projet'!$A$192&gt;35,EJ78+EI79-ER78,IF(A79&lt;'Données projet'!$A$192,$EG$205^A79,IF(A79='Données projet'!$A$192,'Données projet'!$B$192,EJ78+EI79-ER78)))</f>
        <v>351.66999999999996</v>
      </c>
      <c r="EK79" s="17">
        <f>EJ79*VLOOKUP('Données projet'!$B$15,Paramètres!$A$1:$I$89,3,0)*VLOOKUP('Données projet'!$B$15,Paramètres!$A$1:$I$89,5,0)</f>
        <v>340.13522399999999</v>
      </c>
      <c r="EL79" s="13">
        <f t="shared" si="99"/>
        <v>79.527883909752617</v>
      </c>
      <c r="EM79" s="20">
        <f t="shared" si="73"/>
        <v>730.91324627615256</v>
      </c>
      <c r="EN79" s="59">
        <f t="shared" si="74"/>
        <v>1000.0028306570021</v>
      </c>
      <c r="EO79" s="59">
        <f ca="1">AVERAGE(OFFSET($EN$3,0,0,'Données projet'!$E$15+1,1))-AVERAGE(OFFSET($H$3,0,0,'Données projet'!$E$15+1,1))</f>
        <v>600.96600099541388</v>
      </c>
      <c r="EP79" s="59">
        <f t="shared" si="100"/>
        <v>315.40159257508969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99.856250808578267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99.856250808578267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362.67999999999995</v>
      </c>
      <c r="O80" s="13">
        <f>N80*VLOOKUP('Données projet'!$B$9,Paramètres!$A$1:$I$89,3,0)*VLOOKUP('Données projet'!$B$9,Paramètres!$A$1:$I$89,5,0)</f>
        <v>328.15286399999997</v>
      </c>
      <c r="P80" s="13">
        <f t="shared" si="87"/>
        <v>77.047223736242103</v>
      </c>
      <c r="Q80" s="20">
        <f t="shared" si="54"/>
        <v>705.7234861406215</v>
      </c>
      <c r="R80" s="59">
        <f t="shared" si="55"/>
        <v>975.23364536489385</v>
      </c>
      <c r="S80" s="59">
        <f ca="1">AVERAGE(OFFSET($R$3,0,0,'Données projet'!$E$9+1,1))-AVERAGE(OFFSET($H$3,0,0,'Données projet'!$E$9+1,1))</f>
        <v>567.42635821336114</v>
      </c>
      <c r="T80" s="59">
        <f t="shared" si="88"/>
        <v>299.0473530693472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91.582122208358399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91.582122208358399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10.4</v>
      </c>
      <c r="AI80" s="13">
        <f>IF('Données projet'!$A$62&gt;35,AI79+AH80-AQ79,IF(A80&lt;'Données projet'!$A$62,$AF$205^A80,IF(A80='Données projet'!$A$62,'Données projet'!$B$62,AI79+AH80-AQ79)))</f>
        <v>392.80000000000024</v>
      </c>
      <c r="AJ80" s="13">
        <f>AI80*VLOOKUP('Données projet'!$B$10,Paramètres!$A$1:$I$89,3,0)*VLOOKUP('Données projet'!$B$10,Paramètres!$A$1:$I$89,5,0)</f>
        <v>337.02240000000029</v>
      </c>
      <c r="AK80" s="13">
        <f t="shared" si="89"/>
        <v>78.884440823098231</v>
      </c>
      <c r="AL80" s="20">
        <f t="shared" si="58"/>
        <v>724.37108110022984</v>
      </c>
      <c r="AM80" s="59">
        <f t="shared" si="59"/>
        <v>993.88124032450219</v>
      </c>
      <c r="AN80" s="59">
        <f ca="1">AVERAGE(OFFSET($AM$3,0,0,'Données projet'!$E$10+1,1))-AVERAGE(OFFSET($H$3,0,0,'Données projet'!$E$10+1,1))</f>
        <v>570.05585579662738</v>
      </c>
      <c r="AO80" s="59">
        <f t="shared" si="90"/>
        <v>331.25104323342907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105.80409369214442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105.80409369214442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11.91333333333333</v>
      </c>
      <c r="BD80" s="12">
        <f>IF('Données projet'!$A$88&gt;35,BD79+BC80-BL79,IF(A80&lt;'Données projet'!$A$88,$BA$205^A80,IF(A80='Données projet'!$A$88,'Données projet'!$B$88,BD79+BC80-BL79)))</f>
        <v>385.62666666666684</v>
      </c>
      <c r="BE80" s="13">
        <f>BD80*VLOOKUP('Données projet'!$B$11,Paramètres!$A$1:$I$89,3,0)*VLOOKUP('Données projet'!$B$11,Paramètres!$A$1:$I$89,5,0)</f>
        <v>324.85190400000016</v>
      </c>
      <c r="BF80" s="13">
        <f t="shared" si="91"/>
        <v>76.362000783128849</v>
      </c>
      <c r="BG80" s="20">
        <f t="shared" si="61"/>
        <v>698.78088416394974</v>
      </c>
      <c r="BH80" s="59">
        <f t="shared" si="62"/>
        <v>968.29104338822208</v>
      </c>
      <c r="BI80" s="59">
        <f ca="1">AVERAGE(OFFSET($BH$3,0,0,'Données projet'!$E$11+1,1))-AVERAGE(OFFSET($H$3,0,0,'Données projet'!$E$11+1,1))</f>
        <v>458.88102603650725</v>
      </c>
      <c r="BJ80" s="59">
        <f t="shared" si="92"/>
        <v>277.79020316059552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91.53073615467089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91.53073615467089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11.009999999999998</v>
      </c>
      <c r="BY80" s="12">
        <f>IF('Données projet'!$A$114&gt;35,BY79+BX80-CG79,IF(A80&lt;'Données projet'!$A$114,$BV$205^A80,IF(A80='Données projet'!$A$114,'Données projet'!$B$114,BY79+BX80-CG79)))</f>
        <v>362.67999999999995</v>
      </c>
      <c r="BZ80" s="13">
        <f>BY80*VLOOKUP('Données projet'!$B$12,Paramètres!$A$1:$I$89,3,0)*VLOOKUP('Données projet'!$B$12,Paramètres!$A$1:$I$89,5,0)</f>
        <v>345.12628799999999</v>
      </c>
      <c r="CA80" s="13">
        <f t="shared" si="93"/>
        <v>80.558145771439186</v>
      </c>
      <c r="CB80" s="20">
        <f t="shared" si="64"/>
        <v>741.40038881858982</v>
      </c>
      <c r="CC80" s="59">
        <f t="shared" si="65"/>
        <v>1010.910548042862</v>
      </c>
      <c r="CD80" s="59">
        <f ca="1">AVERAGE(OFFSET($CC$3,0,0,'Données projet'!$E$12+1,1))-AVERAGE(OFFSET($H$3,0,0,'Données projet'!$E$12+1,1))</f>
        <v>592.58528888957346</v>
      </c>
      <c r="CE80" s="59">
        <f t="shared" si="94"/>
        <v>311.31528017256846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96.319128529480395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96.319128529480395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0.8600000000003547</v>
      </c>
      <c r="CU80" s="17">
        <f>CT80*VLOOKUP('Données projet'!$B$13,Paramètres!$A$1:$I$89,3,0)*VLOOKUP('Données projet'!$B$13,Paramètres!$A$1:$I$89,5,0)</f>
        <v>0.48074000000019829</v>
      </c>
      <c r="CV80" s="13">
        <f t="shared" si="95"/>
        <v>0.24126147010950588</v>
      </c>
      <c r="CW80" s="20">
        <f t="shared" si="67"/>
        <v>1.2574858937744013</v>
      </c>
      <c r="CX80" s="59">
        <f t="shared" si="68"/>
        <v>270.76764511804669</v>
      </c>
      <c r="CY80" s="59">
        <f ca="1">AVERAGE(OFFSET($CX$3,0,0,'Données projet'!$E$13+1,1))-AVERAGE(OFFSET($H$3,0,0,'Données projet'!$E$13+1,1))</f>
        <v>420.4890915162182</v>
      </c>
      <c r="CZ80" s="59">
        <f t="shared" si="96"/>
        <v>553.48432338023565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240.47983038106707</v>
      </c>
      <c r="DG80" s="21">
        <f>EXP(-LN(2)/25)*DG79+(1-EXP(-LN(2)/25))/(LN(2)/25)*Calculateur!DB80*Calculateur!DD80*VLOOKUP('Données projet'!$B$13,Paramètres!$A$1:$I$89,3,0)*0.475*44/12</f>
        <v>13.739390956238786</v>
      </c>
      <c r="DH80" s="21">
        <f>EXP(-LN(2)/2)*DH79+(1-EXP(-LN(2)/2))/(LN(2)/2)*DB80*DE80*VLOOKUP('Données projet'!$B$13,Paramètres!$A$1:$I$89,3,0)*0.475*44/12</f>
        <v>6.2370636897021814E-8</v>
      </c>
      <c r="DI80" s="22">
        <f t="shared" si="69"/>
        <v>254.21922139967651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11.009999999999998</v>
      </c>
      <c r="DO80" s="12">
        <f>IF('Données projet'!$A$166&gt;35,DO79+DN80-DW79,IF(A80&lt;'Données projet'!$A$166,$DL$205^A80,IF(A80='Données projet'!$A$166,'Données projet'!$B$166,DO79+DN80-DW79)))</f>
        <v>362.67999999999995</v>
      </c>
      <c r="DP80" s="17">
        <f>DO80*VLOOKUP('Données projet'!$B$14,Paramètres!$A$1:$I$89,3,0)*VLOOKUP('Données projet'!$B$14,Paramètres!$A$1:$I$89,5,0)</f>
        <v>390.38875199999995</v>
      </c>
      <c r="DQ80" s="13">
        <f t="shared" si="97"/>
        <v>89.825382609019499</v>
      </c>
      <c r="DR80" s="20">
        <f t="shared" si="70"/>
        <v>836.37295111070887</v>
      </c>
      <c r="DS80" s="59">
        <f t="shared" si="71"/>
        <v>1105.8831103349812</v>
      </c>
      <c r="DT80" s="59">
        <f ca="1">AVERAGE(OFFSET($DS$3,0,0,'Données projet'!$E$14+1,1))-AVERAGE(OFFSET($H$3,0,0,'Données projet'!$E$14+1,1))</f>
        <v>659.55755908012691</v>
      </c>
      <c r="DU80" s="59">
        <f t="shared" si="98"/>
        <v>343.96647464823627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108.95114538580565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108.95114538580565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11.009999999999998</v>
      </c>
      <c r="EJ80" s="12">
        <f>IF('Données projet'!$A$192&gt;35,EJ79+EI80-ER79,IF(A80&lt;'Données projet'!$A$192,$EG$205^A80,IF(A80='Données projet'!$A$192,'Données projet'!$B$192,EJ79+EI80-ER79)))</f>
        <v>362.67999999999995</v>
      </c>
      <c r="EK80" s="17">
        <f>EJ80*VLOOKUP('Données projet'!$B$15,Paramètres!$A$1:$I$89,3,0)*VLOOKUP('Données projet'!$B$15,Paramètres!$A$1:$I$89,5,0)</f>
        <v>350.78409599999998</v>
      </c>
      <c r="EL80" s="13">
        <f t="shared" si="99"/>
        <v>81.723943714275478</v>
      </c>
      <c r="EM80" s="20">
        <f t="shared" si="73"/>
        <v>753.28483583569641</v>
      </c>
      <c r="EN80" s="59">
        <f t="shared" si="74"/>
        <v>1022.7949950599686</v>
      </c>
      <c r="EO80" s="59">
        <f ca="1">AVERAGE(OFFSET($EN$3,0,0,'Données projet'!$E$15+1,1))-AVERAGE(OFFSET($H$3,0,0,'Données projet'!$E$15+1,1))</f>
        <v>600.96600099541388</v>
      </c>
      <c r="EP80" s="59">
        <f t="shared" si="100"/>
        <v>315.40159257508969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97.898130636521046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97.898130636521046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373.68999999999994</v>
      </c>
      <c r="O81" s="13">
        <f>N81*VLOOKUP('Données projet'!$B$9,Paramètres!$A$1:$I$89,3,0)*VLOOKUP('Données projet'!$B$9,Paramètres!$A$1:$I$89,5,0)</f>
        <v>338.11471199999994</v>
      </c>
      <c r="P81" s="13">
        <f t="shared" si="87"/>
        <v>79.110308022170997</v>
      </c>
      <c r="Q81" s="20">
        <f t="shared" si="54"/>
        <v>726.66690987194772</v>
      </c>
      <c r="R81" s="59">
        <f t="shared" si="55"/>
        <v>996.59034790637395</v>
      </c>
      <c r="S81" s="59">
        <f ca="1">AVERAGE(OFFSET($R$3,0,0,'Données projet'!$E$9+1,1))-AVERAGE(OFFSET($H$3,0,0,'Données projet'!$E$9+1,1))</f>
        <v>567.42635821336114</v>
      </c>
      <c r="T81" s="59">
        <f t="shared" si="88"/>
        <v>299.0473530693472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89.786252651431369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89.786252651431369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10.4</v>
      </c>
      <c r="AI81" s="13">
        <f>IF('Données projet'!$A$62&gt;35,AI80+AH81-AQ80,IF(A81&lt;'Données projet'!$A$62,$AF$205^A81,IF(A81='Données projet'!$A$62,'Données projet'!$B$62,AI80+AH81-AQ80)))</f>
        <v>403.20000000000022</v>
      </c>
      <c r="AJ81" s="13">
        <f>AI81*VLOOKUP('Données projet'!$B$10,Paramètres!$A$1:$I$89,3,0)*VLOOKUP('Données projet'!$B$10,Paramètres!$A$1:$I$89,5,0)</f>
        <v>345.94560000000024</v>
      </c>
      <c r="AK81" s="13">
        <f t="shared" si="89"/>
        <v>80.727102887907293</v>
      </c>
      <c r="AL81" s="20">
        <f t="shared" si="58"/>
        <v>743.12162419643892</v>
      </c>
      <c r="AM81" s="59">
        <f t="shared" si="59"/>
        <v>1013.0450622308651</v>
      </c>
      <c r="AN81" s="59">
        <f ca="1">AVERAGE(OFFSET($AM$3,0,0,'Données projet'!$E$10+1,1))-AVERAGE(OFFSET($H$3,0,0,'Données projet'!$E$10+1,1))</f>
        <v>570.05585579662738</v>
      </c>
      <c r="AO81" s="59">
        <f t="shared" si="90"/>
        <v>331.25104323342907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103.7293399489664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103.7293399489664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11.91333333333333</v>
      </c>
      <c r="BD81" s="12">
        <f>IF('Données projet'!$A$88&gt;35,BD80+BC81-BL80,IF(A81&lt;'Données projet'!$A$88,$BA$205^A81,IF(A81='Données projet'!$A$88,'Données projet'!$B$88,BD80+BC81-BL80)))</f>
        <v>397.54000000000019</v>
      </c>
      <c r="BE81" s="13">
        <f>BD81*VLOOKUP('Données projet'!$B$11,Paramètres!$A$1:$I$89,3,0)*VLOOKUP('Données projet'!$B$11,Paramètres!$A$1:$I$89,5,0)</f>
        <v>334.88769600000023</v>
      </c>
      <c r="BF81" s="13">
        <f t="shared" si="91"/>
        <v>78.442782516895477</v>
      </c>
      <c r="BG81" s="20">
        <f t="shared" si="61"/>
        <v>719.88391675026003</v>
      </c>
      <c r="BH81" s="59">
        <f t="shared" si="62"/>
        <v>989.80735478468625</v>
      </c>
      <c r="BI81" s="59">
        <f ca="1">AVERAGE(OFFSET($BH$3,0,0,'Données projet'!$E$11+1,1))-AVERAGE(OFFSET($H$3,0,0,'Données projet'!$E$11+1,1))</f>
        <v>458.88102603650725</v>
      </c>
      <c r="BJ81" s="59">
        <f t="shared" si="92"/>
        <v>277.79020316059552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89.735874246914264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89.735874246914264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11.009999999999998</v>
      </c>
      <c r="BY81" s="12">
        <f>IF('Données projet'!$A$114&gt;35,BY80+BX81-CG80,IF(A81&lt;'Données projet'!$A$114,$BV$205^A81,IF(A81='Données projet'!$A$114,'Données projet'!$B$114,BY80+BX81-CG80)))</f>
        <v>373.68999999999994</v>
      </c>
      <c r="BZ81" s="13">
        <f>BY81*VLOOKUP('Données projet'!$B$12,Paramètres!$A$1:$I$89,3,0)*VLOOKUP('Données projet'!$B$12,Paramètres!$A$1:$I$89,5,0)</f>
        <v>355.60340399999995</v>
      </c>
      <c r="CA81" s="13">
        <f t="shared" si="93"/>
        <v>82.715241596378789</v>
      </c>
      <c r="CB81" s="20">
        <f t="shared" si="64"/>
        <v>763.40497441369291</v>
      </c>
      <c r="CC81" s="59">
        <f t="shared" si="65"/>
        <v>1033.3284124481193</v>
      </c>
      <c r="CD81" s="59">
        <f ca="1">AVERAGE(OFFSET($CC$3,0,0,'Données projet'!$E$12+1,1))-AVERAGE(OFFSET($H$3,0,0,'Données projet'!$E$12+1,1))</f>
        <v>592.58528888957346</v>
      </c>
      <c r="CE81" s="59">
        <f t="shared" si="94"/>
        <v>311.31528017256846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94.43036916788472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94.43036916788472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0.8600000000003547</v>
      </c>
      <c r="CU81" s="17">
        <f>CT81*VLOOKUP('Données projet'!$B$13,Paramètres!$A$1:$I$89,3,0)*VLOOKUP('Données projet'!$B$13,Paramètres!$A$1:$I$89,5,0)</f>
        <v>0.48074000000019829</v>
      </c>
      <c r="CV81" s="13">
        <f t="shared" si="95"/>
        <v>0.24126147010950588</v>
      </c>
      <c r="CW81" s="20">
        <f t="shared" si="67"/>
        <v>1.2574858937744013</v>
      </c>
      <c r="CX81" s="59">
        <f t="shared" si="68"/>
        <v>271.18092392820063</v>
      </c>
      <c r="CY81" s="59">
        <f ca="1">AVERAGE(OFFSET($CX$3,0,0,'Données projet'!$E$13+1,1))-AVERAGE(OFFSET($H$3,0,0,'Données projet'!$E$13+1,1))</f>
        <v>420.4890915162182</v>
      </c>
      <c r="CZ81" s="59">
        <f t="shared" si="96"/>
        <v>553.48432338023565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235.76416758550761</v>
      </c>
      <c r="DG81" s="21">
        <f>EXP(-LN(2)/25)*DG80+(1-EXP(-LN(2)/25))/(LN(2)/25)*Calculateur!DB81*Calculateur!DD81*VLOOKUP('Données projet'!$B$13,Paramètres!$A$1:$I$89,3,0)*0.475*44/12</f>
        <v>13.363686588017268</v>
      </c>
      <c r="DH81" s="21">
        <f>EXP(-LN(2)/2)*DH80+(1-EXP(-LN(2)/2))/(LN(2)/2)*DB81*DE81*VLOOKUP('Données projet'!$B$13,Paramètres!$A$1:$I$89,3,0)*0.475*44/12</f>
        <v>4.4102700296808013E-8</v>
      </c>
      <c r="DI81" s="22">
        <f t="shared" si="69"/>
        <v>249.12785421762757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11.009999999999998</v>
      </c>
      <c r="DO81" s="12">
        <f>IF('Données projet'!$A$166&gt;35,DO80+DN81-DW80,IF(A81&lt;'Données projet'!$A$166,$DL$205^A81,IF(A81='Données projet'!$A$166,'Données projet'!$B$166,DO80+DN81-DW80)))</f>
        <v>373.68999999999994</v>
      </c>
      <c r="DP81" s="17">
        <f>DO81*VLOOKUP('Données projet'!$B$14,Paramètres!$A$1:$I$89,3,0)*VLOOKUP('Données projet'!$B$14,Paramètres!$A$1:$I$89,5,0)</f>
        <v>402.23991599999988</v>
      </c>
      <c r="DQ81" s="13">
        <f t="shared" si="97"/>
        <v>92.230626125289803</v>
      </c>
      <c r="DR81" s="20">
        <f t="shared" si="70"/>
        <v>861.20286086821272</v>
      </c>
      <c r="DS81" s="59">
        <f t="shared" si="71"/>
        <v>1131.1262989026391</v>
      </c>
      <c r="DT81" s="59">
        <f ca="1">AVERAGE(OFFSET($DS$3,0,0,'Données projet'!$E$14+1,1))-AVERAGE(OFFSET($H$3,0,0,'Données projet'!$E$14+1,1))</f>
        <v>659.55755908012691</v>
      </c>
      <c r="DU81" s="59">
        <f t="shared" si="98"/>
        <v>343.96647464823627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106.81467987842693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106.81467987842693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11.009999999999998</v>
      </c>
      <c r="EJ81" s="12">
        <f>IF('Données projet'!$A$192&gt;35,EJ80+EI81-ER80,IF(A81&lt;'Données projet'!$A$192,$EG$205^A81,IF(A81='Données projet'!$A$192,'Données projet'!$B$192,EJ80+EI81-ER80)))</f>
        <v>373.68999999999994</v>
      </c>
      <c r="EK81" s="17">
        <f>EJ81*VLOOKUP('Données projet'!$B$15,Paramètres!$A$1:$I$89,3,0)*VLOOKUP('Données projet'!$B$15,Paramètres!$A$1:$I$89,5,0)</f>
        <v>361.43296799999996</v>
      </c>
      <c r="EL81" s="13">
        <f t="shared" si="99"/>
        <v>83.912255971161656</v>
      </c>
      <c r="EM81" s="20">
        <f t="shared" si="73"/>
        <v>775.64293174977308</v>
      </c>
      <c r="EN81" s="59">
        <f t="shared" si="74"/>
        <v>1045.5663697841992</v>
      </c>
      <c r="EO81" s="59">
        <f ca="1">AVERAGE(OFFSET($EN$3,0,0,'Données projet'!$E$15+1,1))-AVERAGE(OFFSET($H$3,0,0,'Données projet'!$E$15+1,1))</f>
        <v>600.96600099541388</v>
      </c>
      <c r="EP81" s="59">
        <f t="shared" si="100"/>
        <v>315.40159257508969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95.978408006702495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95.978408006702495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384.69999999999993</v>
      </c>
      <c r="O82" s="13">
        <f>N82*VLOOKUP('Données projet'!$B$9,Paramètres!$A$1:$I$89,3,0)*VLOOKUP('Données projet'!$B$9,Paramètres!$A$1:$I$89,5,0)</f>
        <v>348.07655999999992</v>
      </c>
      <c r="P82" s="13">
        <f t="shared" si="87"/>
        <v>81.166328031452807</v>
      </c>
      <c r="Q82" s="20">
        <f t="shared" si="54"/>
        <v>747.59802998811347</v>
      </c>
      <c r="R82" s="59">
        <f t="shared" si="55"/>
        <v>1017.9275773692905</v>
      </c>
      <c r="S82" s="59">
        <f ca="1">AVERAGE(OFFSET($R$3,0,0,'Données projet'!$E$9+1,1))-AVERAGE(OFFSET($H$3,0,0,'Données projet'!$E$9+1,1))</f>
        <v>567.42635821336114</v>
      </c>
      <c r="T82" s="59">
        <f t="shared" si="88"/>
        <v>299.0473530693472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88.025599001143405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88.025599001143405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10.4</v>
      </c>
      <c r="AI82" s="13">
        <f>IF('Données projet'!$A$62&gt;35,AI81+AH82-AQ81,IF(A82&lt;'Données projet'!$A$62,$AF$205^A82,IF(A82='Données projet'!$A$62,'Données projet'!$B$62,AI81+AH82-AQ81)))</f>
        <v>413.60000000000019</v>
      </c>
      <c r="AJ82" s="13">
        <f>AI82*VLOOKUP('Données projet'!$B$10,Paramètres!$A$1:$I$89,3,0)*VLOOKUP('Données projet'!$B$10,Paramètres!$A$1:$I$89,5,0)</f>
        <v>354.86880000000019</v>
      </c>
      <c r="AK82" s="13">
        <f t="shared" si="89"/>
        <v>82.564240228675203</v>
      </c>
      <c r="AL82" s="20">
        <f t="shared" si="58"/>
        <v>761.86254506494288</v>
      </c>
      <c r="AM82" s="59">
        <f t="shared" si="59"/>
        <v>1032.1920924461199</v>
      </c>
      <c r="AN82" s="59">
        <f ca="1">AVERAGE(OFFSET($AM$3,0,0,'Données projet'!$E$10+1,1))-AVERAGE(OFFSET($H$3,0,0,'Données projet'!$E$10+1,1))</f>
        <v>570.05585579662738</v>
      </c>
      <c r="AO82" s="59">
        <f t="shared" si="90"/>
        <v>331.25104323342907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101.69527086121728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101.69527086121728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11.91333333333333</v>
      </c>
      <c r="BD82" s="12">
        <f>IF('Données projet'!$A$88&gt;35,BD81+BC82-BL81,IF(A82&lt;'Données projet'!$A$88,$BA$205^A82,IF(A82='Données projet'!$A$88,'Données projet'!$B$88,BD81+BC82-BL81)))</f>
        <v>409.45333333333355</v>
      </c>
      <c r="BE82" s="13">
        <f>BD82*VLOOKUP('Données projet'!$B$11,Paramètres!$A$1:$I$89,3,0)*VLOOKUP('Données projet'!$B$11,Paramètres!$A$1:$I$89,5,0)</f>
        <v>344.92348800000019</v>
      </c>
      <c r="BF82" s="13">
        <f t="shared" si="91"/>
        <v>80.516317498402756</v>
      </c>
      <c r="BG82" s="20">
        <f t="shared" si="61"/>
        <v>740.97432790971845</v>
      </c>
      <c r="BH82" s="59">
        <f t="shared" si="62"/>
        <v>1011.3038752908953</v>
      </c>
      <c r="BI82" s="59">
        <f ca="1">AVERAGE(OFFSET($BH$3,0,0,'Données projet'!$E$11+1,1))-AVERAGE(OFFSET($H$3,0,0,'Données projet'!$E$11+1,1))</f>
        <v>458.88102603650725</v>
      </c>
      <c r="BJ82" s="59">
        <f t="shared" si="92"/>
        <v>277.79020316059552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87.976208486411082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87.976208486411082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11.009999999999998</v>
      </c>
      <c r="BY82" s="12">
        <f>IF('Données projet'!$A$114&gt;35,BY81+BX82-CG81,IF(A82&lt;'Données projet'!$A$114,$BV$205^A82,IF(A82='Données projet'!$A$114,'Données projet'!$B$114,BY81+BX82-CG81)))</f>
        <v>384.69999999999993</v>
      </c>
      <c r="BZ82" s="13">
        <f>BY82*VLOOKUP('Données projet'!$B$12,Paramètres!$A$1:$I$89,3,0)*VLOOKUP('Données projet'!$B$12,Paramètres!$A$1:$I$89,5,0)</f>
        <v>366.08051999999992</v>
      </c>
      <c r="CA82" s="13">
        <f t="shared" si="93"/>
        <v>84.864951236582286</v>
      </c>
      <c r="CB82" s="20">
        <f t="shared" si="64"/>
        <v>785.39669573704725</v>
      </c>
      <c r="CC82" s="59">
        <f t="shared" si="65"/>
        <v>1055.7262431182241</v>
      </c>
      <c r="CD82" s="59">
        <f ca="1">AVERAGE(OFFSET($CC$3,0,0,'Données projet'!$E$12+1,1))-AVERAGE(OFFSET($H$3,0,0,'Données projet'!$E$12+1,1))</f>
        <v>592.58528888957346</v>
      </c>
      <c r="CE82" s="59">
        <f t="shared" si="94"/>
        <v>311.31528017256846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92.578647225340475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92.578647225340475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0.8600000000003547</v>
      </c>
      <c r="CU82" s="17">
        <f>CT82*VLOOKUP('Données projet'!$B$13,Paramètres!$A$1:$I$89,3,0)*VLOOKUP('Données projet'!$B$13,Paramètres!$A$1:$I$89,5,0)</f>
        <v>0.48074000000019829</v>
      </c>
      <c r="CV82" s="13">
        <f t="shared" si="95"/>
        <v>0.24126147010950588</v>
      </c>
      <c r="CW82" s="20">
        <f t="shared" si="67"/>
        <v>1.2574858937744013</v>
      </c>
      <c r="CX82" s="59">
        <f t="shared" si="68"/>
        <v>271.58703327495135</v>
      </c>
      <c r="CY82" s="59">
        <f ca="1">AVERAGE(OFFSET($CX$3,0,0,'Données projet'!$E$13+1,1))-AVERAGE(OFFSET($H$3,0,0,'Données projet'!$E$13+1,1))</f>
        <v>420.4890915162182</v>
      </c>
      <c r="CZ82" s="59">
        <f t="shared" si="96"/>
        <v>553.48432338023565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231.14097606109877</v>
      </c>
      <c r="DG82" s="21">
        <f>EXP(-LN(2)/25)*DG81+(1-EXP(-LN(2)/25))/(LN(2)/25)*Calculateur!DB82*Calculateur!DD82*VLOOKUP('Données projet'!$B$13,Paramètres!$A$1:$I$89,3,0)*0.475*44/12</f>
        <v>12.998255875502201</v>
      </c>
      <c r="DH82" s="21">
        <f>EXP(-LN(2)/2)*DH81+(1-EXP(-LN(2)/2))/(LN(2)/2)*DB82*DE82*VLOOKUP('Données projet'!$B$13,Paramètres!$A$1:$I$89,3,0)*0.475*44/12</f>
        <v>3.1185318448510907E-8</v>
      </c>
      <c r="DI82" s="22">
        <f t="shared" si="69"/>
        <v>244.13923196778629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11.009999999999998</v>
      </c>
      <c r="DO82" s="12">
        <f>IF('Données projet'!$A$166&gt;35,DO81+DN82-DW81,IF(A82&lt;'Données projet'!$A$166,$DL$205^A82,IF(A82='Données projet'!$A$166,'Données projet'!$B$166,DO81+DN82-DW81)))</f>
        <v>384.69999999999993</v>
      </c>
      <c r="DP82" s="17">
        <f>DO82*VLOOKUP('Données projet'!$B$14,Paramètres!$A$1:$I$89,3,0)*VLOOKUP('Données projet'!$B$14,Paramètres!$A$1:$I$89,5,0)</f>
        <v>414.09107999999992</v>
      </c>
      <c r="DQ82" s="13">
        <f t="shared" si="97"/>
        <v>94.627633765925495</v>
      </c>
      <c r="DR82" s="20">
        <f t="shared" si="70"/>
        <v>886.01842647565343</v>
      </c>
      <c r="DS82" s="59">
        <f t="shared" si="71"/>
        <v>1156.3479738568303</v>
      </c>
      <c r="DT82" s="59">
        <f ca="1">AVERAGE(OFFSET($DS$3,0,0,'Données projet'!$E$14+1,1))-AVERAGE(OFFSET($H$3,0,0,'Données projet'!$E$14+1,1))</f>
        <v>659.55755908012691</v>
      </c>
      <c r="DU82" s="59">
        <f t="shared" si="98"/>
        <v>343.96647464823627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104.72010915653263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104.72010915653263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11.009999999999998</v>
      </c>
      <c r="EJ82" s="12">
        <f>IF('Données projet'!$A$192&gt;35,EJ81+EI82-ER81,IF(A82&lt;'Données projet'!$A$192,$EG$205^A82,IF(A82='Données projet'!$A$192,'Données projet'!$B$192,EJ81+EI82-ER81)))</f>
        <v>384.69999999999993</v>
      </c>
      <c r="EK82" s="17">
        <f>EJ82*VLOOKUP('Données projet'!$B$15,Paramètres!$A$1:$I$89,3,0)*VLOOKUP('Données projet'!$B$15,Paramètres!$A$1:$I$89,5,0)</f>
        <v>372.08183999999994</v>
      </c>
      <c r="EL82" s="13">
        <f t="shared" si="99"/>
        <v>86.093075154071798</v>
      </c>
      <c r="EM82" s="20">
        <f t="shared" si="73"/>
        <v>797.98797722667496</v>
      </c>
      <c r="EN82" s="59">
        <f t="shared" si="74"/>
        <v>1068.317524607852</v>
      </c>
      <c r="EO82" s="59">
        <f ca="1">AVERAGE(OFFSET($EN$3,0,0,'Données projet'!$E$15+1,1))-AVERAGE(OFFSET($H$3,0,0,'Données projet'!$E$15+1,1))</f>
        <v>600.96600099541388</v>
      </c>
      <c r="EP82" s="59">
        <f t="shared" si="100"/>
        <v>315.40159257508969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94.096329966739489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94.096329966739489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395.70999999999992</v>
      </c>
      <c r="O83" s="13">
        <f>N83*VLOOKUP('Données projet'!$B$9,Paramètres!$A$1:$I$89,3,0)*VLOOKUP('Données projet'!$B$9,Paramètres!$A$1:$I$89,5,0)</f>
        <v>358.03840799999989</v>
      </c>
      <c r="P83" s="13">
        <f t="shared" si="87"/>
        <v>83.215509161867502</v>
      </c>
      <c r="Q83" s="20">
        <f t="shared" si="54"/>
        <v>768.51723905691904</v>
      </c>
      <c r="R83" s="59">
        <f t="shared" si="55"/>
        <v>1039.2458506956052</v>
      </c>
      <c r="S83" s="59">
        <f ca="1">AVERAGE(OFFSET($R$3,0,0,'Données projet'!$E$9+1,1))-AVERAGE(OFFSET($H$3,0,0,'Données projet'!$E$9+1,1))</f>
        <v>567.42635821336114</v>
      </c>
      <c r="T83" s="59">
        <f t="shared" si="88"/>
        <v>299.0473530693472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111.92045190667203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111.92045190667203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424</v>
      </c>
      <c r="AG83" s="12">
        <f>VLOOKUP(A83,'Données projet'!$A$61:$I$81,9,0)</f>
        <v>10.4</v>
      </c>
      <c r="AH83" s="12">
        <f t="array" ref="AH83">INDEX(AG:AG,MIN(IF(ISNUMBER(AG83:AG279),ROW(AG83:AG279),"")))</f>
        <v>10.4</v>
      </c>
      <c r="AI83" s="13">
        <f>IF('Données projet'!$A$62&gt;35,AI82+AH83-AQ82,IF(A83&lt;'Données projet'!$A$62,$AF$205^A83,IF(A83='Données projet'!$A$62,'Données projet'!$B$62,AI82+AH83-AQ82)))</f>
        <v>424.00000000000017</v>
      </c>
      <c r="AJ83" s="13">
        <f>AI83*VLOOKUP('Données projet'!$B$10,Paramètres!$A$1:$I$89,3,0)*VLOOKUP('Données projet'!$B$10,Paramètres!$A$1:$I$89,5,0)</f>
        <v>363.79200000000014</v>
      </c>
      <c r="AK83" s="13">
        <f t="shared" si="89"/>
        <v>84.396007741478684</v>
      </c>
      <c r="AL83" s="20">
        <f t="shared" si="58"/>
        <v>780.5941134830756</v>
      </c>
      <c r="AM83" s="59">
        <f t="shared" si="59"/>
        <v>1051.3227251217618</v>
      </c>
      <c r="AN83" s="59">
        <f ca="1">AVERAGE(OFFSET($AM$3,0,0,'Données projet'!$E$10+1,1))-AVERAGE(OFFSET($H$3,0,0,'Données projet'!$E$10+1,1))</f>
        <v>570.05585579662738</v>
      </c>
      <c r="AO83" s="59">
        <f t="shared" si="90"/>
        <v>331.25104323342907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34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116.79294304083895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116.79294304083895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11.91333333333333</v>
      </c>
      <c r="BD83" s="12">
        <f>IF('Données projet'!$A$88&gt;35,BD82+BC83-BL82,IF(A83&lt;'Données projet'!$A$88,$BA$205^A83,IF(A83='Données projet'!$A$88,'Données projet'!$B$88,BD82+BC83-BL82)))</f>
        <v>421.3666666666669</v>
      </c>
      <c r="BE83" s="13">
        <f>BD83*VLOOKUP('Données projet'!$B$11,Paramètres!$A$1:$I$89,3,0)*VLOOKUP('Données projet'!$B$11,Paramètres!$A$1:$I$89,5,0)</f>
        <v>354.95928000000026</v>
      </c>
      <c r="BF83" s="13">
        <f t="shared" si="91"/>
        <v>82.582840788951401</v>
      </c>
      <c r="BG83" s="20">
        <f t="shared" si="61"/>
        <v>762.05252704075747</v>
      </c>
      <c r="BH83" s="59">
        <f t="shared" si="62"/>
        <v>1032.7811386794435</v>
      </c>
      <c r="BI83" s="59">
        <f ca="1">AVERAGE(OFFSET($BH$3,0,0,'Données projet'!$E$11+1,1))-AVERAGE(OFFSET($H$3,0,0,'Données projet'!$E$11+1,1))</f>
        <v>458.88102603650725</v>
      </c>
      <c r="BJ83" s="59">
        <f t="shared" si="92"/>
        <v>277.79020316059552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86.251048698181236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86.251048698181236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395.71</v>
      </c>
      <c r="BW83" s="12">
        <f>VLOOKUP(A83,'Données projet'!$A$113:$I$133,9,0)</f>
        <v>11.009999999999998</v>
      </c>
      <c r="BX83" s="12">
        <f t="array" ref="BX83">INDEX(BW:BW,MIN(IF(ISNUMBER(BW83:BW279),ROW(BW83:BW279),"")))</f>
        <v>11.009999999999998</v>
      </c>
      <c r="BY83" s="12">
        <f>IF('Données projet'!$A$114&gt;35,BY82+BX83-CG82,IF(A83&lt;'Données projet'!$A$114,$BV$205^A83,IF(A83='Données projet'!$A$114,'Données projet'!$B$114,BY82+BX83-CG82)))</f>
        <v>395.70999999999992</v>
      </c>
      <c r="BZ83" s="13">
        <f>BY83*VLOOKUP('Données projet'!$B$12,Paramètres!$A$1:$I$89,3,0)*VLOOKUP('Données projet'!$B$12,Paramètres!$A$1:$I$89,5,0)</f>
        <v>376.55763599999995</v>
      </c>
      <c r="CA83" s="13">
        <f t="shared" si="93"/>
        <v>87.007510360855733</v>
      </c>
      <c r="CB83" s="20">
        <f t="shared" si="64"/>
        <v>807.37596324515698</v>
      </c>
      <c r="CC83" s="59">
        <f t="shared" si="65"/>
        <v>1078.104574883843</v>
      </c>
      <c r="CD83" s="59">
        <f ca="1">AVERAGE(OFFSET($CC$3,0,0,'Données projet'!$E$12+1,1))-AVERAGE(OFFSET($H$3,0,0,'Données projet'!$E$12+1,1))</f>
        <v>592.58528888957346</v>
      </c>
      <c r="CE83" s="59">
        <f t="shared" si="94"/>
        <v>311.31528017256846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59.57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117.70944079839644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117.70944079839644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0.8600000000003547</v>
      </c>
      <c r="CU83" s="17">
        <f>CT83*VLOOKUP('Données projet'!$B$13,Paramètres!$A$1:$I$89,3,0)*VLOOKUP('Données projet'!$B$13,Paramètres!$A$1:$I$89,5,0)</f>
        <v>0.48074000000019829</v>
      </c>
      <c r="CV83" s="13">
        <f t="shared" si="95"/>
        <v>0.24126147010950588</v>
      </c>
      <c r="CW83" s="20">
        <f t="shared" si="67"/>
        <v>1.2574858937744013</v>
      </c>
      <c r="CX83" s="59">
        <f t="shared" si="68"/>
        <v>271.98609753246052</v>
      </c>
      <c r="CY83" s="59">
        <f ca="1">AVERAGE(OFFSET($CX$3,0,0,'Données projet'!$E$13+1,1))-AVERAGE(OFFSET($H$3,0,0,'Données projet'!$E$13+1,1))</f>
        <v>420.4890915162182</v>
      </c>
      <c r="CZ83" s="59">
        <f t="shared" si="96"/>
        <v>553.48432338023565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226.60844250261519</v>
      </c>
      <c r="DG83" s="21">
        <f>EXP(-LN(2)/25)*DG82+(1-EXP(-LN(2)/25))/(LN(2)/25)*Calculateur!DB83*Calculateur!DD83*VLOOKUP('Données projet'!$B$13,Paramètres!$A$1:$I$89,3,0)*0.475*44/12</f>
        <v>12.642817885038024</v>
      </c>
      <c r="DH83" s="21">
        <f>EXP(-LN(2)/2)*DH82+(1-EXP(-LN(2)/2))/(LN(2)/2)*DB83*DE83*VLOOKUP('Données projet'!$B$13,Paramètres!$A$1:$I$89,3,0)*0.475*44/12</f>
        <v>2.2051350148404006E-8</v>
      </c>
      <c r="DI83" s="22">
        <f t="shared" si="69"/>
        <v>239.25126040970457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395.71</v>
      </c>
      <c r="DM83" s="12">
        <f>VLOOKUP(A83,'Données projet'!$A$165:$I$185,9,0)</f>
        <v>11.009999999999998</v>
      </c>
      <c r="DN83" s="12">
        <f t="array" ref="DN83">INDEX(DM:DM,MIN(IF(ISNUMBER(DM83:DM279),ROW(DM83:DM279),"")))</f>
        <v>11.009999999999998</v>
      </c>
      <c r="DO83" s="12">
        <f>IF('Données projet'!$A$166&gt;35,DO82+DN83-DW82,IF(A83&lt;'Données projet'!$A$166,$DL$205^A83,IF(A83='Données projet'!$A$166,'Données projet'!$B$166,DO82+DN83-DW82)))</f>
        <v>395.70999999999992</v>
      </c>
      <c r="DP83" s="17">
        <f>DO83*VLOOKUP('Données projet'!$B$14,Paramètres!$A$1:$I$89,3,0)*VLOOKUP('Données projet'!$B$14,Paramètres!$A$1:$I$89,5,0)</f>
        <v>425.9422439999999</v>
      </c>
      <c r="DQ83" s="13">
        <f t="shared" si="97"/>
        <v>97.016668310567908</v>
      </c>
      <c r="DR83" s="20">
        <f t="shared" si="70"/>
        <v>910.82010560757226</v>
      </c>
      <c r="DS83" s="59">
        <f t="shared" si="71"/>
        <v>1181.5487172462583</v>
      </c>
      <c r="DT83" s="59">
        <f ca="1">AVERAGE(OFFSET($DS$3,0,0,'Données projet'!$E$14+1,1))-AVERAGE(OFFSET($H$3,0,0,'Données projet'!$E$14+1,1))</f>
        <v>659.55755908012691</v>
      </c>
      <c r="DU83" s="59">
        <f t="shared" si="98"/>
        <v>343.96647464823627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59.57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133.14674450966152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133.14674450966152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395.71</v>
      </c>
      <c r="EH83" s="12">
        <f>VLOOKUP(A83,'Données projet'!$A$191:$I$211,9,0)</f>
        <v>11.009999999999998</v>
      </c>
      <c r="EI83" s="12">
        <f t="array" ref="EI83">INDEX(EH:EH,MIN(IF(ISNUMBER(EH83:EH279),ROW(EH83:EH279),"")))</f>
        <v>11.009999999999998</v>
      </c>
      <c r="EJ83" s="12">
        <f>IF('Données projet'!$A$192&gt;35,EJ82+EI83-ER82,IF(A83&lt;'Données projet'!$A$192,$EG$205^A83,IF(A83='Données projet'!$A$192,'Données projet'!$B$192,EJ82+EI83-ER82)))</f>
        <v>395.70999999999992</v>
      </c>
      <c r="EK83" s="17">
        <f>EJ83*VLOOKUP('Données projet'!$B$15,Paramètres!$A$1:$I$89,3,0)*VLOOKUP('Données projet'!$B$15,Paramètres!$A$1:$I$89,5,0)</f>
        <v>382.73071199999993</v>
      </c>
      <c r="EL83" s="13">
        <f t="shared" si="99"/>
        <v>88.266640342295247</v>
      </c>
      <c r="EM83" s="20">
        <f t="shared" si="73"/>
        <v>820.32038866283074</v>
      </c>
      <c r="EN83" s="59">
        <f t="shared" si="74"/>
        <v>1091.0490003015168</v>
      </c>
      <c r="EO83" s="59">
        <f ca="1">AVERAGE(OFFSET($EN$3,0,0,'Données projet'!$E$15+1,1))-AVERAGE(OFFSET($H$3,0,0,'Données projet'!$E$15+1,1))</f>
        <v>600.96600099541388</v>
      </c>
      <c r="EP83" s="59">
        <f t="shared" si="100"/>
        <v>315.40159257508969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59.57</v>
      </c>
      <c r="ES83" s="16">
        <f>IF(ISNA(VLOOKUP(A83,'Données projet'!$A$191:$I$211,5,0)),0%,VLOOKUP(A83,'Données projet'!$A$191:$I$211,5,0)*VLOOKUP('Données projet'!$B$15,Paramètres!$A$1:$I$89,7,0))</f>
        <v>0.43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119.63910376230459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119.63910376230459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346.54999999999995</v>
      </c>
      <c r="O84" s="13">
        <f>N84*VLOOKUP('Données projet'!$B$9,Paramètres!$A$1:$I$89,3,0)*VLOOKUP('Données projet'!$B$9,Paramètres!$A$1:$I$89,5,0)</f>
        <v>313.55843999999996</v>
      </c>
      <c r="P84" s="13">
        <f t="shared" si="87"/>
        <v>74.011479710591601</v>
      </c>
      <c r="Q84" s="20">
        <f t="shared" si="54"/>
        <v>675.01761016261355</v>
      </c>
      <c r="R84" s="59">
        <f t="shared" si="55"/>
        <v>946.13836318611493</v>
      </c>
      <c r="S84" s="59">
        <f ca="1">AVERAGE(OFFSET($R$3,0,0,'Données projet'!$E$9+1,1))-AVERAGE(OFFSET($H$3,0,0,'Données projet'!$E$9+1,1))</f>
        <v>567.42635821336114</v>
      </c>
      <c r="T84" s="59">
        <f t="shared" si="88"/>
        <v>299.0473530693472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109.72576010951727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109.72576010951727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9.6</v>
      </c>
      <c r="AI84" s="13">
        <f>IF('Données projet'!$A$62&gt;35,AI83+AH84-AQ83,IF(A84&lt;'Données projet'!$A$62,$AF$205^A84,IF(A84='Données projet'!$A$62,'Données projet'!$B$62,AI83+AH84-AQ83)))</f>
        <v>399.60000000000019</v>
      </c>
      <c r="AJ84" s="13">
        <f>AI84*VLOOKUP('Données projet'!$B$10,Paramètres!$A$1:$I$89,3,0)*VLOOKUP('Données projet'!$B$10,Paramètres!$A$1:$I$89,5,0)</f>
        <v>342.85680000000019</v>
      </c>
      <c r="AK84" s="13">
        <f t="shared" si="89"/>
        <v>80.089891653777897</v>
      </c>
      <c r="AL84" s="20">
        <f t="shared" si="58"/>
        <v>736.63215463033009</v>
      </c>
      <c r="AM84" s="59">
        <f t="shared" si="59"/>
        <v>1007.7529076538315</v>
      </c>
      <c r="AN84" s="59">
        <f ca="1">AVERAGE(OFFSET($AM$3,0,0,'Données projet'!$E$10+1,1))-AVERAGE(OFFSET($H$3,0,0,'Données projet'!$E$10+1,1))</f>
        <v>570.05585579662738</v>
      </c>
      <c r="AO84" s="59">
        <f t="shared" si="90"/>
        <v>331.25104323342907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114.50270466446932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114.50270466446932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>
        <f>VLOOKUP(A84,'Données projet'!$A$87:$I$107,2,0)</f>
        <v>433.28</v>
      </c>
      <c r="BB84" s="12">
        <f>VLOOKUP(A84,'Données projet'!$A$87:$I$107,9,0)</f>
        <v>11.91333333333333</v>
      </c>
      <c r="BC84" s="12">
        <f t="array" ref="BC84">INDEX(BB:BB,MIN(IF(ISNUMBER(BB84:BB280),ROW(BB84:BB280),"")))</f>
        <v>11.91333333333333</v>
      </c>
      <c r="BD84" s="12">
        <f>IF('Données projet'!$A$88&gt;35,BD83+BC84-BL83,IF(A84&lt;'Données projet'!$A$88,$BA$205^A84,IF(A84='Données projet'!$A$88,'Données projet'!$B$88,BD83+BC84-BL83)))</f>
        <v>433.28000000000026</v>
      </c>
      <c r="BE84" s="13">
        <f>BD84*VLOOKUP('Données projet'!$B$11,Paramètres!$A$1:$I$89,3,0)*VLOOKUP('Données projet'!$B$11,Paramètres!$A$1:$I$89,5,0)</f>
        <v>364.99507200000028</v>
      </c>
      <c r="BF84" s="13">
        <f t="shared" si="91"/>
        <v>84.642573401902567</v>
      </c>
      <c r="BG84" s="20">
        <f t="shared" si="61"/>
        <v>783.11889907498062</v>
      </c>
      <c r="BH84" s="59">
        <f t="shared" si="62"/>
        <v>1054.2396520984821</v>
      </c>
      <c r="BI84" s="59">
        <f ca="1">AVERAGE(OFFSET($BH$3,0,0,'Données projet'!$E$11+1,1))-AVERAGE(OFFSET($H$3,0,0,'Données projet'!$E$11+1,1))</f>
        <v>458.88102603650725</v>
      </c>
      <c r="BJ84" s="59">
        <f t="shared" si="92"/>
        <v>277.79020316059552</v>
      </c>
      <c r="BK84" s="15">
        <f>IF(ISNA(VLOOKUP(A84,'Données projet'!$A$87:$I$107,3,0)),0,VLOOKUP(A84,'Données projet'!$A$87:$I$107,3,0))</f>
        <v>8</v>
      </c>
      <c r="BL84" s="15">
        <f>IF(ISNA(VLOOKUP(A84,'Données projet'!$A$87:$I$107,4,0)),0,VLOOKUP(A84,'Données projet'!$A$87:$I$107,4,0))</f>
        <v>77.44</v>
      </c>
      <c r="BM84" s="16">
        <f>IF(ISNA(VLOOKUP(A84,'Données projet'!$A$87:$I$107,5,0)),0%,VLOOKUP(A84,'Données projet'!$A$87:$I$107,5,0)*VLOOKUP('Données projet'!$B$11,Paramètres!$A$1:$I$89,7,0))</f>
        <v>0.43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115.5695398915848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115.5695398915848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10.41</v>
      </c>
      <c r="BY84" s="12">
        <f>IF('Données projet'!$A$114&gt;35,BY83+BX84-CG83,IF(A84&lt;'Données projet'!$A$114,$BV$205^A84,IF(A84='Données projet'!$A$114,'Données projet'!$B$114,BY83+BX84-CG83)))</f>
        <v>346.54999999999995</v>
      </c>
      <c r="BZ84" s="13">
        <f>BY84*VLOOKUP('Données projet'!$B$12,Paramètres!$A$1:$I$89,3,0)*VLOOKUP('Données projet'!$B$12,Paramètres!$A$1:$I$89,5,0)</f>
        <v>329.77697999999998</v>
      </c>
      <c r="CA84" s="13">
        <f t="shared" si="93"/>
        <v>77.384067616717971</v>
      </c>
      <c r="CB84" s="20">
        <f t="shared" si="64"/>
        <v>709.13882459911702</v>
      </c>
      <c r="CC84" s="59">
        <f t="shared" si="65"/>
        <v>980.25957762261851</v>
      </c>
      <c r="CD84" s="59">
        <f ca="1">AVERAGE(OFFSET($CC$3,0,0,'Données projet'!$E$12+1,1))-AVERAGE(OFFSET($H$3,0,0,'Données projet'!$E$12+1,1))</f>
        <v>592.58528888957346</v>
      </c>
      <c r="CE84" s="59">
        <f t="shared" si="94"/>
        <v>311.31528017256846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115.40123046000954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115.40123046000954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0.8600000000003547</v>
      </c>
      <c r="CU84" s="17">
        <f>CT84*VLOOKUP('Données projet'!$B$13,Paramètres!$A$1:$I$89,3,0)*VLOOKUP('Données projet'!$B$13,Paramètres!$A$1:$I$89,5,0)</f>
        <v>0.48074000000019829</v>
      </c>
      <c r="CV84" s="13">
        <f t="shared" si="95"/>
        <v>0.24126147010950588</v>
      </c>
      <c r="CW84" s="20">
        <f t="shared" si="67"/>
        <v>1.2574858937744013</v>
      </c>
      <c r="CX84" s="59">
        <f t="shared" si="68"/>
        <v>272.37823891727584</v>
      </c>
      <c r="CY84" s="59">
        <f ca="1">AVERAGE(OFFSET($CX$3,0,0,'Données projet'!$E$13+1,1))-AVERAGE(OFFSET($H$3,0,0,'Données projet'!$E$13+1,1))</f>
        <v>420.4890915162182</v>
      </c>
      <c r="CZ84" s="59">
        <f t="shared" si="96"/>
        <v>553.48432338023565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222.164789162641</v>
      </c>
      <c r="DG84" s="21">
        <f>EXP(-LN(2)/25)*DG83+(1-EXP(-LN(2)/25))/(LN(2)/25)*Calculateur!DB84*Calculateur!DD84*VLOOKUP('Données projet'!$B$13,Paramètres!$A$1:$I$89,3,0)*0.475*44/12</f>
        <v>12.297099365114763</v>
      </c>
      <c r="DH84" s="21">
        <f>EXP(-LN(2)/2)*DH83+(1-EXP(-LN(2)/2))/(LN(2)/2)*DB84*DE84*VLOOKUP('Données projet'!$B$13,Paramètres!$A$1:$I$89,3,0)*0.475*44/12</f>
        <v>1.5592659224255453E-8</v>
      </c>
      <c r="DI84" s="22">
        <f t="shared" si="69"/>
        <v>234.46188854334844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10.41</v>
      </c>
      <c r="DO84" s="12">
        <f>IF('Données projet'!$A$166&gt;35,DO83+DN84-DW83,IF(A84&lt;'Données projet'!$A$166,$DL$205^A84,IF(A84='Données projet'!$A$166,'Données projet'!$B$166,DO83+DN84-DW83)))</f>
        <v>346.54999999999995</v>
      </c>
      <c r="DP84" s="17">
        <f>DO84*VLOOKUP('Données projet'!$B$14,Paramètres!$A$1:$I$89,3,0)*VLOOKUP('Données projet'!$B$14,Paramètres!$A$1:$I$89,5,0)</f>
        <v>373.02641999999997</v>
      </c>
      <c r="DQ84" s="13">
        <f t="shared" si="97"/>
        <v>86.286165290293098</v>
      </c>
      <c r="DR84" s="20">
        <f t="shared" si="70"/>
        <v>799.96941938059365</v>
      </c>
      <c r="DS84" s="59">
        <f t="shared" si="71"/>
        <v>1071.090172404095</v>
      </c>
      <c r="DT84" s="59">
        <f ca="1">AVERAGE(OFFSET($DS$3,0,0,'Données projet'!$E$14+1,1))-AVERAGE(OFFSET($H$3,0,0,'Données projet'!$E$14+1,1))</f>
        <v>659.55755908012691</v>
      </c>
      <c r="DU84" s="59">
        <f t="shared" si="98"/>
        <v>343.96647464823627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130.53581806132223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130.53581806132223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10.41</v>
      </c>
      <c r="EJ84" s="12">
        <f>IF('Données projet'!$A$192&gt;35,EJ83+EI84-ER83,IF(A84&lt;'Données projet'!$A$192,$EG$205^A84,IF(A84='Données projet'!$A$192,'Données projet'!$B$192,EJ83+EI84-ER83)))</f>
        <v>346.54999999999995</v>
      </c>
      <c r="EK84" s="17">
        <f>EJ84*VLOOKUP('Données projet'!$B$15,Paramètres!$A$1:$I$89,3,0)*VLOOKUP('Données projet'!$B$15,Paramètres!$A$1:$I$89,5,0)</f>
        <v>335.18315999999993</v>
      </c>
      <c r="EL84" s="13">
        <f t="shared" si="99"/>
        <v>78.503931858527082</v>
      </c>
      <c r="EM84" s="20">
        <f t="shared" si="73"/>
        <v>720.50501832026794</v>
      </c>
      <c r="EN84" s="59">
        <f t="shared" si="74"/>
        <v>991.62577134376943</v>
      </c>
      <c r="EO84" s="59">
        <f ca="1">AVERAGE(OFFSET($EN$3,0,0,'Données projet'!$E$15+1,1))-AVERAGE(OFFSET($H$3,0,0,'Données projet'!$E$15+1,1))</f>
        <v>600.96600099541388</v>
      </c>
      <c r="EP84" s="59">
        <f t="shared" si="100"/>
        <v>315.40159257508969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117.29305391017364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117.29305391017364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356.96</v>
      </c>
      <c r="O85" s="13">
        <f>N85*VLOOKUP('Données projet'!$B$9,Paramètres!$A$1:$I$89,3,0)*VLOOKUP('Données projet'!$B$9,Paramètres!$A$1:$I$89,5,0)</f>
        <v>322.97740799999997</v>
      </c>
      <c r="P85" s="13">
        <f t="shared" si="87"/>
        <v>75.9725269838044</v>
      </c>
      <c r="Q85" s="20">
        <f t="shared" si="54"/>
        <v>694.83780343012586</v>
      </c>
      <c r="R85" s="59">
        <f t="shared" si="55"/>
        <v>966.34389506211289</v>
      </c>
      <c r="S85" s="59">
        <f ca="1">AVERAGE(OFFSET($R$3,0,0,'Données projet'!$E$9+1,1))-AVERAGE(OFFSET($H$3,0,0,'Données projet'!$E$9+1,1))</f>
        <v>567.42635821336114</v>
      </c>
      <c r="T85" s="59">
        <f t="shared" si="88"/>
        <v>299.0473530693472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107.57410487987489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107.57410487987489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9.6</v>
      </c>
      <c r="AI85" s="13">
        <f>IF('Données projet'!$A$62&gt;35,AI84+AH85-AQ84,IF(A85&lt;'Données projet'!$A$62,$AF$205^A85,IF(A85='Données projet'!$A$62,'Données projet'!$B$62,AI84+AH85-AQ84)))</f>
        <v>409.20000000000022</v>
      </c>
      <c r="AJ85" s="13">
        <f>AI85*VLOOKUP('Données projet'!$B$10,Paramètres!$A$1:$I$89,3,0)*VLOOKUP('Données projet'!$B$10,Paramètres!$A$1:$I$89,5,0)</f>
        <v>351.09360000000027</v>
      </c>
      <c r="AK85" s="13">
        <f t="shared" si="89"/>
        <v>81.787653933539119</v>
      </c>
      <c r="AL85" s="20">
        <f t="shared" si="58"/>
        <v>753.93485060091427</v>
      </c>
      <c r="AM85" s="59">
        <f t="shared" si="59"/>
        <v>1025.4409422329013</v>
      </c>
      <c r="AN85" s="59">
        <f ca="1">AVERAGE(OFFSET($AM$3,0,0,'Données projet'!$E$10+1,1))-AVERAGE(OFFSET($H$3,0,0,'Données projet'!$E$10+1,1))</f>
        <v>570.05585579662738</v>
      </c>
      <c r="AO85" s="59">
        <f t="shared" si="90"/>
        <v>331.25104323342907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112.25737646575281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112.25737646575281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10.798888888888889</v>
      </c>
      <c r="BD85" s="12">
        <f>IF('Données projet'!$A$88&gt;35,BD84+BC85-BL84,IF(A85&lt;'Données projet'!$A$88,$BA$205^A85,IF(A85='Données projet'!$A$88,'Données projet'!$B$88,BD84+BC85-BL84)))</f>
        <v>366.63888888888914</v>
      </c>
      <c r="BE85" s="13">
        <f>BD85*VLOOKUP('Données projet'!$B$11,Paramètres!$A$1:$I$89,3,0)*VLOOKUP('Données projet'!$B$11,Paramètres!$A$1:$I$89,5,0)</f>
        <v>308.85660000000024</v>
      </c>
      <c r="BF85" s="13">
        <f t="shared" si="91"/>
        <v>73.029991413617765</v>
      </c>
      <c r="BG85" s="20">
        <f t="shared" si="61"/>
        <v>665.11914671205125</v>
      </c>
      <c r="BH85" s="59">
        <f t="shared" si="62"/>
        <v>936.62523834403828</v>
      </c>
      <c r="BI85" s="59">
        <f ca="1">AVERAGE(OFFSET($BH$3,0,0,'Données projet'!$E$11+1,1))-AVERAGE(OFFSET($H$3,0,0,'Données projet'!$E$11+1,1))</f>
        <v>458.88102603650725</v>
      </c>
      <c r="BJ85" s="59">
        <f t="shared" si="92"/>
        <v>277.79020316059552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113.30329170476979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113.30329170476979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10.41</v>
      </c>
      <c r="BY85" s="12">
        <f>IF('Données projet'!$A$114&gt;35,BY84+BX85-CG84,IF(A85&lt;'Données projet'!$A$114,$BV$205^A85,IF(A85='Données projet'!$A$114,'Données projet'!$B$114,BY84+BX85-CG84)))</f>
        <v>356.96</v>
      </c>
      <c r="BZ85" s="13">
        <f>BY85*VLOOKUP('Données projet'!$B$12,Paramètres!$A$1:$I$89,3,0)*VLOOKUP('Données projet'!$B$12,Paramètres!$A$1:$I$89,5,0)</f>
        <v>339.68313599999999</v>
      </c>
      <c r="CA85" s="13">
        <f t="shared" si="93"/>
        <v>79.434476761127598</v>
      </c>
      <c r="CB85" s="20">
        <f t="shared" si="64"/>
        <v>729.96317555896394</v>
      </c>
      <c r="CC85" s="59">
        <f t="shared" si="65"/>
        <v>1001.469267190951</v>
      </c>
      <c r="CD85" s="59">
        <f ca="1">AVERAGE(OFFSET($CC$3,0,0,'Données projet'!$E$12+1,1))-AVERAGE(OFFSET($H$3,0,0,'Données projet'!$E$12+1,1))</f>
        <v>592.58528888957346</v>
      </c>
      <c r="CE85" s="59">
        <f t="shared" si="94"/>
        <v>311.31528017256846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113.13828271848912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113.13828271848912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0.8600000000003547</v>
      </c>
      <c r="CU85" s="17">
        <f>CT85*VLOOKUP('Données projet'!$B$13,Paramètres!$A$1:$I$89,3,0)*VLOOKUP('Données projet'!$B$13,Paramètres!$A$1:$I$89,5,0)</f>
        <v>0.48074000000019829</v>
      </c>
      <c r="CV85" s="13">
        <f t="shared" si="95"/>
        <v>0.24126147010950588</v>
      </c>
      <c r="CW85" s="20">
        <f t="shared" si="67"/>
        <v>1.2574858937744013</v>
      </c>
      <c r="CX85" s="59">
        <f t="shared" si="68"/>
        <v>272.76357752576143</v>
      </c>
      <c r="CY85" s="59">
        <f ca="1">AVERAGE(OFFSET($CX$3,0,0,'Données projet'!$E$13+1,1))-AVERAGE(OFFSET($H$3,0,0,'Données projet'!$E$13+1,1))</f>
        <v>420.4890915162182</v>
      </c>
      <c r="CZ85" s="59">
        <f t="shared" si="96"/>
        <v>553.48432338023565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217.80827315430278</v>
      </c>
      <c r="DG85" s="21">
        <f>EXP(-LN(2)/25)*DG84+(1-EXP(-LN(2)/25))/(LN(2)/25)*Calculateur!DB85*Calculateur!DD85*VLOOKUP('Données projet'!$B$13,Paramètres!$A$1:$I$89,3,0)*0.475*44/12</f>
        <v>11.96083453629935</v>
      </c>
      <c r="DH85" s="21">
        <f>EXP(-LN(2)/2)*DH84+(1-EXP(-LN(2)/2))/(LN(2)/2)*DB85*DE85*VLOOKUP('Données projet'!$B$13,Paramètres!$A$1:$I$89,3,0)*0.475*44/12</f>
        <v>1.1025675074202003E-8</v>
      </c>
      <c r="DI85" s="22">
        <f t="shared" si="69"/>
        <v>229.7691077016278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10.41</v>
      </c>
      <c r="DO85" s="12">
        <f>IF('Données projet'!$A$166&gt;35,DO84+DN85-DW84,IF(A85&lt;'Données projet'!$A$166,$DL$205^A85,IF(A85='Données projet'!$A$166,'Données projet'!$B$166,DO84+DN85-DW84)))</f>
        <v>356.96</v>
      </c>
      <c r="DP85" s="17">
        <f>DO85*VLOOKUP('Données projet'!$B$14,Paramètres!$A$1:$I$89,3,0)*VLOOKUP('Données projet'!$B$14,Paramètres!$A$1:$I$89,5,0)</f>
        <v>384.23174399999999</v>
      </c>
      <c r="DQ85" s="13">
        <f t="shared" si="97"/>
        <v>88.572449118426078</v>
      </c>
      <c r="DR85" s="20">
        <f t="shared" si="70"/>
        <v>823.46730301459195</v>
      </c>
      <c r="DS85" s="59">
        <f t="shared" si="71"/>
        <v>1094.973394646579</v>
      </c>
      <c r="DT85" s="59">
        <f ca="1">AVERAGE(OFFSET($DS$3,0,0,'Données projet'!$E$14+1,1))-AVERAGE(OFFSET($H$3,0,0,'Données projet'!$E$14+1,1))</f>
        <v>659.55755908012691</v>
      </c>
      <c r="DU85" s="59">
        <f t="shared" si="98"/>
        <v>343.96647464823627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127.976090288127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127.976090288127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10.41</v>
      </c>
      <c r="EJ85" s="12">
        <f>IF('Données projet'!$A$192&gt;35,EJ84+EI85-ER84,IF(A85&lt;'Données projet'!$A$192,$EG$205^A85,IF(A85='Données projet'!$A$192,'Données projet'!$B$192,EJ84+EI85-ER84)))</f>
        <v>356.96</v>
      </c>
      <c r="EK85" s="17">
        <f>EJ85*VLOOKUP('Données projet'!$B$15,Paramètres!$A$1:$I$89,3,0)*VLOOKUP('Données projet'!$B$15,Paramètres!$A$1:$I$89,5,0)</f>
        <v>345.251712</v>
      </c>
      <c r="EL85" s="13">
        <f t="shared" si="99"/>
        <v>80.584013517610799</v>
      </c>
      <c r="EM85" s="20">
        <f t="shared" si="73"/>
        <v>741.66388860983886</v>
      </c>
      <c r="EN85" s="59">
        <f t="shared" si="74"/>
        <v>1013.1699802418259</v>
      </c>
      <c r="EO85" s="59">
        <f ca="1">AVERAGE(OFFSET($EN$3,0,0,'Données projet'!$E$15+1,1))-AVERAGE(OFFSET($H$3,0,0,'Données projet'!$E$15+1,1))</f>
        <v>600.96600099541388</v>
      </c>
      <c r="EP85" s="59">
        <f t="shared" si="100"/>
        <v>315.40159257508969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114.99300866469386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114.99300866469386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367.37</v>
      </c>
      <c r="O86" s="13">
        <f>N86*VLOOKUP('Données projet'!$B$9,Paramètres!$A$1:$I$89,3,0)*VLOOKUP('Données projet'!$B$9,Paramètres!$A$1:$I$89,5,0)</f>
        <v>332.39637599999998</v>
      </c>
      <c r="P86" s="13">
        <f t="shared" si="87"/>
        <v>77.926927644548115</v>
      </c>
      <c r="Q86" s="20">
        <f t="shared" si="54"/>
        <v>714.6464205142546</v>
      </c>
      <c r="R86" s="59">
        <f t="shared" si="55"/>
        <v>986.53116599135808</v>
      </c>
      <c r="S86" s="59">
        <f ca="1">AVERAGE(OFFSET($R$3,0,0,'Données projet'!$E$9+1,1))-AVERAGE(OFFSET($H$3,0,0,'Données projet'!$E$9+1,1))</f>
        <v>567.42635821336114</v>
      </c>
      <c r="T86" s="59">
        <f t="shared" si="88"/>
        <v>299.0473530693472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105.46464229690571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105.46464229690571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9.6</v>
      </c>
      <c r="AI86" s="13">
        <f>IF('Données projet'!$A$62&gt;35,AI85+AH86-AQ85,IF(A86&lt;'Données projet'!$A$62,$AF$205^A86,IF(A86='Données projet'!$A$62,'Données projet'!$B$62,AI85+AH86-AQ85)))</f>
        <v>418.80000000000024</v>
      </c>
      <c r="AJ86" s="13">
        <f>AI86*VLOOKUP('Données projet'!$B$10,Paramètres!$A$1:$I$89,3,0)*VLOOKUP('Données projet'!$B$10,Paramètres!$A$1:$I$89,5,0)</f>
        <v>359.33040000000022</v>
      </c>
      <c r="AK86" s="13">
        <f t="shared" si="89"/>
        <v>83.48078585362731</v>
      </c>
      <c r="AL86" s="20">
        <f t="shared" si="58"/>
        <v>771.22948202840132</v>
      </c>
      <c r="AM86" s="59">
        <f t="shared" si="59"/>
        <v>1043.1142275055049</v>
      </c>
      <c r="AN86" s="59">
        <f ca="1">AVERAGE(OFFSET($AM$3,0,0,'Données projet'!$E$10+1,1))-AVERAGE(OFFSET($H$3,0,0,'Données projet'!$E$10+1,1))</f>
        <v>570.05585579662738</v>
      </c>
      <c r="AO86" s="59">
        <f t="shared" si="90"/>
        <v>331.25104323342907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110.05607778349817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110.05607778349817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10.798888888888889</v>
      </c>
      <c r="BD86" s="12">
        <f>IF('Données projet'!$A$88&gt;35,BD85+BC86-BL85,IF(A86&lt;'Données projet'!$A$88,$BA$205^A86,IF(A86='Données projet'!$A$88,'Données projet'!$B$88,BD85+BC86-BL85)))</f>
        <v>377.43777777777802</v>
      </c>
      <c r="BE86" s="13">
        <f>BD86*VLOOKUP('Données projet'!$B$11,Paramètres!$A$1:$I$89,3,0)*VLOOKUP('Données projet'!$B$11,Paramètres!$A$1:$I$89,5,0)</f>
        <v>317.95358400000026</v>
      </c>
      <c r="BF86" s="13">
        <f t="shared" si="91"/>
        <v>74.927398159240596</v>
      </c>
      <c r="BG86" s="20">
        <f t="shared" si="61"/>
        <v>684.26771059401108</v>
      </c>
      <c r="BH86" s="59">
        <f t="shared" si="62"/>
        <v>956.15245607111456</v>
      </c>
      <c r="BI86" s="59">
        <f ca="1">AVERAGE(OFFSET($BH$3,0,0,'Données projet'!$E$11+1,1))-AVERAGE(OFFSET($H$3,0,0,'Données projet'!$E$11+1,1))</f>
        <v>458.88102603650725</v>
      </c>
      <c r="BJ86" s="59">
        <f t="shared" si="92"/>
        <v>277.79020316059552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111.08148326262332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111.08148326262332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10.41</v>
      </c>
      <c r="BY86" s="12">
        <f>IF('Données projet'!$A$114&gt;35,BY85+BX86-CG85,IF(A86&lt;'Données projet'!$A$114,$BV$205^A86,IF(A86='Données projet'!$A$114,'Données projet'!$B$114,BY85+BX86-CG85)))</f>
        <v>367.37</v>
      </c>
      <c r="BZ86" s="13">
        <f>BY86*VLOOKUP('Données projet'!$B$12,Paramètres!$A$1:$I$89,3,0)*VLOOKUP('Données projet'!$B$12,Paramètres!$A$1:$I$89,5,0)</f>
        <v>349.589292</v>
      </c>
      <c r="CA86" s="13">
        <f t="shared" si="93"/>
        <v>81.47793641728552</v>
      </c>
      <c r="CB86" s="20">
        <f t="shared" si="64"/>
        <v>750.77542282677223</v>
      </c>
      <c r="CC86" s="59">
        <f t="shared" si="65"/>
        <v>1022.6601683038757</v>
      </c>
      <c r="CD86" s="59">
        <f ca="1">AVERAGE(OFFSET($CC$3,0,0,'Données projet'!$E$12+1,1))-AVERAGE(OFFSET($H$3,0,0,'Données projet'!$E$12+1,1))</f>
        <v>592.58528888957346</v>
      </c>
      <c r="CE86" s="59">
        <f t="shared" si="94"/>
        <v>311.31528017256846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110.91971000191808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110.91971000191808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0.8600000000003547</v>
      </c>
      <c r="CU86" s="17">
        <f>CT86*VLOOKUP('Données projet'!$B$13,Paramètres!$A$1:$I$89,3,0)*VLOOKUP('Données projet'!$B$13,Paramètres!$A$1:$I$89,5,0)</f>
        <v>0.48074000000019829</v>
      </c>
      <c r="CV86" s="13">
        <f t="shared" si="95"/>
        <v>0.24126147010950588</v>
      </c>
      <c r="CW86" s="20">
        <f t="shared" si="67"/>
        <v>1.2574858937744013</v>
      </c>
      <c r="CX86" s="59">
        <f t="shared" si="68"/>
        <v>273.14223137087788</v>
      </c>
      <c r="CY86" s="59">
        <f ca="1">AVERAGE(OFFSET($CX$3,0,0,'Données projet'!$E$13+1,1))-AVERAGE(OFFSET($H$3,0,0,'Données projet'!$E$13+1,1))</f>
        <v>420.4890915162182</v>
      </c>
      <c r="CZ86" s="59">
        <f t="shared" si="96"/>
        <v>553.48432338023565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213.53718576767568</v>
      </c>
      <c r="DG86" s="21">
        <f>EXP(-LN(2)/25)*DG85+(1-EXP(-LN(2)/25))/(LN(2)/25)*Calculateur!DB86*Calculateur!DD86*VLOOKUP('Données projet'!$B$13,Paramètres!$A$1:$I$89,3,0)*0.475*44/12</f>
        <v>11.633764886911292</v>
      </c>
      <c r="DH86" s="21">
        <f>EXP(-LN(2)/2)*DH85+(1-EXP(-LN(2)/2))/(LN(2)/2)*DB86*DE86*VLOOKUP('Données projet'!$B$13,Paramètres!$A$1:$I$89,3,0)*0.475*44/12</f>
        <v>7.7963296121277267E-9</v>
      </c>
      <c r="DI86" s="22">
        <f t="shared" si="69"/>
        <v>225.17095066238329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10.41</v>
      </c>
      <c r="DO86" s="12">
        <f>IF('Données projet'!$A$166&gt;35,DO85+DN86-DW85,IF(A86&lt;'Données projet'!$A$166,$DL$205^A86,IF(A86='Données projet'!$A$166,'Données projet'!$B$166,DO85+DN86-DW85)))</f>
        <v>367.37</v>
      </c>
      <c r="DP86" s="17">
        <f>DO86*VLOOKUP('Données projet'!$B$14,Paramètres!$A$1:$I$89,3,0)*VLOOKUP('Données projet'!$B$14,Paramètres!$A$1:$I$89,5,0)</f>
        <v>395.43706800000001</v>
      </c>
      <c r="DQ86" s="13">
        <f t="shared" si="97"/>
        <v>90.85098400403858</v>
      </c>
      <c r="DR86" s="20">
        <f t="shared" si="70"/>
        <v>846.95169057370049</v>
      </c>
      <c r="DS86" s="59">
        <f t="shared" si="71"/>
        <v>1118.836436050804</v>
      </c>
      <c r="DT86" s="59">
        <f ca="1">AVERAGE(OFFSET($DS$3,0,0,'Données projet'!$E$14+1,1))-AVERAGE(OFFSET($H$3,0,0,'Données projet'!$E$14+1,1))</f>
        <v>659.55755908012691</v>
      </c>
      <c r="DU86" s="59">
        <f t="shared" si="98"/>
        <v>343.96647464823627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125.46655721528434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125.46655721528434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10.41</v>
      </c>
      <c r="EJ86" s="12">
        <f>IF('Données projet'!$A$192&gt;35,EJ85+EI86-ER85,IF(A86&lt;'Données projet'!$A$192,$EG$205^A86,IF(A86='Données projet'!$A$192,'Données projet'!$B$192,EJ85+EI86-ER85)))</f>
        <v>367.37</v>
      </c>
      <c r="EK86" s="17">
        <f>EJ86*VLOOKUP('Données projet'!$B$15,Paramètres!$A$1:$I$89,3,0)*VLOOKUP('Données projet'!$B$15,Paramètres!$A$1:$I$89,5,0)</f>
        <v>355.32026400000001</v>
      </c>
      <c r="EL86" s="13">
        <f t="shared" si="99"/>
        <v>82.657045118860125</v>
      </c>
      <c r="EM86" s="20">
        <f t="shared" si="73"/>
        <v>762.81048004868137</v>
      </c>
      <c r="EN86" s="59">
        <f t="shared" si="74"/>
        <v>1034.6952255257847</v>
      </c>
      <c r="EO86" s="59">
        <f ca="1">AVERAGE(OFFSET($EN$3,0,0,'Données projet'!$E$15+1,1))-AVERAGE(OFFSET($H$3,0,0,'Données projet'!$E$15+1,1))</f>
        <v>600.96600099541388</v>
      </c>
      <c r="EP86" s="59">
        <f t="shared" si="100"/>
        <v>315.40159257508969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112.73806590358886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112.73806590358886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377.78000000000003</v>
      </c>
      <c r="O87" s="13">
        <f>N87*VLOOKUP('Données projet'!$B$9,Paramètres!$A$1:$I$89,3,0)*VLOOKUP('Données projet'!$B$9,Paramètres!$A$1:$I$89,5,0)</f>
        <v>341.81534400000004</v>
      </c>
      <c r="P87" s="13">
        <f t="shared" si="87"/>
        <v>79.874891668491202</v>
      </c>
      <c r="Q87" s="20">
        <f t="shared" si="54"/>
        <v>734.44382712262222</v>
      </c>
      <c r="R87" s="59">
        <f t="shared" si="55"/>
        <v>1006.7006576471725</v>
      </c>
      <c r="S87" s="59">
        <f ca="1">AVERAGE(OFFSET($R$3,0,0,'Données projet'!$E$9+1,1))-AVERAGE(OFFSET($H$3,0,0,'Données projet'!$E$9+1,1))</f>
        <v>567.42635821336114</v>
      </c>
      <c r="T87" s="59">
        <f t="shared" si="88"/>
        <v>299.0473530693472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103.39654498854341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103.39654498854341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9.6</v>
      </c>
      <c r="AI87" s="13">
        <f>IF('Données projet'!$A$62&gt;35,AI86+AH87-AQ86,IF(A87&lt;'Données projet'!$A$62,$AF$205^A87,IF(A87='Données projet'!$A$62,'Données projet'!$B$62,AI86+AH87-AQ86)))</f>
        <v>428.40000000000026</v>
      </c>
      <c r="AJ87" s="13">
        <f>AI87*VLOOKUP('Données projet'!$B$10,Paramètres!$A$1:$I$89,3,0)*VLOOKUP('Données projet'!$B$10,Paramètres!$A$1:$I$89,5,0)</f>
        <v>367.5672000000003</v>
      </c>
      <c r="AK87" s="13">
        <f t="shared" si="89"/>
        <v>85.169405771799447</v>
      </c>
      <c r="AL87" s="20">
        <f t="shared" si="58"/>
        <v>788.51625505255117</v>
      </c>
      <c r="AM87" s="59">
        <f t="shared" si="59"/>
        <v>1060.7730855771015</v>
      </c>
      <c r="AN87" s="59">
        <f ca="1">AVERAGE(OFFSET($AM$3,0,0,'Données projet'!$E$10+1,1))-AVERAGE(OFFSET($H$3,0,0,'Données projet'!$E$10+1,1))</f>
        <v>570.05585579662738</v>
      </c>
      <c r="AO87" s="59">
        <f t="shared" si="90"/>
        <v>331.25104323342907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107.89794522574292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107.89794522574292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10.798888888888889</v>
      </c>
      <c r="BD87" s="12">
        <f>IF('Données projet'!$A$88&gt;35,BD86+BC87-BL86,IF(A87&lt;'Données projet'!$A$88,$BA$205^A87,IF(A87='Données projet'!$A$88,'Données projet'!$B$88,BD86+BC87-BL86)))</f>
        <v>388.23666666666691</v>
      </c>
      <c r="BE87" s="13">
        <f>BD87*VLOOKUP('Données projet'!$B$11,Paramètres!$A$1:$I$89,3,0)*VLOOKUP('Données projet'!$B$11,Paramètres!$A$1:$I$89,5,0)</f>
        <v>327.05056800000023</v>
      </c>
      <c r="BF87" s="13">
        <f t="shared" si="91"/>
        <v>76.818495523639186</v>
      </c>
      <c r="BG87" s="20">
        <f t="shared" si="61"/>
        <v>703.40528563700525</v>
      </c>
      <c r="BH87" s="59">
        <f t="shared" si="62"/>
        <v>975.66211616155556</v>
      </c>
      <c r="BI87" s="59">
        <f ca="1">AVERAGE(OFFSET($BH$3,0,0,'Données projet'!$E$11+1,1))-AVERAGE(OFFSET($H$3,0,0,'Données projet'!$E$11+1,1))</f>
        <v>458.88102603650725</v>
      </c>
      <c r="BJ87" s="59">
        <f t="shared" si="92"/>
        <v>277.79020316059552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108.90324312885801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108.90324312885801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10.41</v>
      </c>
      <c r="BY87" s="12">
        <f>IF('Données projet'!$A$114&gt;35,BY86+BX87-CG86,IF(A87&lt;'Données projet'!$A$114,$BV$205^A87,IF(A87='Données projet'!$A$114,'Données projet'!$B$114,BY86+BX87-CG86)))</f>
        <v>377.78000000000003</v>
      </c>
      <c r="BZ87" s="13">
        <f>BY87*VLOOKUP('Données projet'!$B$12,Paramètres!$A$1:$I$89,3,0)*VLOOKUP('Données projet'!$B$12,Paramètres!$A$1:$I$89,5,0)</f>
        <v>359.49544800000007</v>
      </c>
      <c r="CA87" s="13">
        <f t="shared" si="93"/>
        <v>83.51466612912472</v>
      </c>
      <c r="CB87" s="20">
        <f t="shared" si="64"/>
        <v>771.57594877489225</v>
      </c>
      <c r="CC87" s="59">
        <f t="shared" si="65"/>
        <v>1043.8327792994426</v>
      </c>
      <c r="CD87" s="59">
        <f ca="1">AVERAGE(OFFSET($CC$3,0,0,'Données projet'!$E$12+1,1))-AVERAGE(OFFSET($H$3,0,0,'Données projet'!$E$12+1,1))</f>
        <v>592.58528888957346</v>
      </c>
      <c r="CE87" s="59">
        <f t="shared" si="94"/>
        <v>311.31528017256846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108.74464214312326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108.74464214312326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0.8600000000003547</v>
      </c>
      <c r="CU87" s="17">
        <f>CT87*VLOOKUP('Données projet'!$B$13,Paramètres!$A$1:$I$89,3,0)*VLOOKUP('Données projet'!$B$13,Paramètres!$A$1:$I$89,5,0)</f>
        <v>0.48074000000019829</v>
      </c>
      <c r="CV87" s="13">
        <f t="shared" si="95"/>
        <v>0.24126147010950588</v>
      </c>
      <c r="CW87" s="20">
        <f t="shared" si="67"/>
        <v>1.2574858937744013</v>
      </c>
      <c r="CX87" s="59">
        <f t="shared" si="68"/>
        <v>273.51431641832471</v>
      </c>
      <c r="CY87" s="59">
        <f ca="1">AVERAGE(OFFSET($CX$3,0,0,'Données projet'!$E$13+1,1))-AVERAGE(OFFSET($H$3,0,0,'Données projet'!$E$13+1,1))</f>
        <v>420.4890915162182</v>
      </c>
      <c r="CZ87" s="59">
        <f t="shared" si="96"/>
        <v>553.48432338023565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209.34985179959426</v>
      </c>
      <c r="DG87" s="21">
        <f>EXP(-LN(2)/25)*DG86+(1-EXP(-LN(2)/25))/(LN(2)/25)*Calculateur!DB87*Calculateur!DD87*VLOOKUP('Données projet'!$B$13,Paramètres!$A$1:$I$89,3,0)*0.475*44/12</f>
        <v>11.315638974285596</v>
      </c>
      <c r="DH87" s="21">
        <f>EXP(-LN(2)/2)*DH86+(1-EXP(-LN(2)/2))/(LN(2)/2)*DB87*DE87*VLOOKUP('Données projet'!$B$13,Paramètres!$A$1:$I$89,3,0)*0.475*44/12</f>
        <v>5.5128375371010016E-9</v>
      </c>
      <c r="DI87" s="22">
        <f t="shared" si="69"/>
        <v>220.66549077939271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10.41</v>
      </c>
      <c r="DO87" s="12">
        <f>IF('Données projet'!$A$166&gt;35,DO86+DN87-DW86,IF(A87&lt;'Données projet'!$A$166,$DL$205^A87,IF(A87='Données projet'!$A$166,'Données projet'!$B$166,DO86+DN87-DW86)))</f>
        <v>377.78000000000003</v>
      </c>
      <c r="DP87" s="17">
        <f>DO87*VLOOKUP('Données projet'!$B$14,Paramètres!$A$1:$I$89,3,0)*VLOOKUP('Données projet'!$B$14,Paramètres!$A$1:$I$89,5,0)</f>
        <v>406.64239200000003</v>
      </c>
      <c r="DQ87" s="13">
        <f t="shared" si="97"/>
        <v>93.122014746928173</v>
      </c>
      <c r="DR87" s="20">
        <f t="shared" si="70"/>
        <v>870.42300841756662</v>
      </c>
      <c r="DS87" s="59">
        <f t="shared" si="71"/>
        <v>1142.6798389421169</v>
      </c>
      <c r="DT87" s="59">
        <f ca="1">AVERAGE(OFFSET($DS$3,0,0,'Données projet'!$E$14+1,1))-AVERAGE(OFFSET($H$3,0,0,'Données projet'!$E$14+1,1))</f>
        <v>659.55755908012691</v>
      </c>
      <c r="DU87" s="59">
        <f t="shared" si="98"/>
        <v>343.96647464823627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123.00623455533609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123.00623455533609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10.41</v>
      </c>
      <c r="EJ87" s="12">
        <f>IF('Données projet'!$A$192&gt;35,EJ86+EI87-ER86,IF(A87&lt;'Données projet'!$A$192,$EG$205^A87,IF(A87='Données projet'!$A$192,'Données projet'!$B$192,EJ86+EI87-ER86)))</f>
        <v>377.78000000000003</v>
      </c>
      <c r="EK87" s="17">
        <f>EJ87*VLOOKUP('Données projet'!$B$15,Paramètres!$A$1:$I$89,3,0)*VLOOKUP('Données projet'!$B$15,Paramètres!$A$1:$I$89,5,0)</f>
        <v>365.38881600000002</v>
      </c>
      <c r="EL87" s="13">
        <f t="shared" si="99"/>
        <v>84.72324938333999</v>
      </c>
      <c r="EM87" s="20">
        <f t="shared" si="73"/>
        <v>783.94518054265052</v>
      </c>
      <c r="EN87" s="59">
        <f t="shared" si="74"/>
        <v>1056.2020110672008</v>
      </c>
      <c r="EO87" s="59">
        <f ca="1">AVERAGE(OFFSET($EN$3,0,0,'Données projet'!$E$15+1,1))-AVERAGE(OFFSET($H$3,0,0,'Données projet'!$E$15+1,1))</f>
        <v>600.96600099541388</v>
      </c>
      <c r="EP87" s="59">
        <f t="shared" si="100"/>
        <v>315.40159257508969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110.52734119464986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110.52734119464986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388.19000000000005</v>
      </c>
      <c r="O88" s="13">
        <f>N88*VLOOKUP('Données projet'!$B$9,Paramètres!$A$1:$I$89,3,0)*VLOOKUP('Données projet'!$B$9,Paramètres!$A$1:$I$89,5,0)</f>
        <v>351.23431200000005</v>
      </c>
      <c r="P88" s="13">
        <f t="shared" si="87"/>
        <v>81.816616800686063</v>
      </c>
      <c r="Q88" s="20">
        <f t="shared" si="54"/>
        <v>754.23036766119492</v>
      </c>
      <c r="R88" s="59">
        <f t="shared" si="55"/>
        <v>1026.8528283894764</v>
      </c>
      <c r="S88" s="59">
        <f ca="1">AVERAGE(OFFSET($R$3,0,0,'Données projet'!$E$9+1,1))-AVERAGE(OFFSET($H$3,0,0,'Données projet'!$E$9+1,1))</f>
        <v>567.42635821336114</v>
      </c>
      <c r="T88" s="59">
        <f t="shared" si="88"/>
        <v>299.0473530693472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101.36900180698331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101.36900180698331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438</v>
      </c>
      <c r="AG88" s="12">
        <f>VLOOKUP(A88,'Données projet'!$A$61:$I$81,9,0)</f>
        <v>9.6</v>
      </c>
      <c r="AH88" s="12">
        <f t="array" ref="AH88">INDEX(AG:AG,MIN(IF(ISNUMBER(AG88:AG284),ROW(AG88:AG284),"")))</f>
        <v>9.6</v>
      </c>
      <c r="AI88" s="13">
        <f>IF('Données projet'!$A$62&gt;35,AI87+AH88-AQ87,IF(A88&lt;'Données projet'!$A$62,$AF$205^A88,IF(A88='Données projet'!$A$62,'Données projet'!$B$62,AI87+AH88-AQ87)))</f>
        <v>438.00000000000028</v>
      </c>
      <c r="AJ88" s="13">
        <f>AI88*VLOOKUP('Données projet'!$B$10,Paramètres!$A$1:$I$89,3,0)*VLOOKUP('Données projet'!$B$10,Paramètres!$A$1:$I$89,5,0)</f>
        <v>375.80400000000031</v>
      </c>
      <c r="AK88" s="13">
        <f t="shared" si="89"/>
        <v>86.853626438441339</v>
      </c>
      <c r="AL88" s="20">
        <f t="shared" si="58"/>
        <v>805.79536604695249</v>
      </c>
      <c r="AM88" s="59">
        <f t="shared" si="59"/>
        <v>1078.4178267752341</v>
      </c>
      <c r="AN88" s="59">
        <f ca="1">AVERAGE(OFFSET($AM$3,0,0,'Données projet'!$E$10+1,1))-AVERAGE(OFFSET($H$3,0,0,'Données projet'!$E$10+1,1))</f>
        <v>570.05585579662738</v>
      </c>
      <c r="AO88" s="59">
        <f t="shared" si="90"/>
        <v>331.25104323342907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33</v>
      </c>
      <c r="AR88" s="16">
        <f>IF(ISNA(VLOOKUP(A88,'Données projet'!$A$61:$I$81,5,0)),0%,VLOOKUP(A88,'Données projet'!$A$61:$I$81,5,0)*VLOOKUP('Données projet'!$B$10,Paramètres!$A$1:$I$89,7,0))</f>
        <v>0.53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122.37128514394523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122.37128514394523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10.798888888888889</v>
      </c>
      <c r="BD88" s="12">
        <f>IF('Données projet'!$A$88&gt;35,BD87+BC88-BL87,IF(A88&lt;'Données projet'!$A$88,$BA$205^A88,IF(A88='Données projet'!$A$88,'Données projet'!$B$88,BD87+BC88-BL87)))</f>
        <v>399.03555555555579</v>
      </c>
      <c r="BE88" s="13">
        <f>BD88*VLOOKUP('Données projet'!$B$11,Paramètres!$A$1:$I$89,3,0)*VLOOKUP('Données projet'!$B$11,Paramètres!$A$1:$I$89,5,0)</f>
        <v>336.14755200000025</v>
      </c>
      <c r="BF88" s="13">
        <f t="shared" si="91"/>
        <v>78.703479165760882</v>
      </c>
      <c r="BG88" s="20">
        <f t="shared" si="61"/>
        <v>722.53221261370061</v>
      </c>
      <c r="BH88" s="59">
        <f t="shared" si="62"/>
        <v>995.15467334198206</v>
      </c>
      <c r="BI88" s="59">
        <f ca="1">AVERAGE(OFFSET($BH$3,0,0,'Données projet'!$E$11+1,1))-AVERAGE(OFFSET($H$3,0,0,'Données projet'!$E$11+1,1))</f>
        <v>458.88102603650725</v>
      </c>
      <c r="BJ88" s="59">
        <f t="shared" si="92"/>
        <v>277.79020316059552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106.76771695552054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106.76771695552054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10.41</v>
      </c>
      <c r="BY88" s="12">
        <f>IF('Données projet'!$A$114&gt;35,BY87+BX88-CG87,IF(A88&lt;'Données projet'!$A$114,$BV$205^A88,IF(A88='Données projet'!$A$114,'Données projet'!$B$114,BY87+BX88-CG87)))</f>
        <v>388.19000000000005</v>
      </c>
      <c r="BZ88" s="13">
        <f>BY88*VLOOKUP('Données projet'!$B$12,Paramètres!$A$1:$I$89,3,0)*VLOOKUP('Données projet'!$B$12,Paramètres!$A$1:$I$89,5,0)</f>
        <v>369.40160400000002</v>
      </c>
      <c r="CA88" s="13">
        <f t="shared" si="93"/>
        <v>85.544872652631781</v>
      </c>
      <c r="CB88" s="20">
        <f t="shared" si="64"/>
        <v>792.36511350333376</v>
      </c>
      <c r="CC88" s="59">
        <f t="shared" si="65"/>
        <v>1064.9875742316153</v>
      </c>
      <c r="CD88" s="59">
        <f ca="1">AVERAGE(OFFSET($CC$3,0,0,'Données projet'!$E$12+1,1))-AVERAGE(OFFSET($H$3,0,0,'Données projet'!$E$12+1,1))</f>
        <v>592.58528888957346</v>
      </c>
      <c r="CE88" s="59">
        <f t="shared" si="94"/>
        <v>311.31528017256846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106.61222603837901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106.61222603837901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0.8600000000003547</v>
      </c>
      <c r="CU88" s="17">
        <f>CT88*VLOOKUP('Données projet'!$B$13,Paramètres!$A$1:$I$89,3,0)*VLOOKUP('Données projet'!$B$13,Paramètres!$A$1:$I$89,5,0)</f>
        <v>0.48074000000019829</v>
      </c>
      <c r="CV88" s="13">
        <f t="shared" si="95"/>
        <v>0.24126147010950588</v>
      </c>
      <c r="CW88" s="20">
        <f t="shared" si="67"/>
        <v>1.2574858937744013</v>
      </c>
      <c r="CX88" s="59">
        <f t="shared" si="68"/>
        <v>273.87994662205591</v>
      </c>
      <c r="CY88" s="59">
        <f ca="1">AVERAGE(OFFSET($CX$3,0,0,'Données projet'!$E$13+1,1))-AVERAGE(OFFSET($H$3,0,0,'Données projet'!$E$13+1,1))</f>
        <v>420.4890915162182</v>
      </c>
      <c r="CZ88" s="59">
        <f t="shared" si="96"/>
        <v>553.48432338023565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205.24462889660541</v>
      </c>
      <c r="DG88" s="21">
        <f>EXP(-LN(2)/25)*DG87+(1-EXP(-LN(2)/25))/(LN(2)/25)*Calculateur!DB88*Calculateur!DD88*VLOOKUP('Données projet'!$B$13,Paramètres!$A$1:$I$89,3,0)*0.475*44/12</f>
        <v>11.006212231470165</v>
      </c>
      <c r="DH88" s="21">
        <f>EXP(-LN(2)/2)*DH87+(1-EXP(-LN(2)/2))/(LN(2)/2)*DB88*DE88*VLOOKUP('Données projet'!$B$13,Paramètres!$A$1:$I$89,3,0)*0.475*44/12</f>
        <v>3.8981648060638634E-9</v>
      </c>
      <c r="DI88" s="22">
        <f t="shared" si="69"/>
        <v>216.25084113197371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10.41</v>
      </c>
      <c r="DO88" s="12">
        <f>IF('Données projet'!$A$166&gt;35,DO87+DN88-DW87,IF(A88&lt;'Données projet'!$A$166,$DL$205^A88,IF(A88='Données projet'!$A$166,'Données projet'!$B$166,DO87+DN88-DW87)))</f>
        <v>388.19000000000005</v>
      </c>
      <c r="DP88" s="17">
        <f>DO88*VLOOKUP('Données projet'!$B$14,Paramètres!$A$1:$I$89,3,0)*VLOOKUP('Données projet'!$B$14,Paramètres!$A$1:$I$89,5,0)</f>
        <v>417.84771600000005</v>
      </c>
      <c r="DQ88" s="13">
        <f t="shared" si="97"/>
        <v>95.385771887847838</v>
      </c>
      <c r="DR88" s="20">
        <f t="shared" si="70"/>
        <v>893.88165807133498</v>
      </c>
      <c r="DS88" s="59">
        <f t="shared" si="71"/>
        <v>1166.5041187996164</v>
      </c>
      <c r="DT88" s="59">
        <f ca="1">AVERAGE(OFFSET($DS$3,0,0,'Données projet'!$E$14+1,1))-AVERAGE(OFFSET($H$3,0,0,'Données projet'!$E$14+1,1))</f>
        <v>659.55755908012691</v>
      </c>
      <c r="DU88" s="59">
        <f t="shared" si="98"/>
        <v>343.96647464823627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120.59415732210078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120.59415732210078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10.41</v>
      </c>
      <c r="EJ88" s="12">
        <f>IF('Données projet'!$A$192&gt;35,EJ87+EI88-ER87,IF(A88&lt;'Données projet'!$A$192,$EG$205^A88,IF(A88='Données projet'!$A$192,'Données projet'!$B$192,EJ87+EI88-ER87)))</f>
        <v>388.19000000000005</v>
      </c>
      <c r="EK88" s="17">
        <f>EJ88*VLOOKUP('Données projet'!$B$15,Paramètres!$A$1:$I$89,3,0)*VLOOKUP('Données projet'!$B$15,Paramètres!$A$1:$I$89,5,0)</f>
        <v>375.45736800000003</v>
      </c>
      <c r="EL88" s="13">
        <f t="shared" si="99"/>
        <v>86.782836059108163</v>
      </c>
      <c r="EM88" s="20">
        <f t="shared" si="73"/>
        <v>805.06835540294662</v>
      </c>
      <c r="EN88" s="59">
        <f t="shared" si="74"/>
        <v>1077.6908161312281</v>
      </c>
      <c r="EO88" s="59">
        <f ca="1">AVERAGE(OFFSET($EN$3,0,0,'Données projet'!$E$15+1,1))-AVERAGE(OFFSET($H$3,0,0,'Données projet'!$E$15+1,1))</f>
        <v>600.96600099541388</v>
      </c>
      <c r="EP88" s="59">
        <f t="shared" si="100"/>
        <v>315.40159257508969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108.35996744884423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108.35996744884423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398.60000000000008</v>
      </c>
      <c r="O89" s="13">
        <f>N89*VLOOKUP('Données projet'!$B$9,Paramètres!$A$1:$I$89,3,0)*VLOOKUP('Données projet'!$B$9,Paramètres!$A$1:$I$89,5,0)</f>
        <v>360.65328000000005</v>
      </c>
      <c r="P89" s="13">
        <f t="shared" si="87"/>
        <v>83.752289576604468</v>
      </c>
      <c r="Q89" s="20">
        <f t="shared" si="54"/>
        <v>774.00636701258611</v>
      </c>
      <c r="R89" s="59">
        <f t="shared" si="55"/>
        <v>1046.9881150779909</v>
      </c>
      <c r="S89" s="59">
        <f ca="1">AVERAGE(OFFSET($R$3,0,0,'Données projet'!$E$9+1,1))-AVERAGE(OFFSET($H$3,0,0,'Données projet'!$E$9+1,1))</f>
        <v>567.42635821336114</v>
      </c>
      <c r="T89" s="59">
        <f t="shared" si="88"/>
        <v>299.0473530693472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99.381217510534356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99.381217510534356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9.1999999999999993</v>
      </c>
      <c r="AI89" s="13">
        <f>IF('Données projet'!$A$62&gt;35,AI88+AH89-AQ88,IF(A89&lt;'Données projet'!$A$62,$AF$205^A89,IF(A89='Données projet'!$A$62,'Données projet'!$B$62,AI88+AH89-AQ88)))</f>
        <v>414.20000000000027</v>
      </c>
      <c r="AJ89" s="13">
        <f>AI89*VLOOKUP('Données projet'!$B$10,Paramètres!$A$1:$I$89,3,0)*VLOOKUP('Données projet'!$B$10,Paramètres!$A$1:$I$89,5,0)</f>
        <v>355.38360000000029</v>
      </c>
      <c r="AK89" s="13">
        <f t="shared" si="89"/>
        <v>82.670063642427039</v>
      </c>
      <c r="AL89" s="20">
        <f t="shared" si="58"/>
        <v>762.94346417722738</v>
      </c>
      <c r="AM89" s="59">
        <f t="shared" si="59"/>
        <v>1035.9252122426321</v>
      </c>
      <c r="AN89" s="59">
        <f ca="1">AVERAGE(OFFSET($AM$3,0,0,'Données projet'!$E$10+1,1))-AVERAGE(OFFSET($H$3,0,0,'Données projet'!$E$10+1,1))</f>
        <v>570.05585579662738</v>
      </c>
      <c r="AO89" s="59">
        <f t="shared" si="90"/>
        <v>331.25104323342907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119.9716588813864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119.9716588813864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10.798888888888889</v>
      </c>
      <c r="BD89" s="12">
        <f>IF('Données projet'!$A$88&gt;35,BD88+BC89-BL88,IF(A89&lt;'Données projet'!$A$88,$BA$205^A89,IF(A89='Données projet'!$A$88,'Données projet'!$B$88,BD88+BC89-BL88)))</f>
        <v>409.83444444444467</v>
      </c>
      <c r="BE89" s="13">
        <f>BD89*VLOOKUP('Données projet'!$B$11,Paramètres!$A$1:$I$89,3,0)*VLOOKUP('Données projet'!$B$11,Paramètres!$A$1:$I$89,5,0)</f>
        <v>345.24453600000021</v>
      </c>
      <c r="BF89" s="13">
        <f t="shared" si="91"/>
        <v>80.582533551688002</v>
      </c>
      <c r="BG89" s="20">
        <f t="shared" si="61"/>
        <v>741.64881280252359</v>
      </c>
      <c r="BH89" s="59">
        <f t="shared" si="62"/>
        <v>1014.6305608679284</v>
      </c>
      <c r="BI89" s="59">
        <f ca="1">AVERAGE(OFFSET($BH$3,0,0,'Données projet'!$E$11+1,1))-AVERAGE(OFFSET($H$3,0,0,'Données projet'!$E$11+1,1))</f>
        <v>458.88102603650725</v>
      </c>
      <c r="BJ89" s="59">
        <f t="shared" si="92"/>
        <v>277.79020316059552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104.67406714789988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104.67406714789988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10.41</v>
      </c>
      <c r="BY89" s="12">
        <f>IF('Données projet'!$A$114&gt;35,BY88+BX89-CG88,IF(A89&lt;'Données projet'!$A$114,$BV$205^A89,IF(A89='Données projet'!$A$114,'Données projet'!$B$114,BY88+BX89-CG88)))</f>
        <v>398.60000000000008</v>
      </c>
      <c r="BZ89" s="13">
        <f>BY89*VLOOKUP('Données projet'!$B$12,Paramètres!$A$1:$I$89,3,0)*VLOOKUP('Données projet'!$B$12,Paramètres!$A$1:$I$89,5,0)</f>
        <v>379.30776000000009</v>
      </c>
      <c r="CA89" s="13">
        <f t="shared" si="93"/>
        <v>87.568751023409277</v>
      </c>
      <c r="CB89" s="20">
        <f t="shared" si="64"/>
        <v>813.14325669910465</v>
      </c>
      <c r="CC89" s="59">
        <f t="shared" si="65"/>
        <v>1086.1250047645094</v>
      </c>
      <c r="CD89" s="59">
        <f ca="1">AVERAGE(OFFSET($CC$3,0,0,'Données projet'!$E$12+1,1))-AVERAGE(OFFSET($H$3,0,0,'Données projet'!$E$12+1,1))</f>
        <v>592.58528888957346</v>
      </c>
      <c r="CE89" s="59">
        <f t="shared" si="94"/>
        <v>311.31528017256846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104.52162531280339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104.52162531280339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0.8600000000003547</v>
      </c>
      <c r="CU89" s="17">
        <f>CT89*VLOOKUP('Données projet'!$B$13,Paramètres!$A$1:$I$89,3,0)*VLOOKUP('Données projet'!$B$13,Paramètres!$A$1:$I$89,5,0)</f>
        <v>0.48074000000019829</v>
      </c>
      <c r="CV89" s="13">
        <f t="shared" si="95"/>
        <v>0.24126147010950588</v>
      </c>
      <c r="CW89" s="20">
        <f t="shared" si="67"/>
        <v>1.2574858937744013</v>
      </c>
      <c r="CX89" s="59">
        <f t="shared" si="68"/>
        <v>274.2392339591791</v>
      </c>
      <c r="CY89" s="59">
        <f ca="1">AVERAGE(OFFSET($CX$3,0,0,'Données projet'!$E$13+1,1))-AVERAGE(OFFSET($H$3,0,0,'Données projet'!$E$13+1,1))</f>
        <v>420.4890915162182</v>
      </c>
      <c r="CZ89" s="59">
        <f t="shared" si="96"/>
        <v>553.48432338023565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201.21990691080543</v>
      </c>
      <c r="DG89" s="21">
        <f>EXP(-LN(2)/25)*DG88+(1-EXP(-LN(2)/25))/(LN(2)/25)*Calculateur!DB89*Calculateur!DD89*VLOOKUP('Données projet'!$B$13,Paramètres!$A$1:$I$89,3,0)*0.475*44/12</f>
        <v>10.705246779209068</v>
      </c>
      <c r="DH89" s="21">
        <f>EXP(-LN(2)/2)*DH88+(1-EXP(-LN(2)/2))/(LN(2)/2)*DB89*DE89*VLOOKUP('Données projet'!$B$13,Paramètres!$A$1:$I$89,3,0)*0.475*44/12</f>
        <v>2.7564187685505008E-9</v>
      </c>
      <c r="DI89" s="22">
        <f t="shared" si="69"/>
        <v>211.92515369277092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10.41</v>
      </c>
      <c r="DO89" s="12">
        <f>IF('Données projet'!$A$166&gt;35,DO88+DN89-DW88,IF(A89&lt;'Données projet'!$A$166,$DL$205^A89,IF(A89='Données projet'!$A$166,'Données projet'!$B$166,DO88+DN89-DW88)))</f>
        <v>398.60000000000008</v>
      </c>
      <c r="DP89" s="17">
        <f>DO89*VLOOKUP('Données projet'!$B$14,Paramètres!$A$1:$I$89,3,0)*VLOOKUP('Données projet'!$B$14,Paramètres!$A$1:$I$89,5,0)</f>
        <v>429.05304000000007</v>
      </c>
      <c r="DQ89" s="13">
        <f t="shared" si="97"/>
        <v>97.642472898879149</v>
      </c>
      <c r="DR89" s="20">
        <f t="shared" si="70"/>
        <v>917.32801829888115</v>
      </c>
      <c r="DS89" s="59">
        <f t="shared" si="71"/>
        <v>1190.3097663642859</v>
      </c>
      <c r="DT89" s="59">
        <f ca="1">AVERAGE(OFFSET($DS$3,0,0,'Données projet'!$E$14+1,1))-AVERAGE(OFFSET($H$3,0,0,'Données projet'!$E$14+1,1))</f>
        <v>659.55755908012691</v>
      </c>
      <c r="DU89" s="59">
        <f t="shared" si="98"/>
        <v>343.96647464823627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118.22937945218739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118.22937945218739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10.41</v>
      </c>
      <c r="EJ89" s="12">
        <f>IF('Données projet'!$A$192&gt;35,EJ88+EI89-ER88,IF(A89&lt;'Données projet'!$A$192,$EG$205^A89,IF(A89='Données projet'!$A$192,'Données projet'!$B$192,EJ88+EI89-ER88)))</f>
        <v>398.60000000000008</v>
      </c>
      <c r="EK89" s="17">
        <f>EJ89*VLOOKUP('Données projet'!$B$15,Paramètres!$A$1:$I$89,3,0)*VLOOKUP('Données projet'!$B$15,Paramètres!$A$1:$I$89,5,0)</f>
        <v>385.52592000000004</v>
      </c>
      <c r="EL89" s="13">
        <f t="shared" si="99"/>
        <v>88.836003004226697</v>
      </c>
      <c r="EM89" s="20">
        <f t="shared" si="73"/>
        <v>826.18034923236155</v>
      </c>
      <c r="EN89" s="59">
        <f t="shared" si="74"/>
        <v>1099.1620972977662</v>
      </c>
      <c r="EO89" s="59">
        <f ca="1">AVERAGE(OFFSET($EN$3,0,0,'Données projet'!$E$15+1,1))-AVERAGE(OFFSET($H$3,0,0,'Données projet'!$E$15+1,1))</f>
        <v>600.96600099541388</v>
      </c>
      <c r="EP89" s="59">
        <f t="shared" si="100"/>
        <v>315.40159257508969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106.23509458022639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106.23509458022639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409.0100000000001</v>
      </c>
      <c r="O90" s="13">
        <f>N90*VLOOKUP('Données projet'!$B$9,Paramètres!$A$1:$I$89,3,0)*VLOOKUP('Données projet'!$B$9,Paramètres!$A$1:$I$89,5,0)</f>
        <v>370.07224800000012</v>
      </c>
      <c r="P90" s="13">
        <f t="shared" si="87"/>
        <v>85.682086233509125</v>
      </c>
      <c r="Q90" s="20">
        <f t="shared" si="54"/>
        <v>793.77213212336176</v>
      </c>
      <c r="R90" s="59">
        <f t="shared" si="55"/>
        <v>1067.1069346938366</v>
      </c>
      <c r="S90" s="59">
        <f ca="1">AVERAGE(OFFSET($R$3,0,0,'Données projet'!$E$9+1,1))-AVERAGE(OFFSET($H$3,0,0,'Données projet'!$E$9+1,1))</f>
        <v>567.42635821336114</v>
      </c>
      <c r="T90" s="59">
        <f t="shared" si="88"/>
        <v>299.0473530693472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97.432412451710064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97.432412451710064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9.1999999999999993</v>
      </c>
      <c r="AI90" s="13">
        <f>IF('Données projet'!$A$62&gt;35,AI89+AH90-AQ89,IF(A90&lt;'Données projet'!$A$62,$AF$205^A90,IF(A90='Données projet'!$A$62,'Données projet'!$B$62,AI89+AH90-AQ89)))</f>
        <v>423.40000000000026</v>
      </c>
      <c r="AJ90" s="13">
        <f>AI90*VLOOKUP('Données projet'!$B$10,Paramètres!$A$1:$I$89,3,0)*VLOOKUP('Données projet'!$B$10,Paramètres!$A$1:$I$89,5,0)</f>
        <v>363.27720000000028</v>
      </c>
      <c r="AK90" s="13">
        <f t="shared" si="89"/>
        <v>84.290472188638944</v>
      </c>
      <c r="AL90" s="20">
        <f t="shared" si="58"/>
        <v>779.51369572854662</v>
      </c>
      <c r="AM90" s="59">
        <f t="shared" si="59"/>
        <v>1052.8484982990215</v>
      </c>
      <c r="AN90" s="59">
        <f ca="1">AVERAGE(OFFSET($AM$3,0,0,'Données projet'!$E$10+1,1))-AVERAGE(OFFSET($H$3,0,0,'Données projet'!$E$10+1,1))</f>
        <v>570.05585579662738</v>
      </c>
      <c r="AO90" s="59">
        <f t="shared" si="90"/>
        <v>331.25104323342907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117.61908782620885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117.61908782620885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10.798888888888889</v>
      </c>
      <c r="BD90" s="12">
        <f>IF('Données projet'!$A$88&gt;35,BD89+BC90-BL89,IF(A90&lt;'Données projet'!$A$88,$BA$205^A90,IF(A90='Données projet'!$A$88,'Données projet'!$B$88,BD89+BC90-BL89)))</f>
        <v>420.63333333333355</v>
      </c>
      <c r="BE90" s="13">
        <f>BD90*VLOOKUP('Données projet'!$B$11,Paramètres!$A$1:$I$89,3,0)*VLOOKUP('Données projet'!$B$11,Paramètres!$A$1:$I$89,5,0)</f>
        <v>354.34152000000023</v>
      </c>
      <c r="BF90" s="13">
        <f t="shared" si="91"/>
        <v>82.45583287276375</v>
      </c>
      <c r="BG90" s="20">
        <f t="shared" si="61"/>
        <v>760.75538958673053</v>
      </c>
      <c r="BH90" s="59">
        <f t="shared" si="62"/>
        <v>1034.0901921572054</v>
      </c>
      <c r="BI90" s="59">
        <f ca="1">AVERAGE(OFFSET($BH$3,0,0,'Données projet'!$E$11+1,1))-AVERAGE(OFFSET($H$3,0,0,'Données projet'!$E$11+1,1))</f>
        <v>458.88102603650725</v>
      </c>
      <c r="BJ90" s="59">
        <f t="shared" si="92"/>
        <v>277.79020316059552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102.62147253600637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102.62147253600637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10.41</v>
      </c>
      <c r="BY90" s="12">
        <f>IF('Données projet'!$A$114&gt;35,BY89+BX90-CG89,IF(A90&lt;'Données projet'!$A$114,$BV$205^A90,IF(A90='Données projet'!$A$114,'Données projet'!$B$114,BY89+BX90-CG89)))</f>
        <v>409.0100000000001</v>
      </c>
      <c r="BZ90" s="13">
        <f>BY90*VLOOKUP('Données projet'!$B$12,Paramètres!$A$1:$I$89,3,0)*VLOOKUP('Données projet'!$B$12,Paramètres!$A$1:$I$89,5,0)</f>
        <v>389.2139160000001</v>
      </c>
      <c r="CA90" s="13">
        <f t="shared" si="93"/>
        <v>89.586485509577855</v>
      </c>
      <c r="CB90" s="20">
        <f t="shared" si="64"/>
        <v>833.9106992958483</v>
      </c>
      <c r="CC90" s="59">
        <f t="shared" si="65"/>
        <v>1107.2455018663231</v>
      </c>
      <c r="CD90" s="59">
        <f ca="1">AVERAGE(OFFSET($CC$3,0,0,'Données projet'!$E$12+1,1))-AVERAGE(OFFSET($H$3,0,0,'Données projet'!$E$12+1,1))</f>
        <v>592.58528888957346</v>
      </c>
      <c r="CE90" s="59">
        <f t="shared" si="94"/>
        <v>311.31528017256846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102.47201999231578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102.47201999231578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0.8600000000003547</v>
      </c>
      <c r="CU90" s="17">
        <f>CT90*VLOOKUP('Données projet'!$B$13,Paramètres!$A$1:$I$89,3,0)*VLOOKUP('Données projet'!$B$13,Paramètres!$A$1:$I$89,5,0)</f>
        <v>0.48074000000019829</v>
      </c>
      <c r="CV90" s="13">
        <f t="shared" si="95"/>
        <v>0.24126147010950588</v>
      </c>
      <c r="CW90" s="20">
        <f t="shared" si="67"/>
        <v>1.2574858937744013</v>
      </c>
      <c r="CX90" s="59">
        <f t="shared" si="68"/>
        <v>274.59228846424924</v>
      </c>
      <c r="CY90" s="59">
        <f ca="1">AVERAGE(OFFSET($CX$3,0,0,'Données projet'!$E$13+1,1))-AVERAGE(OFFSET($H$3,0,0,'Données projet'!$E$13+1,1))</f>
        <v>420.4890915162182</v>
      </c>
      <c r="CZ90" s="59">
        <f t="shared" si="96"/>
        <v>553.48432338023565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197.27410726830897</v>
      </c>
      <c r="DG90" s="21">
        <f>EXP(-LN(2)/25)*DG89+(1-EXP(-LN(2)/25))/(LN(2)/25)*Calculateur!DB90*Calculateur!DD90*VLOOKUP('Données projet'!$B$13,Paramètres!$A$1:$I$89,3,0)*0.475*44/12</f>
        <v>10.412511243067135</v>
      </c>
      <c r="DH90" s="21">
        <f>EXP(-LN(2)/2)*DH89+(1-EXP(-LN(2)/2))/(LN(2)/2)*DB90*DE90*VLOOKUP('Données projet'!$B$13,Paramètres!$A$1:$I$89,3,0)*0.475*44/12</f>
        <v>1.9490824030319317E-9</v>
      </c>
      <c r="DI90" s="22">
        <f t="shared" si="69"/>
        <v>207.68661851332519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10.41</v>
      </c>
      <c r="DO90" s="12">
        <f>IF('Données projet'!$A$166&gt;35,DO89+DN90-DW89,IF(A90&lt;'Données projet'!$A$166,$DL$205^A90,IF(A90='Données projet'!$A$166,'Données projet'!$B$166,DO89+DN90-DW89)))</f>
        <v>409.0100000000001</v>
      </c>
      <c r="DP90" s="17">
        <f>DO90*VLOOKUP('Données projet'!$B$14,Paramètres!$A$1:$I$89,3,0)*VLOOKUP('Données projet'!$B$14,Paramètres!$A$1:$I$89,5,0)</f>
        <v>440.25836400000014</v>
      </c>
      <c r="DQ90" s="13">
        <f t="shared" si="97"/>
        <v>99.892323245953079</v>
      </c>
      <c r="DR90" s="20">
        <f t="shared" si="70"/>
        <v>940.76244695336857</v>
      </c>
      <c r="DS90" s="59">
        <f t="shared" si="71"/>
        <v>1214.0972495238434</v>
      </c>
      <c r="DT90" s="59">
        <f ca="1">AVERAGE(OFFSET($DS$3,0,0,'Données projet'!$E$14+1,1))-AVERAGE(OFFSET($H$3,0,0,'Données projet'!$E$14+1,1))</f>
        <v>659.55755908012691</v>
      </c>
      <c r="DU90" s="59">
        <f t="shared" si="98"/>
        <v>343.96647464823627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115.91097343393091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115.91097343393091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10.41</v>
      </c>
      <c r="EJ90" s="12">
        <f>IF('Données projet'!$A$192&gt;35,EJ89+EI90-ER89,IF(A90&lt;'Données projet'!$A$192,$EG$205^A90,IF(A90='Données projet'!$A$192,'Données projet'!$B$192,EJ89+EI90-ER89)))</f>
        <v>409.0100000000001</v>
      </c>
      <c r="EK90" s="17">
        <f>EJ90*VLOOKUP('Données projet'!$B$15,Paramètres!$A$1:$I$89,3,0)*VLOOKUP('Données projet'!$B$15,Paramètres!$A$1:$I$89,5,0)</f>
        <v>395.59447200000011</v>
      </c>
      <c r="EL90" s="13">
        <f t="shared" si="99"/>
        <v>90.882937153454037</v>
      </c>
      <c r="EM90" s="20">
        <f t="shared" si="73"/>
        <v>847.28148760893248</v>
      </c>
      <c r="EN90" s="59">
        <f t="shared" si="74"/>
        <v>1120.6162901794073</v>
      </c>
      <c r="EO90" s="59">
        <f ca="1">AVERAGE(OFFSET($EN$3,0,0,'Données projet'!$E$15+1,1))-AVERAGE(OFFSET($H$3,0,0,'Données projet'!$E$15+1,1))</f>
        <v>600.96600099541388</v>
      </c>
      <c r="EP90" s="59">
        <f t="shared" si="100"/>
        <v>315.40159257508969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104.15188917251767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104.15188917251767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419.42000000000013</v>
      </c>
      <c r="O91" s="13">
        <f>N91*VLOOKUP('Données projet'!$B$9,Paramètres!$A$1:$I$89,3,0)*VLOOKUP('Données projet'!$B$9,Paramètres!$A$1:$I$89,5,0)</f>
        <v>379.49121600000012</v>
      </c>
      <c r="P91" s="13">
        <f t="shared" si="87"/>
        <v>87.606173526430752</v>
      </c>
      <c r="Q91" s="20">
        <f t="shared" si="54"/>
        <v>813.52795342520051</v>
      </c>
      <c r="R91" s="59">
        <f t="shared" si="55"/>
        <v>1087.2096857943943</v>
      </c>
      <c r="S91" s="59">
        <f ca="1">AVERAGE(OFFSET($R$3,0,0,'Données projet'!$E$9+1,1))-AVERAGE(OFFSET($H$3,0,0,'Données projet'!$E$9+1,1))</f>
        <v>567.42635821336114</v>
      </c>
      <c r="T91" s="59">
        <f t="shared" si="88"/>
        <v>299.0473530693472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95.52182227143561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95.52182227143561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9.1999999999999993</v>
      </c>
      <c r="AI91" s="13">
        <f>IF('Données projet'!$A$62&gt;35,AI90+AH91-AQ90,IF(A91&lt;'Données projet'!$A$62,$AF$205^A91,IF(A91='Données projet'!$A$62,'Données projet'!$B$62,AI90+AH91-AQ90)))</f>
        <v>432.60000000000025</v>
      </c>
      <c r="AJ91" s="13">
        <f>AI91*VLOOKUP('Données projet'!$B$10,Paramètres!$A$1:$I$89,3,0)*VLOOKUP('Données projet'!$B$10,Paramètres!$A$1:$I$89,5,0)</f>
        <v>371.17080000000027</v>
      </c>
      <c r="AK91" s="13">
        <f t="shared" si="89"/>
        <v>85.906787171637802</v>
      </c>
      <c r="AL91" s="20">
        <f t="shared" si="58"/>
        <v>796.07679765726959</v>
      </c>
      <c r="AM91" s="59">
        <f t="shared" si="59"/>
        <v>1069.7585300264632</v>
      </c>
      <c r="AN91" s="59">
        <f ca="1">AVERAGE(OFFSET($AM$3,0,0,'Données projet'!$E$10+1,1))-AVERAGE(OFFSET($H$3,0,0,'Données projet'!$E$10+1,1))</f>
        <v>570.05585579662738</v>
      </c>
      <c r="AO91" s="59">
        <f t="shared" si="90"/>
        <v>331.25104323342907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115.31264925449668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115.31264925449668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10.798888888888889</v>
      </c>
      <c r="BD91" s="12">
        <f>IF('Données projet'!$A$88&gt;35,BD90+BC91-BL90,IF(A91&lt;'Données projet'!$A$88,$BA$205^A91,IF(A91='Données projet'!$A$88,'Données projet'!$B$88,BD90+BC91-BL90)))</f>
        <v>431.43222222222244</v>
      </c>
      <c r="BE91" s="13">
        <f>BD91*VLOOKUP('Données projet'!$B$11,Paramètres!$A$1:$I$89,3,0)*VLOOKUP('Données projet'!$B$11,Paramètres!$A$1:$I$89,5,0)</f>
        <v>363.43850400000025</v>
      </c>
      <c r="BF91" s="13">
        <f t="shared" si="91"/>
        <v>84.323541866781824</v>
      </c>
      <c r="BG91" s="20">
        <f t="shared" si="61"/>
        <v>779.85222988464545</v>
      </c>
      <c r="BH91" s="59">
        <f t="shared" si="62"/>
        <v>1053.533962253839</v>
      </c>
      <c r="BI91" s="59">
        <f ca="1">AVERAGE(OFFSET($BH$3,0,0,'Données projet'!$E$11+1,1))-AVERAGE(OFFSET($H$3,0,0,'Données projet'!$E$11+1,1))</f>
        <v>458.88102603650725</v>
      </c>
      <c r="BJ91" s="59">
        <f t="shared" si="92"/>
        <v>277.79020316059552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100.60912805249299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100.60912805249299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10.41</v>
      </c>
      <c r="BY91" s="12">
        <f>IF('Données projet'!$A$114&gt;35,BY90+BX91-CG90,IF(A91&lt;'Données projet'!$A$114,$BV$205^A91,IF(A91='Données projet'!$A$114,'Données projet'!$B$114,BY90+BX91-CG90)))</f>
        <v>419.42000000000013</v>
      </c>
      <c r="BZ91" s="13">
        <f>BY91*VLOOKUP('Données projet'!$B$12,Paramètres!$A$1:$I$89,3,0)*VLOOKUP('Données projet'!$B$12,Paramètres!$A$1:$I$89,5,0)</f>
        <v>399.12007200000011</v>
      </c>
      <c r="CA91" s="13">
        <f t="shared" si="93"/>
        <v>91.598250464935191</v>
      </c>
      <c r="CB91" s="20">
        <f t="shared" si="64"/>
        <v>854.66774495976222</v>
      </c>
      <c r="CC91" s="59">
        <f t="shared" si="65"/>
        <v>1128.3494773289558</v>
      </c>
      <c r="CD91" s="59">
        <f ca="1">AVERAGE(OFFSET($CC$3,0,0,'Données projet'!$E$12+1,1))-AVERAGE(OFFSET($H$3,0,0,'Données projet'!$E$12+1,1))</f>
        <v>592.58528888957346</v>
      </c>
      <c r="CE91" s="59">
        <f t="shared" si="94"/>
        <v>311.31528017256846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100.46260618202713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100.46260618202713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0.8600000000003547</v>
      </c>
      <c r="CU91" s="17">
        <f>CT91*VLOOKUP('Données projet'!$B$13,Paramètres!$A$1:$I$89,3,0)*VLOOKUP('Données projet'!$B$13,Paramètres!$A$1:$I$89,5,0)</f>
        <v>0.48074000000019829</v>
      </c>
      <c r="CV91" s="13">
        <f t="shared" si="95"/>
        <v>0.24126147010950588</v>
      </c>
      <c r="CW91" s="20">
        <f t="shared" si="67"/>
        <v>1.2574858937744013</v>
      </c>
      <c r="CX91" s="59">
        <f t="shared" si="68"/>
        <v>274.9392182629681</v>
      </c>
      <c r="CY91" s="59">
        <f ca="1">AVERAGE(OFFSET($CX$3,0,0,'Données projet'!$E$13+1,1))-AVERAGE(OFFSET($H$3,0,0,'Données projet'!$E$13+1,1))</f>
        <v>420.4890915162182</v>
      </c>
      <c r="CZ91" s="59">
        <f t="shared" si="96"/>
        <v>553.48432338023565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193.40568235010173</v>
      </c>
      <c r="DG91" s="21">
        <f>EXP(-LN(2)/25)*DG90+(1-EXP(-LN(2)/25))/(LN(2)/25)*Calculateur!DB91*Calculateur!DD91*VLOOKUP('Données projet'!$B$13,Paramètres!$A$1:$I$89,3,0)*0.475*44/12</f>
        <v>10.127780575555295</v>
      </c>
      <c r="DH91" s="21">
        <f>EXP(-LN(2)/2)*DH90+(1-EXP(-LN(2)/2))/(LN(2)/2)*DB91*DE91*VLOOKUP('Données projet'!$B$13,Paramètres!$A$1:$I$89,3,0)*0.475*44/12</f>
        <v>1.3782093842752504E-9</v>
      </c>
      <c r="DI91" s="22">
        <f t="shared" si="69"/>
        <v>203.53346292703523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10.41</v>
      </c>
      <c r="DO91" s="12">
        <f>IF('Données projet'!$A$166&gt;35,DO90+DN91-DW90,IF(A91&lt;'Données projet'!$A$166,$DL$205^A91,IF(A91='Données projet'!$A$166,'Données projet'!$B$166,DO90+DN91-DW90)))</f>
        <v>419.42000000000013</v>
      </c>
      <c r="DP91" s="17">
        <f>DO91*VLOOKUP('Données projet'!$B$14,Paramètres!$A$1:$I$89,3,0)*VLOOKUP('Données projet'!$B$14,Paramètres!$A$1:$I$89,5,0)</f>
        <v>451.46368800000016</v>
      </c>
      <c r="DQ91" s="13">
        <f t="shared" si="97"/>
        <v>102.1355173401555</v>
      </c>
      <c r="DR91" s="20">
        <f t="shared" si="70"/>
        <v>964.18528263410451</v>
      </c>
      <c r="DS91" s="59">
        <f t="shared" si="71"/>
        <v>1237.8670150032981</v>
      </c>
      <c r="DT91" s="59">
        <f ca="1">AVERAGE(OFFSET($DS$3,0,0,'Données projet'!$E$14+1,1))-AVERAGE(OFFSET($H$3,0,0,'Données projet'!$E$14+1,1))</f>
        <v>659.55755908012691</v>
      </c>
      <c r="DU91" s="59">
        <f t="shared" si="98"/>
        <v>343.96647464823627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113.63802994360439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113.63802994360439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10.41</v>
      </c>
      <c r="EJ91" s="12">
        <f>IF('Données projet'!$A$192&gt;35,EJ90+EI91-ER90,IF(A91&lt;'Données projet'!$A$192,$EG$205^A91,IF(A91='Données projet'!$A$192,'Données projet'!$B$192,EJ90+EI91-ER90)))</f>
        <v>419.42000000000013</v>
      </c>
      <c r="EK91" s="17">
        <f>EJ91*VLOOKUP('Données projet'!$B$15,Paramètres!$A$1:$I$89,3,0)*VLOOKUP('Données projet'!$B$15,Paramètres!$A$1:$I$89,5,0)</f>
        <v>405.66302400000018</v>
      </c>
      <c r="EL91" s="13">
        <f t="shared" si="99"/>
        <v>92.923815383750451</v>
      </c>
      <c r="EM91" s="20">
        <f t="shared" si="73"/>
        <v>868.3720785933657</v>
      </c>
      <c r="EN91" s="59">
        <f t="shared" si="74"/>
        <v>1142.0538109625595</v>
      </c>
      <c r="EO91" s="59">
        <f ca="1">AVERAGE(OFFSET($EN$3,0,0,'Données projet'!$E$15+1,1))-AVERAGE(OFFSET($H$3,0,0,'Données projet'!$E$15+1,1))</f>
        <v>600.96600099541388</v>
      </c>
      <c r="EP91" s="59">
        <f t="shared" si="100"/>
        <v>315.40159257508969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102.10953415222428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102.10953415222428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429.83000000000015</v>
      </c>
      <c r="O92" s="13">
        <f>N92*VLOOKUP('Données projet'!$B$9,Paramètres!$A$1:$I$89,3,0)*VLOOKUP('Données projet'!$B$9,Paramètres!$A$1:$I$89,5,0)</f>
        <v>388.91018400000013</v>
      </c>
      <c r="P92" s="13">
        <f t="shared" si="87"/>
        <v>89.524709460853941</v>
      </c>
      <c r="Q92" s="20">
        <f t="shared" si="54"/>
        <v>833.27410611098742</v>
      </c>
      <c r="R92" s="59">
        <f t="shared" si="55"/>
        <v>1107.2967498225109</v>
      </c>
      <c r="S92" s="59">
        <f ca="1">AVERAGE(OFFSET($R$3,0,0,'Données projet'!$E$9+1,1))-AVERAGE(OFFSET($H$3,0,0,'Données projet'!$E$9+1,1))</f>
        <v>567.42635821336114</v>
      </c>
      <c r="T92" s="59">
        <f t="shared" si="88"/>
        <v>299.0473530693472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121.39006553864958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121.39006553864958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9.1999999999999993</v>
      </c>
      <c r="AI92" s="13">
        <f>IF('Données projet'!$A$62&gt;35,AI91+AH92-AQ91,IF(A92&lt;'Données projet'!$A$62,$AF$205^A92,IF(A92='Données projet'!$A$62,'Données projet'!$B$62,AI91+AH92-AQ91)))</f>
        <v>441.80000000000024</v>
      </c>
      <c r="AJ92" s="13">
        <f>AI92*VLOOKUP('Données projet'!$B$10,Paramètres!$A$1:$I$89,3,0)*VLOOKUP('Données projet'!$B$10,Paramètres!$A$1:$I$89,5,0)</f>
        <v>379.06440000000026</v>
      </c>
      <c r="AK92" s="13">
        <f t="shared" si="89"/>
        <v>87.519105676243782</v>
      </c>
      <c r="AL92" s="20">
        <f t="shared" si="58"/>
        <v>812.6329390527917</v>
      </c>
      <c r="AM92" s="59">
        <f t="shared" si="59"/>
        <v>1086.6555827643153</v>
      </c>
      <c r="AN92" s="59">
        <f ca="1">AVERAGE(OFFSET($AM$3,0,0,'Données projet'!$E$10+1,1))-AVERAGE(OFFSET($H$3,0,0,'Données projet'!$E$10+1,1))</f>
        <v>570.05585579662738</v>
      </c>
      <c r="AO92" s="59">
        <f t="shared" si="90"/>
        <v>331.25104323342907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113.05143853638715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113.05143853638715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10.798888888888889</v>
      </c>
      <c r="BD92" s="12">
        <f>IF('Données projet'!$A$88&gt;35,BD91+BC92-BL91,IF(A92&lt;'Données projet'!$A$88,$BA$205^A92,IF(A92='Données projet'!$A$88,'Données projet'!$B$88,BD91+BC92-BL91)))</f>
        <v>442.23111111111132</v>
      </c>
      <c r="BE92" s="13">
        <f>BD92*VLOOKUP('Données projet'!$B$11,Paramètres!$A$1:$I$89,3,0)*VLOOKUP('Données projet'!$B$11,Paramètres!$A$1:$I$89,5,0)</f>
        <v>372.53548800000021</v>
      </c>
      <c r="BF92" s="13">
        <f t="shared" si="91"/>
        <v>86.185816554642713</v>
      </c>
      <c r="BG92" s="20">
        <f t="shared" si="61"/>
        <v>798.93960543266974</v>
      </c>
      <c r="BH92" s="59">
        <f t="shared" si="62"/>
        <v>1072.9622491441933</v>
      </c>
      <c r="BI92" s="59">
        <f ca="1">AVERAGE(OFFSET($BH$3,0,0,'Données projet'!$E$11+1,1))-AVERAGE(OFFSET($H$3,0,0,'Données projet'!$E$11+1,1))</f>
        <v>458.88102603650725</v>
      </c>
      <c r="BJ92" s="59">
        <f t="shared" si="92"/>
        <v>277.79020316059552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98.636244416892382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98.636244416892382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429.83</v>
      </c>
      <c r="BW92" s="12">
        <f>VLOOKUP(A92,'Données projet'!$A$113:$I$133,9,0)</f>
        <v>10.41</v>
      </c>
      <c r="BX92" s="12">
        <f t="array" ref="BX92">INDEX(BW:BW,MIN(IF(ISNUMBER(BW92:BW288),ROW(BW92:BW288),"")))</f>
        <v>10.41</v>
      </c>
      <c r="BY92" s="12">
        <f>IF('Données projet'!$A$114&gt;35,BY91+BX92-CG91,IF(A92&lt;'Données projet'!$A$114,$BV$205^A92,IF(A92='Données projet'!$A$114,'Données projet'!$B$114,BY91+BX92-CG91)))</f>
        <v>429.83000000000015</v>
      </c>
      <c r="BZ92" s="13">
        <f>BY92*VLOOKUP('Données projet'!$B$12,Paramètres!$A$1:$I$89,3,0)*VLOOKUP('Données projet'!$B$12,Paramètres!$A$1:$I$89,5,0)</f>
        <v>409.02622800000012</v>
      </c>
      <c r="CA92" s="13">
        <f t="shared" si="93"/>
        <v>93.604211095030166</v>
      </c>
      <c r="CB92" s="20">
        <f t="shared" si="64"/>
        <v>875.4146814238444</v>
      </c>
      <c r="CC92" s="59">
        <f t="shared" si="65"/>
        <v>1149.4373251353679</v>
      </c>
      <c r="CD92" s="59">
        <f ca="1">AVERAGE(OFFSET($CC$3,0,0,'Données projet'!$E$12+1,1))-AVERAGE(OFFSET($H$3,0,0,'Données projet'!$E$12+1,1))</f>
        <v>592.58528888957346</v>
      </c>
      <c r="CE92" s="59">
        <f t="shared" si="94"/>
        <v>311.31528017256846</v>
      </c>
      <c r="CF92" s="15">
        <f>IF(ISNA(VLOOKUP(A92,'Données projet'!$A$113:$I$133,3,0)),0,VLOOKUP(A92,'Données projet'!$A$113:$I$133,3,0))</f>
        <v>8</v>
      </c>
      <c r="CG92" s="15">
        <f>IF(ISNA(VLOOKUP(A92,'Données projet'!$A$113:$I$133,4,0)),0,VLOOKUP(A92,'Données projet'!$A$113:$I$133,4,0))</f>
        <v>64.5</v>
      </c>
      <c r="CH92" s="16">
        <f>IF(ISNA(VLOOKUP(A92,'Données projet'!$A$113:$I$133,5,0)),0%,VLOOKUP(A92,'Données projet'!$A$113:$I$133,5,0)*VLOOKUP('Données projet'!$B$12,Paramètres!$A$1:$I$89,7,0))</f>
        <v>0.43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127.66886203202803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127.66886203202803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0.8600000000003547</v>
      </c>
      <c r="CU92" s="17">
        <f>CT92*VLOOKUP('Données projet'!$B$13,Paramètres!$A$1:$I$89,3,0)*VLOOKUP('Données projet'!$B$13,Paramètres!$A$1:$I$89,5,0)</f>
        <v>0.48074000000019829</v>
      </c>
      <c r="CV92" s="13">
        <f t="shared" si="95"/>
        <v>0.24126147010950588</v>
      </c>
      <c r="CW92" s="20">
        <f t="shared" si="67"/>
        <v>1.2574858937744013</v>
      </c>
      <c r="CX92" s="59">
        <f t="shared" si="68"/>
        <v>275.28012960529799</v>
      </c>
      <c r="CY92" s="59">
        <f ca="1">AVERAGE(OFFSET($CX$3,0,0,'Données projet'!$E$13+1,1))-AVERAGE(OFFSET($H$3,0,0,'Données projet'!$E$13+1,1))</f>
        <v>420.4890915162182</v>
      </c>
      <c r="CZ92" s="59">
        <f t="shared" si="96"/>
        <v>553.48432338023565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189.61311488503432</v>
      </c>
      <c r="DG92" s="21">
        <f>EXP(-LN(2)/25)*DG91+(1-EXP(-LN(2)/25))/(LN(2)/25)*Calculateur!DB92*Calculateur!DD92*VLOOKUP('Données projet'!$B$13,Paramètres!$A$1:$I$89,3,0)*0.475*44/12</f>
        <v>9.8508358831199025</v>
      </c>
      <c r="DH92" s="21">
        <f>EXP(-LN(2)/2)*DH91+(1-EXP(-LN(2)/2))/(LN(2)/2)*DB92*DE92*VLOOKUP('Données projet'!$B$13,Paramètres!$A$1:$I$89,3,0)*0.475*44/12</f>
        <v>9.7454120151596584E-10</v>
      </c>
      <c r="DI92" s="22">
        <f t="shared" si="69"/>
        <v>199.46395076912879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>
        <f>VLOOKUP(A92,'Données projet'!$A$165:$I$185,2,0)</f>
        <v>429.83</v>
      </c>
      <c r="DM92" s="12">
        <f>VLOOKUP(A92,'Données projet'!$A$165:$I$185,9,0)</f>
        <v>10.41</v>
      </c>
      <c r="DN92" s="12">
        <f t="array" ref="DN92">INDEX(DM:DM,MIN(IF(ISNUMBER(DM92:DM288),ROW(DM92:DM288),"")))</f>
        <v>10.41</v>
      </c>
      <c r="DO92" s="12">
        <f>IF('Données projet'!$A$166&gt;35,DO91+DN92-DW91,IF(A92&lt;'Données projet'!$A$166,$DL$205^A92,IF(A92='Données projet'!$A$166,'Données projet'!$B$166,DO91+DN92-DW91)))</f>
        <v>429.83000000000015</v>
      </c>
      <c r="DP92" s="17">
        <f>DO92*VLOOKUP('Données projet'!$B$14,Paramètres!$A$1:$I$89,3,0)*VLOOKUP('Données projet'!$B$14,Paramètres!$A$1:$I$89,5,0)</f>
        <v>462.66901200000018</v>
      </c>
      <c r="DQ92" s="13">
        <f t="shared" si="97"/>
        <v>104.37223939192828</v>
      </c>
      <c r="DR92" s="20">
        <f t="shared" si="70"/>
        <v>987.59684617427536</v>
      </c>
      <c r="DS92" s="59">
        <f t="shared" si="71"/>
        <v>1261.6194898857989</v>
      </c>
      <c r="DT92" s="59">
        <f ca="1">AVERAGE(OFFSET($DS$3,0,0,'Données projet'!$E$14+1,1))-AVERAGE(OFFSET($H$3,0,0,'Données projet'!$E$14+1,1))</f>
        <v>659.55755908012691</v>
      </c>
      <c r="DU92" s="59">
        <f t="shared" si="98"/>
        <v>343.96647464823627</v>
      </c>
      <c r="DV92" s="15">
        <f>IF(ISNA(VLOOKUP(A92,'Données projet'!$A$165:$I$185,3,0)),0,VLOOKUP(A92,'Données projet'!$A$165:$I$185,3,0))</f>
        <v>8</v>
      </c>
      <c r="DW92" s="15">
        <f>IF(ISNA(VLOOKUP(A92,'Données projet'!$A$165:$I$185,4,0)),0,VLOOKUP(A92,'Données projet'!$A$165:$I$185,4,0))</f>
        <v>64.5</v>
      </c>
      <c r="DX92" s="16">
        <f>IF(ISNA(VLOOKUP(A92,'Données projet'!$A$165:$I$185,5,0)),0%,VLOOKUP(A92,'Données projet'!$A$165:$I$185,5,0)*VLOOKUP('Données projet'!$B$14,Paramètres!$A$1:$I$89,7,0))</f>
        <v>0.43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144.41231934770377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144.41231934770377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>
        <f>VLOOKUP(A92,'Données projet'!$A$191:$I$211,2,0)</f>
        <v>429.83</v>
      </c>
      <c r="EH92" s="12">
        <f>VLOOKUP(A92,'Données projet'!$A$191:$I$211,9,0)</f>
        <v>10.41</v>
      </c>
      <c r="EI92" s="12">
        <f t="array" ref="EI92">INDEX(EH:EH,MIN(IF(ISNUMBER(EH92:EH288),ROW(EH92:EH288),"")))</f>
        <v>10.41</v>
      </c>
      <c r="EJ92" s="12">
        <f>IF('Données projet'!$A$192&gt;35,EJ91+EI92-ER91,IF(A92&lt;'Données projet'!$A$192,$EG$205^A92,IF(A92='Données projet'!$A$192,'Données projet'!$B$192,EJ91+EI92-ER91)))</f>
        <v>429.83000000000015</v>
      </c>
      <c r="EK92" s="17">
        <f>EJ92*VLOOKUP('Données projet'!$B$15,Paramètres!$A$1:$I$89,3,0)*VLOOKUP('Données projet'!$B$15,Paramètres!$A$1:$I$89,5,0)</f>
        <v>415.73157600000019</v>
      </c>
      <c r="EL92" s="13">
        <f t="shared" si="99"/>
        <v>94.958805291438409</v>
      </c>
      <c r="EM92" s="20">
        <f t="shared" si="73"/>
        <v>889.4524140825888</v>
      </c>
      <c r="EN92" s="59">
        <f t="shared" si="74"/>
        <v>1163.4750577941124</v>
      </c>
      <c r="EO92" s="59">
        <f ca="1">AVERAGE(OFFSET($EN$3,0,0,'Données projet'!$E$15+1,1))-AVERAGE(OFFSET($H$3,0,0,'Données projet'!$E$15+1,1))</f>
        <v>600.96600099541388</v>
      </c>
      <c r="EP92" s="59">
        <f t="shared" si="100"/>
        <v>315.40159257508969</v>
      </c>
      <c r="EQ92" s="15">
        <f>IF(ISNA(VLOOKUP(A92,'Données projet'!$A$191:$I$211,3,0)),0,VLOOKUP(A92,'Données projet'!$A$191:$I$211,3,0))</f>
        <v>8</v>
      </c>
      <c r="ER92" s="15">
        <f>IF(ISNA(VLOOKUP(A92,'Données projet'!$A$191:$I$211,4,0)),0,VLOOKUP(A92,'Données projet'!$A$191:$I$211,4,0))</f>
        <v>64.5</v>
      </c>
      <c r="ES92" s="16">
        <f>IF(ISNA(VLOOKUP(A92,'Données projet'!$A$191:$I$211,5,0)),0%,VLOOKUP(A92,'Données projet'!$A$191:$I$211,5,0)*VLOOKUP('Données projet'!$B$15,Paramètres!$A$1:$I$89,7,0))</f>
        <v>0.43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129.7617941964875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129.7617941964875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375.27700000000016</v>
      </c>
      <c r="O93" s="13">
        <f>N93*VLOOKUP('Données projet'!$B$9,Paramètres!$A$1:$I$89,3,0)*VLOOKUP('Données projet'!$B$9,Paramètres!$A$1:$I$89,5,0)</f>
        <v>339.55062960000009</v>
      </c>
      <c r="P93" s="13">
        <f t="shared" si="87"/>
        <v>79.407096506902036</v>
      </c>
      <c r="Q93" s="20">
        <f t="shared" si="54"/>
        <v>729.68470630285447</v>
      </c>
      <c r="R93" s="59">
        <f t="shared" si="55"/>
        <v>1004.0423473070821</v>
      </c>
      <c r="S93" s="59">
        <f ca="1">AVERAGE(OFFSET($R$3,0,0,'Données projet'!$E$9+1,1))-AVERAGE(OFFSET($H$3,0,0,'Données projet'!$E$9+1,1))</f>
        <v>567.42635821336114</v>
      </c>
      <c r="T93" s="59">
        <f t="shared" si="88"/>
        <v>299.0473530693472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119.00968039406574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119.00968039406574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451</v>
      </c>
      <c r="AG93" s="12">
        <f>VLOOKUP(A93,'Données projet'!$A$61:$I$81,9,0)</f>
        <v>9.1999999999999993</v>
      </c>
      <c r="AH93" s="12">
        <f t="array" ref="AH93">INDEX(AG:AG,MIN(IF(ISNUMBER(AG93:AG289),ROW(AG93:AG289),"")))</f>
        <v>9.1999999999999993</v>
      </c>
      <c r="AI93" s="13">
        <f>IF('Données projet'!$A$62&gt;35,AI92+AH93-AQ92,IF(A93&lt;'Données projet'!$A$62,$AF$205^A93,IF(A93='Données projet'!$A$62,'Données projet'!$B$62,AI92+AH93-AQ92)))</f>
        <v>451.00000000000023</v>
      </c>
      <c r="AJ93" s="13">
        <f>AI93*VLOOKUP('Données projet'!$B$10,Paramètres!$A$1:$I$89,3,0)*VLOOKUP('Données projet'!$B$10,Paramètres!$A$1:$I$89,5,0)</f>
        <v>386.95800000000025</v>
      </c>
      <c r="AK93" s="13">
        <f t="shared" si="89"/>
        <v>89.127520512837165</v>
      </c>
      <c r="AL93" s="20">
        <f t="shared" si="58"/>
        <v>829.18228155985844</v>
      </c>
      <c r="AM93" s="59">
        <f t="shared" si="59"/>
        <v>1103.5399225640861</v>
      </c>
      <c r="AN93" s="59">
        <f ca="1">AVERAGE(OFFSET($AM$3,0,0,'Données projet'!$E$10+1,1))-AVERAGE(OFFSET($H$3,0,0,'Données projet'!$E$10+1,1))</f>
        <v>570.05585579662738</v>
      </c>
      <c r="AO93" s="59">
        <f t="shared" si="90"/>
        <v>331.25104323342907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31</v>
      </c>
      <c r="AR93" s="16">
        <f>IF(ISNA(VLOOKUP(A93,'Données projet'!$A$61:$I$81,5,0)),0%,VLOOKUP(A93,'Données projet'!$A$61:$I$81,5,0)*VLOOKUP('Données projet'!$B$10,Paramètres!$A$1:$I$89,7,0))</f>
        <v>0.53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126.41831839331063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126.41831839331063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453.03</v>
      </c>
      <c r="BB93" s="12">
        <f>VLOOKUP(A93,'Données projet'!$A$87:$I$107,9,0)</f>
        <v>10.798888888888889</v>
      </c>
      <c r="BC93" s="12">
        <f t="array" ref="BC93">INDEX(BB:BB,MIN(IF(ISNUMBER(BB93:BB289),ROW(BB93:BB289),"")))</f>
        <v>10.798888888888889</v>
      </c>
      <c r="BD93" s="12">
        <f>IF('Données projet'!$A$88&gt;35,BD92+BC93-BL92,IF(A93&lt;'Données projet'!$A$88,$BA$205^A93,IF(A93='Données projet'!$A$88,'Données projet'!$B$88,BD92+BC93-BL92)))</f>
        <v>453.0300000000002</v>
      </c>
      <c r="BE93" s="13">
        <f>BD93*VLOOKUP('Données projet'!$B$11,Paramètres!$A$1:$I$89,3,0)*VLOOKUP('Données projet'!$B$11,Paramètres!$A$1:$I$89,5,0)</f>
        <v>381.63247200000018</v>
      </c>
      <c r="BF93" s="13">
        <f t="shared" si="91"/>
        <v>88.042804903030387</v>
      </c>
      <c r="BG93" s="20">
        <f t="shared" si="61"/>
        <v>818.01777393944485</v>
      </c>
      <c r="BH93" s="59">
        <f t="shared" si="62"/>
        <v>1092.3754149436725</v>
      </c>
      <c r="BI93" s="59">
        <f ca="1">AVERAGE(OFFSET($BH$3,0,0,'Données projet'!$E$11+1,1))-AVERAGE(OFFSET($H$3,0,0,'Données projet'!$E$11+1,1))</f>
        <v>458.88102603650725</v>
      </c>
      <c r="BJ93" s="59">
        <f t="shared" si="92"/>
        <v>277.79020316059552</v>
      </c>
      <c r="BK93" s="15">
        <f>IF(ISNA(VLOOKUP(A93,'Données projet'!$A$87:$I$107,3,0)),0,VLOOKUP(A93,'Données projet'!$A$87:$I$107,3,0))</f>
        <v>9</v>
      </c>
      <c r="BL93" s="15">
        <f>IF(ISNA(VLOOKUP(A93,'Données projet'!$A$87:$I$107,4,0)),0,VLOOKUP(A93,'Données projet'!$A$87:$I$107,4,0))</f>
        <v>78.34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128.07226254834256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128.07226254834256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9.9470000000000027</v>
      </c>
      <c r="BY93" s="12">
        <f>IF('Données projet'!$A$114&gt;35,BY92+BX93-CG92,IF(A93&lt;'Données projet'!$A$114,$BV$205^A93,IF(A93='Données projet'!$A$114,'Données projet'!$B$114,BY92+BX93-CG92)))</f>
        <v>375.27700000000016</v>
      </c>
      <c r="BZ93" s="13">
        <f>BY93*VLOOKUP('Données projet'!$B$12,Paramètres!$A$1:$I$89,3,0)*VLOOKUP('Données projet'!$B$12,Paramètres!$A$1:$I$89,5,0)</f>
        <v>357.11359320000014</v>
      </c>
      <c r="CA93" s="13">
        <f t="shared" si="93"/>
        <v>83.025554270305832</v>
      </c>
      <c r="CB93" s="20">
        <f t="shared" si="64"/>
        <v>766.57568184411605</v>
      </c>
      <c r="CC93" s="59">
        <f t="shared" si="65"/>
        <v>1040.9333228483438</v>
      </c>
      <c r="CD93" s="59">
        <f ca="1">AVERAGE(OFFSET($CC$3,0,0,'Données projet'!$E$12+1,1))-AVERAGE(OFFSET($H$3,0,0,'Données projet'!$E$12+1,1))</f>
        <v>592.58528888957346</v>
      </c>
      <c r="CE93" s="59">
        <f t="shared" si="94"/>
        <v>311.31528017256846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125.16535351789675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125.16535351789675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0.8600000000003547</v>
      </c>
      <c r="CU93" s="17">
        <f>CT93*VLOOKUP('Données projet'!$B$13,Paramètres!$A$1:$I$89,3,0)*VLOOKUP('Données projet'!$B$13,Paramètres!$A$1:$I$89,5,0)</f>
        <v>0.48074000000019829</v>
      </c>
      <c r="CV93" s="13">
        <f t="shared" si="95"/>
        <v>0.24126147010950588</v>
      </c>
      <c r="CW93" s="20">
        <f t="shared" si="67"/>
        <v>1.2574858937744013</v>
      </c>
      <c r="CX93" s="59">
        <f t="shared" si="68"/>
        <v>275.61512689800207</v>
      </c>
      <c r="CY93" s="59">
        <f ca="1">AVERAGE(OFFSET($CX$3,0,0,'Données projet'!$E$13+1,1))-AVERAGE(OFFSET($H$3,0,0,'Données projet'!$E$13+1,1))</f>
        <v>420.4890915162182</v>
      </c>
      <c r="CZ93" s="59">
        <f t="shared" si="96"/>
        <v>553.48432338023565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185.89491735471913</v>
      </c>
      <c r="DG93" s="21">
        <f>EXP(-LN(2)/25)*DG92+(1-EXP(-LN(2)/25))/(LN(2)/25)*Calculateur!DB93*Calculateur!DD93*VLOOKUP('Données projet'!$B$13,Paramètres!$A$1:$I$89,3,0)*0.475*44/12</f>
        <v>9.5814642578630433</v>
      </c>
      <c r="DH93" s="21">
        <f>EXP(-LN(2)/2)*DH92+(1-EXP(-LN(2)/2))/(LN(2)/2)*DB93*DE93*VLOOKUP('Données projet'!$B$13,Paramètres!$A$1:$I$89,3,0)*0.475*44/12</f>
        <v>6.891046921376252E-10</v>
      </c>
      <c r="DI93" s="22">
        <f t="shared" si="69"/>
        <v>195.47638161327129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9.9470000000000027</v>
      </c>
      <c r="DO93" s="12">
        <f>IF('Données projet'!$A$166&gt;35,DO92+DN93-DW92,IF(A93&lt;'Données projet'!$A$166,$DL$205^A93,IF(A93='Données projet'!$A$166,'Données projet'!$B$166,DO92+DN93-DW92)))</f>
        <v>375.27700000000016</v>
      </c>
      <c r="DP93" s="17">
        <f>DO93*VLOOKUP('Données projet'!$B$14,Paramètres!$A$1:$I$89,3,0)*VLOOKUP('Données projet'!$B$14,Paramètres!$A$1:$I$89,5,0)</f>
        <v>403.94816280000015</v>
      </c>
      <c r="DQ93" s="13">
        <f t="shared" si="97"/>
        <v>92.576636505705068</v>
      </c>
      <c r="DR93" s="20">
        <f t="shared" si="70"/>
        <v>864.78069212410321</v>
      </c>
      <c r="DS93" s="59">
        <f t="shared" si="71"/>
        <v>1139.1383331283309</v>
      </c>
      <c r="DT93" s="59">
        <f ca="1">AVERAGE(OFFSET($DS$3,0,0,'Données projet'!$E$14+1,1))-AVERAGE(OFFSET($H$3,0,0,'Données projet'!$E$14+1,1))</f>
        <v>659.55755908012691</v>
      </c>
      <c r="DU93" s="59">
        <f t="shared" si="98"/>
        <v>343.96647464823627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141.58048184811264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141.58048184811264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9.9470000000000027</v>
      </c>
      <c r="EJ93" s="12">
        <f>IF('Données projet'!$A$192&gt;35,EJ92+EI93-ER92,IF(A93&lt;'Données projet'!$A$192,$EG$205^A93,IF(A93='Données projet'!$A$192,'Données projet'!$B$192,EJ92+EI93-ER92)))</f>
        <v>375.27700000000016</v>
      </c>
      <c r="EK93" s="17">
        <f>EJ93*VLOOKUP('Données projet'!$B$15,Paramètres!$A$1:$I$89,3,0)*VLOOKUP('Données projet'!$B$15,Paramètres!$A$1:$I$89,5,0)</f>
        <v>362.96791440000015</v>
      </c>
      <c r="EL93" s="13">
        <f t="shared" si="99"/>
        <v>84.227059337785704</v>
      </c>
      <c r="EM93" s="20">
        <f t="shared" si="73"/>
        <v>778.86457925997695</v>
      </c>
      <c r="EN93" s="59">
        <f t="shared" si="74"/>
        <v>1053.2222202642047</v>
      </c>
      <c r="EO93" s="59">
        <f ca="1">AVERAGE(OFFSET($EN$3,0,0,'Données projet'!$E$15+1,1))-AVERAGE(OFFSET($H$3,0,0,'Données projet'!$E$15+1,1))</f>
        <v>600.96600099541388</v>
      </c>
      <c r="EP93" s="59">
        <f t="shared" si="100"/>
        <v>315.40159257508969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127.21724455917374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127.21724455917374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385.22400000000016</v>
      </c>
      <c r="O94" s="13">
        <f>N94*VLOOKUP('Données projet'!$B$9,Paramètres!$A$1:$I$89,3,0)*VLOOKUP('Données projet'!$B$9,Paramètres!$A$1:$I$89,5,0)</f>
        <v>348.55067520000011</v>
      </c>
      <c r="P94" s="13">
        <f t="shared" si="87"/>
        <v>81.264008176199866</v>
      </c>
      <c r="Q94" s="20">
        <f t="shared" si="54"/>
        <v>748.59390688021494</v>
      </c>
      <c r="R94" s="59">
        <f t="shared" si="55"/>
        <v>1023.2807337230599</v>
      </c>
      <c r="S94" s="59">
        <f ca="1">AVERAGE(OFFSET($R$3,0,0,'Données projet'!$E$9+1,1))-AVERAGE(OFFSET($H$3,0,0,'Données projet'!$E$9+1,1))</f>
        <v>567.42635821336114</v>
      </c>
      <c r="T94" s="59">
        <f t="shared" si="88"/>
        <v>299.0473530693472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116.67597315027561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116.67597315027561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</v>
      </c>
      <c r="AI94" s="13">
        <f>IF('Données projet'!$A$62&gt;35,AI93+AH94-AQ93,IF(A94&lt;'Données projet'!$A$62,$AF$205^A94,IF(A94='Données projet'!$A$62,'Données projet'!$B$62,AI93+AH94-AQ93)))</f>
        <v>428.60000000000025</v>
      </c>
      <c r="AJ94" s="13">
        <f>AI94*VLOOKUP('Données projet'!$B$10,Paramètres!$A$1:$I$89,3,0)*VLOOKUP('Données projet'!$B$10,Paramètres!$A$1:$I$89,5,0)</f>
        <v>367.73880000000025</v>
      </c>
      <c r="AK94" s="13">
        <f t="shared" si="89"/>
        <v>85.20453819128241</v>
      </c>
      <c r="AL94" s="20">
        <f t="shared" si="58"/>
        <v>788.87631401648412</v>
      </c>
      <c r="AM94" s="59">
        <f t="shared" si="59"/>
        <v>1063.5631408593292</v>
      </c>
      <c r="AN94" s="59">
        <f ca="1">AVERAGE(OFFSET($AM$3,0,0,'Données projet'!$E$10+1,1))-AVERAGE(OFFSET($H$3,0,0,'Données projet'!$E$10+1,1))</f>
        <v>570.05585579662738</v>
      </c>
      <c r="AO94" s="59">
        <f t="shared" si="90"/>
        <v>331.25104323342907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123.93933227717828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123.93933227717828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10.060000000000009</v>
      </c>
      <c r="BD94" s="12">
        <f>IF('Données projet'!$A$88&gt;35,BD93+BC94-BL93,IF(A94&lt;'Données projet'!$A$88,$BA$205^A94,IF(A94='Données projet'!$A$88,'Données projet'!$B$88,BD93+BC94-BL93)))</f>
        <v>384.75000000000023</v>
      </c>
      <c r="BE94" s="13">
        <f>BD94*VLOOKUP('Données projet'!$B$11,Paramètres!$A$1:$I$89,3,0)*VLOOKUP('Données projet'!$B$11,Paramètres!$A$1:$I$89,5,0)</f>
        <v>324.11340000000018</v>
      </c>
      <c r="BF94" s="13">
        <f t="shared" si="91"/>
        <v>76.208589272081809</v>
      </c>
      <c r="BG94" s="20">
        <f t="shared" si="61"/>
        <v>697.22746464887598</v>
      </c>
      <c r="BH94" s="59">
        <f t="shared" si="62"/>
        <v>971.91429149172109</v>
      </c>
      <c r="BI94" s="59">
        <f ca="1">AVERAGE(OFFSET($BH$3,0,0,'Données projet'!$E$11+1,1))-AVERAGE(OFFSET($H$3,0,0,'Données projet'!$E$11+1,1))</f>
        <v>458.88102603650725</v>
      </c>
      <c r="BJ94" s="59">
        <f t="shared" si="92"/>
        <v>277.79020316059552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125.56084359613637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125.56084359613637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9.9470000000000027</v>
      </c>
      <c r="BY94" s="12">
        <f>IF('Données projet'!$A$114&gt;35,BY93+BX94-CG93,IF(A94&lt;'Données projet'!$A$114,$BV$205^A94,IF(A94='Données projet'!$A$114,'Données projet'!$B$114,BY93+BX94-CG93)))</f>
        <v>385.22400000000016</v>
      </c>
      <c r="BZ94" s="13">
        <f>BY94*VLOOKUP('Données projet'!$B$12,Paramètres!$A$1:$I$89,3,0)*VLOOKUP('Données projet'!$B$12,Paramètres!$A$1:$I$89,5,0)</f>
        <v>366.57915840000015</v>
      </c>
      <c r="CA94" s="13">
        <f t="shared" si="93"/>
        <v>84.967082513452766</v>
      </c>
      <c r="CB94" s="20">
        <f t="shared" si="64"/>
        <v>786.44303625759721</v>
      </c>
      <c r="CC94" s="59">
        <f t="shared" si="65"/>
        <v>1061.1298631004422</v>
      </c>
      <c r="CD94" s="59">
        <f ca="1">AVERAGE(OFFSET($CC$3,0,0,'Données projet'!$E$12+1,1))-AVERAGE(OFFSET($H$3,0,0,'Données projet'!$E$12+1,1))</f>
        <v>592.58528888957346</v>
      </c>
      <c r="CE94" s="59">
        <f t="shared" si="94"/>
        <v>311.31528017256846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122.71093727873816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122.71093727873816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0.8600000000003547</v>
      </c>
      <c r="CU94" s="17">
        <f>CT94*VLOOKUP('Données projet'!$B$13,Paramètres!$A$1:$I$89,3,0)*VLOOKUP('Données projet'!$B$13,Paramètres!$A$1:$I$89,5,0)</f>
        <v>0.48074000000019829</v>
      </c>
      <c r="CV94" s="13">
        <f t="shared" si="95"/>
        <v>0.24126147010950588</v>
      </c>
      <c r="CW94" s="20">
        <f t="shared" si="67"/>
        <v>1.2574858937744013</v>
      </c>
      <c r="CX94" s="59">
        <f t="shared" si="68"/>
        <v>275.94431273661945</v>
      </c>
      <c r="CY94" s="59">
        <f ca="1">AVERAGE(OFFSET($CX$3,0,0,'Données projet'!$E$13+1,1))-AVERAGE(OFFSET($H$3,0,0,'Données projet'!$E$13+1,1))</f>
        <v>420.4890915162182</v>
      </c>
      <c r="CZ94" s="59">
        <f t="shared" si="96"/>
        <v>553.48432338023565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182.24963141009687</v>
      </c>
      <c r="DG94" s="21">
        <f>EXP(-LN(2)/25)*DG93+(1-EXP(-LN(2)/25))/(LN(2)/25)*Calculateur!DB94*Calculateur!DD94*VLOOKUP('Données projet'!$B$13,Paramètres!$A$1:$I$89,3,0)*0.475*44/12</f>
        <v>9.3194586138644713</v>
      </c>
      <c r="DH94" s="21">
        <f>EXP(-LN(2)/2)*DH93+(1-EXP(-LN(2)/2))/(LN(2)/2)*DB94*DE94*VLOOKUP('Données projet'!$B$13,Paramètres!$A$1:$I$89,3,0)*0.475*44/12</f>
        <v>4.8727060075798292E-10</v>
      </c>
      <c r="DI94" s="22">
        <f t="shared" si="69"/>
        <v>191.5690900244486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9.9470000000000027</v>
      </c>
      <c r="DO94" s="12">
        <f>IF('Données projet'!$A$166&gt;35,DO93+DN94-DW93,IF(A94&lt;'Données projet'!$A$166,$DL$205^A94,IF(A94='Données projet'!$A$166,'Données projet'!$B$166,DO93+DN94-DW93)))</f>
        <v>385.22400000000016</v>
      </c>
      <c r="DP94" s="17">
        <f>DO94*VLOOKUP('Données projet'!$B$14,Paramètres!$A$1:$I$89,3,0)*VLOOKUP('Données projet'!$B$14,Paramètres!$A$1:$I$89,5,0)</f>
        <v>414.65511360000016</v>
      </c>
      <c r="DQ94" s="13">
        <f t="shared" si="97"/>
        <v>94.741514006506833</v>
      </c>
      <c r="DR94" s="20">
        <f t="shared" si="70"/>
        <v>887.19912641466624</v>
      </c>
      <c r="DS94" s="59">
        <f t="shared" si="71"/>
        <v>1161.8859532575113</v>
      </c>
      <c r="DT94" s="59">
        <f ca="1">AVERAGE(OFFSET($DS$3,0,0,'Données projet'!$E$14+1,1))-AVERAGE(OFFSET($H$3,0,0,'Données projet'!$E$14+1,1))</f>
        <v>659.55755908012691</v>
      </c>
      <c r="DU94" s="59">
        <f t="shared" si="98"/>
        <v>343.96647464823627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138.80417495463817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138.80417495463817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9.9470000000000027</v>
      </c>
      <c r="EJ94" s="12">
        <f>IF('Données projet'!$A$192&gt;35,EJ93+EI94-ER93,IF(A94&lt;'Données projet'!$A$192,$EG$205^A94,IF(A94='Données projet'!$A$192,'Données projet'!$B$192,EJ93+EI94-ER93)))</f>
        <v>385.22400000000016</v>
      </c>
      <c r="EK94" s="17">
        <f>EJ94*VLOOKUP('Données projet'!$B$15,Paramètres!$A$1:$I$89,3,0)*VLOOKUP('Données projet'!$B$15,Paramètres!$A$1:$I$89,5,0)</f>
        <v>372.58865280000015</v>
      </c>
      <c r="EL94" s="13">
        <f t="shared" si="99"/>
        <v>86.196684424648993</v>
      </c>
      <c r="EM94" s="20">
        <f t="shared" si="73"/>
        <v>799.05112899959715</v>
      </c>
      <c r="EN94" s="59">
        <f t="shared" si="74"/>
        <v>1073.7379558424423</v>
      </c>
      <c r="EO94" s="59">
        <f ca="1">AVERAGE(OFFSET($EN$3,0,0,'Données projet'!$E$15+1,1))-AVERAGE(OFFSET($H$3,0,0,'Données projet'!$E$15+1,1))</f>
        <v>600.96600099541388</v>
      </c>
      <c r="EP94" s="59">
        <f t="shared" si="100"/>
        <v>315.40159257508969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124.72259198822566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124.72259198822566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395.17100000000016</v>
      </c>
      <c r="O95" s="13">
        <f>N95*VLOOKUP('Données projet'!$B$9,Paramètres!$A$1:$I$89,3,0)*VLOOKUP('Données projet'!$B$9,Paramètres!$A$1:$I$89,5,0)</f>
        <v>357.55072080000014</v>
      </c>
      <c r="P95" s="13">
        <f t="shared" si="87"/>
        <v>83.115346428782544</v>
      </c>
      <c r="Q95" s="20">
        <f t="shared" si="54"/>
        <v>767.49340042346319</v>
      </c>
      <c r="R95" s="59">
        <f t="shared" si="55"/>
        <v>1042.5037024665749</v>
      </c>
      <c r="S95" s="59">
        <f ca="1">AVERAGE(OFFSET($R$3,0,0,'Données projet'!$E$9+1,1))-AVERAGE(OFFSET($H$3,0,0,'Données projet'!$E$9+1,1))</f>
        <v>567.42635821336114</v>
      </c>
      <c r="T95" s="59">
        <f t="shared" si="88"/>
        <v>299.0473530693472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114.38802848211533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114.38802848211533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</v>
      </c>
      <c r="AI95" s="13">
        <f>IF('Données projet'!$A$62&gt;35,AI94+AH95-AQ94,IF(A95&lt;'Données projet'!$A$62,$AF$205^A95,IF(A95='Données projet'!$A$62,'Données projet'!$B$62,AI94+AH95-AQ94)))</f>
        <v>437.20000000000027</v>
      </c>
      <c r="AJ95" s="13">
        <f>AI95*VLOOKUP('Données projet'!$B$10,Paramètres!$A$1:$I$89,3,0)*VLOOKUP('Données projet'!$B$10,Paramètres!$A$1:$I$89,5,0)</f>
        <v>375.11760000000027</v>
      </c>
      <c r="AK95" s="13">
        <f t="shared" si="89"/>
        <v>86.713440086205267</v>
      </c>
      <c r="AL95" s="20">
        <f t="shared" si="58"/>
        <v>804.3557281501412</v>
      </c>
      <c r="AM95" s="59">
        <f t="shared" si="59"/>
        <v>1079.366030193253</v>
      </c>
      <c r="AN95" s="59">
        <f ca="1">AVERAGE(OFFSET($AM$3,0,0,'Données projet'!$E$10+1,1))-AVERAGE(OFFSET($H$3,0,0,'Données projet'!$E$10+1,1))</f>
        <v>570.05585579662738</v>
      </c>
      <c r="AO95" s="59">
        <f t="shared" si="90"/>
        <v>331.25104323342907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121.50895756675106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121.50895756675106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10.060000000000009</v>
      </c>
      <c r="BD95" s="12">
        <f>IF('Données projet'!$A$88&gt;35,BD94+BC95-BL94,IF(A95&lt;'Données projet'!$A$88,$BA$205^A95,IF(A95='Données projet'!$A$88,'Données projet'!$B$88,BD94+BC95-BL94)))</f>
        <v>394.81000000000023</v>
      </c>
      <c r="BE95" s="13">
        <f>BD95*VLOOKUP('Données projet'!$B$11,Paramètres!$A$1:$I$89,3,0)*VLOOKUP('Données projet'!$B$11,Paramètres!$A$1:$I$89,5,0)</f>
        <v>332.58794400000022</v>
      </c>
      <c r="BF95" s="13">
        <f t="shared" si="91"/>
        <v>77.966609811683952</v>
      </c>
      <c r="BG95" s="20">
        <f t="shared" si="61"/>
        <v>715.0491812220165</v>
      </c>
      <c r="BH95" s="59">
        <f t="shared" si="62"/>
        <v>990.05948326512816</v>
      </c>
      <c r="BI95" s="59">
        <f ca="1">AVERAGE(OFFSET($BH$3,0,0,'Données projet'!$E$11+1,1))-AVERAGE(OFFSET($H$3,0,0,'Données projet'!$E$11+1,1))</f>
        <v>458.88102603650725</v>
      </c>
      <c r="BJ95" s="59">
        <f t="shared" si="92"/>
        <v>277.79020316059552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123.09867203776862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123.09867203776862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9.9470000000000027</v>
      </c>
      <c r="BY95" s="12">
        <f>IF('Données projet'!$A$114&gt;35,BY94+BX95-CG94,IF(A95&lt;'Données projet'!$A$114,$BV$205^A95,IF(A95='Données projet'!$A$114,'Données projet'!$B$114,BY94+BX95-CG94)))</f>
        <v>395.17100000000016</v>
      </c>
      <c r="BZ95" s="13">
        <f>BY95*VLOOKUP('Données projet'!$B$12,Paramètres!$A$1:$I$89,3,0)*VLOOKUP('Données projet'!$B$12,Paramètres!$A$1:$I$89,5,0)</f>
        <v>376.04472360000017</v>
      </c>
      <c r="CA95" s="13">
        <f t="shared" si="93"/>
        <v>86.90278336796186</v>
      </c>
      <c r="CB95" s="20">
        <f t="shared" si="64"/>
        <v>806.30024130253378</v>
      </c>
      <c r="CC95" s="59">
        <f t="shared" si="65"/>
        <v>1081.3105433456456</v>
      </c>
      <c r="CD95" s="59">
        <f ca="1">AVERAGE(OFFSET($CC$3,0,0,'Données projet'!$E$12+1,1))-AVERAGE(OFFSET($H$3,0,0,'Données projet'!$E$12+1,1))</f>
        <v>592.58528888957346</v>
      </c>
      <c r="CE95" s="59">
        <f t="shared" si="94"/>
        <v>311.31528017256846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120.30465064498338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120.30465064498338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0.8600000000003547</v>
      </c>
      <c r="CU95" s="17">
        <f>CT95*VLOOKUP('Données projet'!$B$13,Paramètres!$A$1:$I$89,3,0)*VLOOKUP('Données projet'!$B$13,Paramètres!$A$1:$I$89,5,0)</f>
        <v>0.48074000000019829</v>
      </c>
      <c r="CV95" s="13">
        <f t="shared" si="95"/>
        <v>0.24126147010950588</v>
      </c>
      <c r="CW95" s="20">
        <f t="shared" si="67"/>
        <v>1.2574858937744013</v>
      </c>
      <c r="CX95" s="59">
        <f t="shared" si="68"/>
        <v>276.26778793688612</v>
      </c>
      <c r="CY95" s="59">
        <f ca="1">AVERAGE(OFFSET($CX$3,0,0,'Données projet'!$E$13+1,1))-AVERAGE(OFFSET($H$3,0,0,'Données projet'!$E$13+1,1))</f>
        <v>420.4890915162182</v>
      </c>
      <c r="CZ95" s="59">
        <f t="shared" si="96"/>
        <v>553.48432338023565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178.67582729944377</v>
      </c>
      <c r="DG95" s="21">
        <f>EXP(-LN(2)/25)*DG94+(1-EXP(-LN(2)/25))/(LN(2)/25)*Calculateur!DB95*Calculateur!DD95*VLOOKUP('Données projet'!$B$13,Paramètres!$A$1:$I$89,3,0)*0.475*44/12</f>
        <v>9.0646175279793191</v>
      </c>
      <c r="DH95" s="21">
        <f>EXP(-LN(2)/2)*DH94+(1-EXP(-LN(2)/2))/(LN(2)/2)*DB95*DE95*VLOOKUP('Données projet'!$B$13,Paramètres!$A$1:$I$89,3,0)*0.475*44/12</f>
        <v>3.445523460688126E-10</v>
      </c>
      <c r="DI95" s="22">
        <f t="shared" si="69"/>
        <v>187.74044482776765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9.9470000000000027</v>
      </c>
      <c r="DO95" s="12">
        <f>IF('Données projet'!$A$166&gt;35,DO94+DN95-DW94,IF(A95&lt;'Données projet'!$A$166,$DL$205^A95,IF(A95='Données projet'!$A$166,'Données projet'!$B$166,DO94+DN95-DW94)))</f>
        <v>395.17100000000016</v>
      </c>
      <c r="DP95" s="17">
        <f>DO95*VLOOKUP('Données projet'!$B$14,Paramètres!$A$1:$I$89,3,0)*VLOOKUP('Données projet'!$B$14,Paramètres!$A$1:$I$89,5,0)</f>
        <v>425.36206440000018</v>
      </c>
      <c r="DQ95" s="13">
        <f t="shared" si="97"/>
        <v>96.899893748341995</v>
      </c>
      <c r="DR95" s="20">
        <f t="shared" si="70"/>
        <v>909.60624377502927</v>
      </c>
      <c r="DS95" s="59">
        <f t="shared" si="71"/>
        <v>1184.616545818141</v>
      </c>
      <c r="DT95" s="59">
        <f ca="1">AVERAGE(OFFSET($DS$3,0,0,'Données projet'!$E$14+1,1))-AVERAGE(OFFSET($H$3,0,0,'Données projet'!$E$14+1,1))</f>
        <v>659.55755908012691</v>
      </c>
      <c r="DU95" s="59">
        <f t="shared" si="98"/>
        <v>343.96647464823627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136.08230974596475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136.08230974596475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9.9470000000000027</v>
      </c>
      <c r="EJ95" s="12">
        <f>IF('Données projet'!$A$192&gt;35,EJ94+EI95-ER94,IF(A95&lt;'Données projet'!$A$192,$EG$205^A95,IF(A95='Données projet'!$A$192,'Données projet'!$B$192,EJ94+EI95-ER94)))</f>
        <v>395.17100000000016</v>
      </c>
      <c r="EK95" s="17">
        <f>EJ95*VLOOKUP('Données projet'!$B$15,Paramètres!$A$1:$I$89,3,0)*VLOOKUP('Données projet'!$B$15,Paramètres!$A$1:$I$89,5,0)</f>
        <v>382.20939120000014</v>
      </c>
      <c r="EL95" s="13">
        <f t="shared" si="99"/>
        <v>88.160397791766499</v>
      </c>
      <c r="EM95" s="20">
        <f t="shared" si="73"/>
        <v>819.22738249399356</v>
      </c>
      <c r="EN95" s="59">
        <f t="shared" si="74"/>
        <v>1094.2376845371052</v>
      </c>
      <c r="EO95" s="59">
        <f ca="1">AVERAGE(OFFSET($EN$3,0,0,'Données projet'!$E$15+1,1))-AVERAGE(OFFSET($H$3,0,0,'Données projet'!$E$15+1,1))</f>
        <v>600.96600099541388</v>
      </c>
      <c r="EP95" s="59">
        <f t="shared" si="100"/>
        <v>315.40159257508969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122.27685803260606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122.27685803260606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405.11800000000017</v>
      </c>
      <c r="O96" s="13">
        <f>N96*VLOOKUP('Données projet'!$B$9,Paramètres!$A$1:$I$89,3,0)*VLOOKUP('Données projet'!$B$9,Paramètres!$A$1:$I$89,5,0)</f>
        <v>366.5507664000001</v>
      </c>
      <c r="P96" s="13">
        <f t="shared" si="87"/>
        <v>84.961267689272873</v>
      </c>
      <c r="Q96" s="20">
        <f t="shared" si="54"/>
        <v>786.38345937215036</v>
      </c>
      <c r="R96" s="59">
        <f t="shared" si="55"/>
        <v>1061.7116250439863</v>
      </c>
      <c r="S96" s="59">
        <f ca="1">AVERAGE(OFFSET($R$3,0,0,'Données projet'!$E$9+1,1))-AVERAGE(OFFSET($H$3,0,0,'Données projet'!$E$9+1,1))</f>
        <v>567.42635821336114</v>
      </c>
      <c r="T96" s="59">
        <f t="shared" si="88"/>
        <v>299.0473530693472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112.14494901338922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112.14494901338922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</v>
      </c>
      <c r="AI96" s="13">
        <f>IF('Données projet'!$A$62&gt;35,AI95+AH96-AQ95,IF(A96&lt;'Données projet'!$A$62,$AF$205^A96,IF(A96='Données projet'!$A$62,'Données projet'!$B$62,AI95+AH96-AQ95)))</f>
        <v>445.8000000000003</v>
      </c>
      <c r="AJ96" s="13">
        <f>AI96*VLOOKUP('Données projet'!$B$10,Paramètres!$A$1:$I$89,3,0)*VLOOKUP('Données projet'!$B$10,Paramètres!$A$1:$I$89,5,0)</f>
        <v>382.49640000000028</v>
      </c>
      <c r="AK96" s="13">
        <f t="shared" si="89"/>
        <v>88.218890823541386</v>
      </c>
      <c r="AL96" s="20">
        <f t="shared" si="58"/>
        <v>819.82913151766832</v>
      </c>
      <c r="AM96" s="59">
        <f t="shared" si="59"/>
        <v>1095.1572971895043</v>
      </c>
      <c r="AN96" s="59">
        <f ca="1">AVERAGE(OFFSET($AM$3,0,0,'Données projet'!$E$10+1,1))-AVERAGE(OFFSET($H$3,0,0,'Données projet'!$E$10+1,1))</f>
        <v>570.05585579662738</v>
      </c>
      <c r="AO96" s="59">
        <f t="shared" si="90"/>
        <v>331.25104323342907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119.12624102201313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119.12624102201313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10.060000000000009</v>
      </c>
      <c r="BD96" s="12">
        <f>IF('Données projet'!$A$88&gt;35,BD95+BC96-BL95,IF(A96&lt;'Données projet'!$A$88,$BA$205^A96,IF(A96='Données projet'!$A$88,'Données projet'!$B$88,BD95+BC96-BL95)))</f>
        <v>404.87000000000023</v>
      </c>
      <c r="BE96" s="13">
        <f>BD96*VLOOKUP('Données projet'!$B$11,Paramètres!$A$1:$I$89,3,0)*VLOOKUP('Données projet'!$B$11,Paramètres!$A$1:$I$89,5,0)</f>
        <v>341.0624880000002</v>
      </c>
      <c r="BF96" s="13">
        <f t="shared" si="91"/>
        <v>79.719423291770411</v>
      </c>
      <c r="BG96" s="20">
        <f t="shared" si="61"/>
        <v>732.86182883316712</v>
      </c>
      <c r="BH96" s="59">
        <f t="shared" si="62"/>
        <v>1008.1899945050031</v>
      </c>
      <c r="BI96" s="59">
        <f ca="1">AVERAGE(OFFSET($BH$3,0,0,'Données projet'!$E$11+1,1))-AVERAGE(OFFSET($H$3,0,0,'Données projet'!$E$11+1,1))</f>
        <v>458.88102603650725</v>
      </c>
      <c r="BJ96" s="59">
        <f t="shared" si="92"/>
        <v>277.79020316059552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120.68478216188412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120.68478216188412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9.9470000000000027</v>
      </c>
      <c r="BY96" s="12">
        <f>IF('Données projet'!$A$114&gt;35,BY95+BX96-CG95,IF(A96&lt;'Données projet'!$A$114,$BV$205^A96,IF(A96='Données projet'!$A$114,'Données projet'!$B$114,BY95+BX96-CG95)))</f>
        <v>405.11800000000017</v>
      </c>
      <c r="BZ96" s="13">
        <f>BY96*VLOOKUP('Données projet'!$B$12,Paramètres!$A$1:$I$89,3,0)*VLOOKUP('Données projet'!$B$12,Paramètres!$A$1:$I$89,5,0)</f>
        <v>385.51028880000018</v>
      </c>
      <c r="CA96" s="13">
        <f t="shared" si="93"/>
        <v>88.832820386482439</v>
      </c>
      <c r="CB96" s="20">
        <f t="shared" si="64"/>
        <v>826.14758183312381</v>
      </c>
      <c r="CC96" s="59">
        <f t="shared" si="65"/>
        <v>1101.4757475049598</v>
      </c>
      <c r="CD96" s="59">
        <f ca="1">AVERAGE(OFFSET($CC$3,0,0,'Données projet'!$E$12+1,1))-AVERAGE(OFFSET($H$3,0,0,'Données projet'!$E$12+1,1))</f>
        <v>592.58528888957346</v>
      </c>
      <c r="CE96" s="59">
        <f t="shared" si="94"/>
        <v>311.31528017256846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117.94554982442662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117.94554982442662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0.8600000000003547</v>
      </c>
      <c r="CU96" s="17">
        <f>CT96*VLOOKUP('Données projet'!$B$13,Paramètres!$A$1:$I$89,3,0)*VLOOKUP('Données projet'!$B$13,Paramètres!$A$1:$I$89,5,0)</f>
        <v>0.48074000000019829</v>
      </c>
      <c r="CV96" s="13">
        <f t="shared" si="95"/>
        <v>0.24126147010950588</v>
      </c>
      <c r="CW96" s="20">
        <f t="shared" si="67"/>
        <v>1.2574858937744013</v>
      </c>
      <c r="CX96" s="59">
        <f t="shared" si="68"/>
        <v>276.58565156561036</v>
      </c>
      <c r="CY96" s="59">
        <f ca="1">AVERAGE(OFFSET($CX$3,0,0,'Données projet'!$E$13+1,1))-AVERAGE(OFFSET($H$3,0,0,'Données projet'!$E$13+1,1))</f>
        <v>420.4890915162182</v>
      </c>
      <c r="CZ96" s="59">
        <f t="shared" si="96"/>
        <v>553.48432338023565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175.17210330759531</v>
      </c>
      <c r="DG96" s="21">
        <f>EXP(-LN(2)/25)*DG95+(1-EXP(-LN(2)/25))/(LN(2)/25)*Calculateur!DB96*Calculateur!DD96*VLOOKUP('Données projet'!$B$13,Paramètres!$A$1:$I$89,3,0)*0.475*44/12</f>
        <v>8.8167450849892059</v>
      </c>
      <c r="DH96" s="21">
        <f>EXP(-LN(2)/2)*DH95+(1-EXP(-LN(2)/2))/(LN(2)/2)*DB96*DE96*VLOOKUP('Données projet'!$B$13,Paramètres!$A$1:$I$89,3,0)*0.475*44/12</f>
        <v>2.4363530037899146E-10</v>
      </c>
      <c r="DI96" s="22">
        <f t="shared" si="69"/>
        <v>183.98884839282815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9.9470000000000027</v>
      </c>
      <c r="DO96" s="12">
        <f>IF('Données projet'!$A$166&gt;35,DO95+DN96-DW95,IF(A96&lt;'Données projet'!$A$166,$DL$205^A96,IF(A96='Données projet'!$A$166,'Données projet'!$B$166,DO95+DN96-DW95)))</f>
        <v>405.11800000000017</v>
      </c>
      <c r="DP96" s="17">
        <f>DO96*VLOOKUP('Données projet'!$B$14,Paramètres!$A$1:$I$89,3,0)*VLOOKUP('Données projet'!$B$14,Paramètres!$A$1:$I$89,5,0)</f>
        <v>436.06901520000014</v>
      </c>
      <c r="DQ96" s="13">
        <f t="shared" si="97"/>
        <v>99.051958098607116</v>
      </c>
      <c r="DR96" s="20">
        <f t="shared" si="70"/>
        <v>932.00236182840763</v>
      </c>
      <c r="DS96" s="59">
        <f t="shared" si="71"/>
        <v>1207.3305275002435</v>
      </c>
      <c r="DT96" s="59">
        <f ca="1">AVERAGE(OFFSET($DS$3,0,0,'Données projet'!$E$14+1,1))-AVERAGE(OFFSET($H$3,0,0,'Données projet'!$E$14+1,1))</f>
        <v>659.55755908012691</v>
      </c>
      <c r="DU96" s="59">
        <f t="shared" si="98"/>
        <v>343.96647464823627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133.41381865385955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133.41381865385955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9.9470000000000027</v>
      </c>
      <c r="EJ96" s="12">
        <f>IF('Données projet'!$A$192&gt;35,EJ95+EI96-ER95,IF(A96&lt;'Données projet'!$A$192,$EG$205^A96,IF(A96='Données projet'!$A$192,'Données projet'!$B$192,EJ95+EI96-ER95)))</f>
        <v>405.11800000000017</v>
      </c>
      <c r="EK96" s="17">
        <f>EJ96*VLOOKUP('Données projet'!$B$15,Paramètres!$A$1:$I$89,3,0)*VLOOKUP('Données projet'!$B$15,Paramètres!$A$1:$I$89,5,0)</f>
        <v>391.83012960000019</v>
      </c>
      <c r="EL96" s="13">
        <f t="shared" si="99"/>
        <v>90.118365358641228</v>
      </c>
      <c r="EM96" s="20">
        <f t="shared" si="73"/>
        <v>839.39362871963374</v>
      </c>
      <c r="EN96" s="59">
        <f t="shared" si="74"/>
        <v>1114.7217943914698</v>
      </c>
      <c r="EO96" s="59">
        <f ca="1">AVERAGE(OFFSET($EN$3,0,0,'Données projet'!$E$15+1,1))-AVERAGE(OFFSET($H$3,0,0,'Données projet'!$E$15+1,1))</f>
        <v>600.96600099541388</v>
      </c>
      <c r="EP96" s="59">
        <f t="shared" si="100"/>
        <v>315.40159257508969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119.87908342810574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119.87908342810574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415.06500000000017</v>
      </c>
      <c r="O97" s="13">
        <f>N97*VLOOKUP('Données projet'!$B$9,Paramètres!$A$1:$I$89,3,0)*VLOOKUP('Données projet'!$B$9,Paramètres!$A$1:$I$89,5,0)</f>
        <v>375.55081200000012</v>
      </c>
      <c r="P97" s="13">
        <f t="shared" si="87"/>
        <v>86.801920262883286</v>
      </c>
      <c r="Q97" s="20">
        <f t="shared" si="54"/>
        <v>805.26434202452185</v>
      </c>
      <c r="R97" s="59">
        <f t="shared" si="55"/>
        <v>1080.9048571017604</v>
      </c>
      <c r="S97" s="59">
        <f ca="1">AVERAGE(OFFSET($R$3,0,0,'Données projet'!$E$9+1,1))-AVERAGE(OFFSET($H$3,0,0,'Données projet'!$E$9+1,1))</f>
        <v>567.42635821336114</v>
      </c>
      <c r="T97" s="59">
        <f t="shared" si="88"/>
        <v>299.0473530693472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109.94585496490146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109.94585496490146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8.6</v>
      </c>
      <c r="AI97" s="13">
        <f>IF('Données projet'!$A$62&gt;35,AI96+AH97-AQ96,IF(A97&lt;'Données projet'!$A$62,$AF$205^A97,IF(A97='Données projet'!$A$62,'Données projet'!$B$62,AI96+AH97-AQ96)))</f>
        <v>454.40000000000032</v>
      </c>
      <c r="AJ97" s="13">
        <f>AI97*VLOOKUP('Données projet'!$B$10,Paramètres!$A$1:$I$89,3,0)*VLOOKUP('Données projet'!$B$10,Paramètres!$A$1:$I$89,5,0)</f>
        <v>389.87520000000029</v>
      </c>
      <c r="AK97" s="13">
        <f t="shared" si="89"/>
        <v>89.720964655579564</v>
      </c>
      <c r="AL97" s="20">
        <f t="shared" si="58"/>
        <v>835.29665344180148</v>
      </c>
      <c r="AM97" s="59">
        <f t="shared" si="59"/>
        <v>1110.9371685190399</v>
      </c>
      <c r="AN97" s="59">
        <f ca="1">AVERAGE(OFFSET($AM$3,0,0,'Données projet'!$E$10+1,1))-AVERAGE(OFFSET($H$3,0,0,'Données projet'!$E$10+1,1))</f>
        <v>570.05585579662738</v>
      </c>
      <c r="AO97" s="59">
        <f t="shared" si="90"/>
        <v>331.25104323342907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116.79024809540391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116.79024809540391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10.060000000000009</v>
      </c>
      <c r="BD97" s="12">
        <f>IF('Données projet'!$A$88&gt;35,BD96+BC97-BL96,IF(A97&lt;'Données projet'!$A$88,$BA$205^A97,IF(A97='Données projet'!$A$88,'Données projet'!$B$88,BD96+BC97-BL96)))</f>
        <v>414.93000000000023</v>
      </c>
      <c r="BE97" s="13">
        <f>BD97*VLOOKUP('Données projet'!$B$11,Paramètres!$A$1:$I$89,3,0)*VLOOKUP('Données projet'!$B$11,Paramètres!$A$1:$I$89,5,0)</f>
        <v>349.53703200000024</v>
      </c>
      <c r="BF97" s="13">
        <f t="shared" si="91"/>
        <v>81.467173976108739</v>
      </c>
      <c r="BG97" s="20">
        <f t="shared" si="61"/>
        <v>750.66565874172318</v>
      </c>
      <c r="BH97" s="59">
        <f t="shared" si="62"/>
        <v>1026.3061738189617</v>
      </c>
      <c r="BI97" s="59">
        <f ca="1">AVERAGE(OFFSET($BH$3,0,0,'Données projet'!$E$11+1,1))-AVERAGE(OFFSET($H$3,0,0,'Données projet'!$E$11+1,1))</f>
        <v>458.88102603650725</v>
      </c>
      <c r="BJ97" s="59">
        <f t="shared" si="92"/>
        <v>277.79020316059552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118.31822719413826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118.31822719413826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9.9470000000000027</v>
      </c>
      <c r="BY97" s="12">
        <f>IF('Données projet'!$A$114&gt;35,BY96+BX97-CG96,IF(A97&lt;'Données projet'!$A$114,$BV$205^A97,IF(A97='Données projet'!$A$114,'Données projet'!$B$114,BY96+BX97-CG96)))</f>
        <v>415.06500000000017</v>
      </c>
      <c r="BZ97" s="13">
        <f>BY97*VLOOKUP('Données projet'!$B$12,Paramètres!$A$1:$I$89,3,0)*VLOOKUP('Données projet'!$B$12,Paramètres!$A$1:$I$89,5,0)</f>
        <v>394.97585400000014</v>
      </c>
      <c r="CA97" s="13">
        <f t="shared" si="93"/>
        <v>90.757348632264282</v>
      </c>
      <c r="CB97" s="20">
        <f t="shared" si="64"/>
        <v>845.98532791786045</v>
      </c>
      <c r="CC97" s="59">
        <f t="shared" si="65"/>
        <v>1121.625842995099</v>
      </c>
      <c r="CD97" s="59">
        <f ca="1">AVERAGE(OFFSET($CC$3,0,0,'Données projet'!$E$12+1,1))-AVERAGE(OFFSET($H$3,0,0,'Données projet'!$E$12+1,1))</f>
        <v>592.58528888957346</v>
      </c>
      <c r="CE97" s="59">
        <f t="shared" si="94"/>
        <v>311.31528017256846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115.63270953205155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115.63270953205155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0.8600000000003547</v>
      </c>
      <c r="CU97" s="17">
        <f>CT97*VLOOKUP('Données projet'!$B$13,Paramètres!$A$1:$I$89,3,0)*VLOOKUP('Données projet'!$B$13,Paramètres!$A$1:$I$89,5,0)</f>
        <v>0.48074000000019829</v>
      </c>
      <c r="CV97" s="13">
        <f t="shared" si="95"/>
        <v>0.24126147010950588</v>
      </c>
      <c r="CW97" s="20">
        <f t="shared" si="67"/>
        <v>1.2574858937744013</v>
      </c>
      <c r="CX97" s="59">
        <f t="shared" si="68"/>
        <v>276.89800097101289</v>
      </c>
      <c r="CY97" s="59">
        <f ca="1">AVERAGE(OFFSET($CX$3,0,0,'Données projet'!$E$13+1,1))-AVERAGE(OFFSET($H$3,0,0,'Données projet'!$E$13+1,1))</f>
        <v>420.4890915162182</v>
      </c>
      <c r="CZ97" s="59">
        <f t="shared" si="96"/>
        <v>553.48432338023565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171.73708520616637</v>
      </c>
      <c r="DG97" s="21">
        <f>EXP(-LN(2)/25)*DG96+(1-EXP(-LN(2)/25))/(LN(2)/25)*Calculateur!DB97*Calculateur!DD97*VLOOKUP('Données projet'!$B$13,Paramètres!$A$1:$I$89,3,0)*0.475*44/12</f>
        <v>8.5756507269877034</v>
      </c>
      <c r="DH97" s="21">
        <f>EXP(-LN(2)/2)*DH96+(1-EXP(-LN(2)/2))/(LN(2)/2)*DB97*DE97*VLOOKUP('Données projet'!$B$13,Paramètres!$A$1:$I$89,3,0)*0.475*44/12</f>
        <v>1.722761730344063E-10</v>
      </c>
      <c r="DI97" s="22">
        <f t="shared" si="69"/>
        <v>180.31273593332634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9.9470000000000027</v>
      </c>
      <c r="DO97" s="12">
        <f>IF('Données projet'!$A$166&gt;35,DO96+DN97-DW96,IF(A97&lt;'Données projet'!$A$166,$DL$205^A97,IF(A97='Données projet'!$A$166,'Données projet'!$B$166,DO96+DN97-DW96)))</f>
        <v>415.06500000000017</v>
      </c>
      <c r="DP97" s="17">
        <f>DO97*VLOOKUP('Données projet'!$B$14,Paramètres!$A$1:$I$89,3,0)*VLOOKUP('Données projet'!$B$14,Paramètres!$A$1:$I$89,5,0)</f>
        <v>446.77596600000015</v>
      </c>
      <c r="DQ97" s="13">
        <f t="shared" si="97"/>
        <v>101.19787995869693</v>
      </c>
      <c r="DR97" s="20">
        <f t="shared" si="70"/>
        <v>954.38778171139745</v>
      </c>
      <c r="DS97" s="59">
        <f t="shared" si="71"/>
        <v>1230.028296788636</v>
      </c>
      <c r="DT97" s="59">
        <f ca="1">AVERAGE(OFFSET($DS$3,0,0,'Données projet'!$E$14+1,1))-AVERAGE(OFFSET($H$3,0,0,'Données projet'!$E$14+1,1))</f>
        <v>659.55755908012691</v>
      </c>
      <c r="DU97" s="59">
        <f t="shared" si="98"/>
        <v>343.96647464823627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130.79765504445169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130.79765504445169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9.9470000000000027</v>
      </c>
      <c r="EJ97" s="12">
        <f>IF('Données projet'!$A$192&gt;35,EJ96+EI97-ER96,IF(A97&lt;'Données projet'!$A$192,$EG$205^A97,IF(A97='Données projet'!$A$192,'Données projet'!$B$192,EJ96+EI97-ER96)))</f>
        <v>415.06500000000017</v>
      </c>
      <c r="EK97" s="17">
        <f>EJ97*VLOOKUP('Données projet'!$B$15,Paramètres!$A$1:$I$89,3,0)*VLOOKUP('Données projet'!$B$15,Paramètres!$A$1:$I$89,5,0)</f>
        <v>401.45086800000018</v>
      </c>
      <c r="EL97" s="13">
        <f t="shared" si="99"/>
        <v>92.070744432522162</v>
      </c>
      <c r="EM97" s="20">
        <f t="shared" si="73"/>
        <v>859.55014165330977</v>
      </c>
      <c r="EN97" s="59">
        <f t="shared" si="74"/>
        <v>1135.1906567305482</v>
      </c>
      <c r="EO97" s="59">
        <f ca="1">AVERAGE(OFFSET($EN$3,0,0,'Données projet'!$E$15+1,1))-AVERAGE(OFFSET($H$3,0,0,'Données projet'!$E$15+1,1))</f>
        <v>600.96600099541388</v>
      </c>
      <c r="EP97" s="59">
        <f t="shared" si="100"/>
        <v>315.40159257508969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117.52832772110158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117.52832772110158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425.01200000000017</v>
      </c>
      <c r="O98" s="13">
        <f>N98*VLOOKUP('Données projet'!$B$9,Paramètres!$A$1:$I$89,3,0)*VLOOKUP('Données projet'!$B$9,Paramètres!$A$1:$I$89,5,0)</f>
        <v>384.55085760000014</v>
      </c>
      <c r="P98" s="13">
        <f t="shared" si="87"/>
        <v>88.637444941196293</v>
      </c>
      <c r="Q98" s="20">
        <f t="shared" si="54"/>
        <v>824.13629359258368</v>
      </c>
      <c r="R98" s="59">
        <f t="shared" si="55"/>
        <v>1100.0837395113497</v>
      </c>
      <c r="S98" s="59">
        <f ca="1">AVERAGE(OFFSET($R$3,0,0,'Données projet'!$E$9+1,1))-AVERAGE(OFFSET($H$3,0,0,'Données projet'!$E$9+1,1))</f>
        <v>567.42635821336114</v>
      </c>
      <c r="T98" s="59">
        <f t="shared" si="88"/>
        <v>299.0473530693472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107.78988380938961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107.78988380938961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463</v>
      </c>
      <c r="AG98" s="12">
        <f>VLOOKUP(A98,'Données projet'!$A$61:$I$81,9,0)</f>
        <v>8.6</v>
      </c>
      <c r="AH98" s="12">
        <f t="array" ref="AH98">INDEX(AG:AG,MIN(IF(ISNUMBER(AG98:AG294),ROW(AG98:AG294),"")))</f>
        <v>8.6</v>
      </c>
      <c r="AI98" s="13">
        <f>IF('Données projet'!$A$62&gt;35,AI97+AH98-AQ97,IF(A98&lt;'Données projet'!$A$62,$AF$205^A98,IF(A98='Données projet'!$A$62,'Données projet'!$B$62,AI97+AH98-AQ97)))</f>
        <v>463.00000000000034</v>
      </c>
      <c r="AJ98" s="13">
        <f>AI98*VLOOKUP('Données projet'!$B$10,Paramètres!$A$1:$I$89,3,0)*VLOOKUP('Données projet'!$B$10,Paramètres!$A$1:$I$89,5,0)</f>
        <v>397.25400000000036</v>
      </c>
      <c r="AK98" s="13">
        <f t="shared" si="89"/>
        <v>91.219732863167579</v>
      </c>
      <c r="AL98" s="20">
        <f t="shared" si="58"/>
        <v>850.75841807001746</v>
      </c>
      <c r="AM98" s="59">
        <f t="shared" si="59"/>
        <v>1126.7058639887834</v>
      </c>
      <c r="AN98" s="59">
        <f ca="1">AVERAGE(OFFSET($AM$3,0,0,'Données projet'!$E$10+1,1))-AVERAGE(OFFSET($H$3,0,0,'Données projet'!$E$10+1,1))</f>
        <v>570.05585579662738</v>
      </c>
      <c r="AO98" s="59">
        <f t="shared" si="90"/>
        <v>331.25104323342907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30</v>
      </c>
      <c r="AR98" s="16">
        <f>IF(ISNA(VLOOKUP(A98,'Données projet'!$A$61:$I$81,5,0)),0%,VLOOKUP(A98,'Données projet'!$A$61:$I$81,5,0)*VLOOKUP('Données projet'!$B$10,Paramètres!$A$1:$I$89,7,0))</f>
        <v>0.53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129.58111057693492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129.58111057693492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10.060000000000009</v>
      </c>
      <c r="BD98" s="12">
        <f>IF('Données projet'!$A$88&gt;35,BD97+BC98-BL97,IF(A98&lt;'Données projet'!$A$88,$BA$205^A98,IF(A98='Données projet'!$A$88,'Données projet'!$B$88,BD97+BC98-BL97)))</f>
        <v>424.99000000000024</v>
      </c>
      <c r="BE98" s="13">
        <f>BD98*VLOOKUP('Données projet'!$B$11,Paramètres!$A$1:$I$89,3,0)*VLOOKUP('Données projet'!$B$11,Paramètres!$A$1:$I$89,5,0)</f>
        <v>358.01157600000022</v>
      </c>
      <c r="BF98" s="13">
        <f t="shared" si="91"/>
        <v>83.209998734223689</v>
      </c>
      <c r="BG98" s="20">
        <f t="shared" si="61"/>
        <v>768.46090932877325</v>
      </c>
      <c r="BH98" s="59">
        <f t="shared" si="62"/>
        <v>1044.4083552475392</v>
      </c>
      <c r="BI98" s="59">
        <f ca="1">AVERAGE(OFFSET($BH$3,0,0,'Données projet'!$E$11+1,1))-AVERAGE(OFFSET($H$3,0,0,'Données projet'!$E$11+1,1))</f>
        <v>458.88102603650725</v>
      </c>
      <c r="BJ98" s="59">
        <f t="shared" si="92"/>
        <v>277.79020316059552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115.9980789258539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115.9980789258539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9.9470000000000027</v>
      </c>
      <c r="BY98" s="12">
        <f>IF('Données projet'!$A$114&gt;35,BY97+BX98-CG97,IF(A98&lt;'Données projet'!$A$114,$BV$205^A98,IF(A98='Données projet'!$A$114,'Données projet'!$B$114,BY97+BX98-CG97)))</f>
        <v>425.01200000000017</v>
      </c>
      <c r="BZ98" s="13">
        <f>BY98*VLOOKUP('Données projet'!$B$12,Paramètres!$A$1:$I$89,3,0)*VLOOKUP('Données projet'!$B$12,Paramètres!$A$1:$I$89,5,0)</f>
        <v>404.44141920000015</v>
      </c>
      <c r="CA98" s="13">
        <f t="shared" si="93"/>
        <v>92.676515312543557</v>
      </c>
      <c r="CB98" s="20">
        <f t="shared" si="64"/>
        <v>865.81373594268018</v>
      </c>
      <c r="CC98" s="59">
        <f t="shared" si="65"/>
        <v>1141.7611818614462</v>
      </c>
      <c r="CD98" s="59">
        <f ca="1">AVERAGE(OFFSET($CC$3,0,0,'Données projet'!$E$12+1,1))-AVERAGE(OFFSET($H$3,0,0,'Données projet'!$E$12+1,1))</f>
        <v>592.58528888957346</v>
      </c>
      <c r="CE98" s="59">
        <f t="shared" si="94"/>
        <v>311.31528017256846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113.36522262711668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113.36522262711668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0.8600000000003547</v>
      </c>
      <c r="CU98" s="17">
        <f>CT98*VLOOKUP('Données projet'!$B$13,Paramètres!$A$1:$I$89,3,0)*VLOOKUP('Données projet'!$B$13,Paramètres!$A$1:$I$89,5,0)</f>
        <v>0.48074000000019829</v>
      </c>
      <c r="CV98" s="13">
        <f t="shared" si="95"/>
        <v>0.24126147010950588</v>
      </c>
      <c r="CW98" s="20">
        <f t="shared" si="67"/>
        <v>1.2574858937744013</v>
      </c>
      <c r="CX98" s="59">
        <f t="shared" si="68"/>
        <v>277.20493181254034</v>
      </c>
      <c r="CY98" s="59">
        <f ca="1">AVERAGE(OFFSET($CX$3,0,0,'Données projet'!$E$13+1,1))-AVERAGE(OFFSET($H$3,0,0,'Données projet'!$E$13+1,1))</f>
        <v>420.4890915162182</v>
      </c>
      <c r="CZ98" s="59">
        <f t="shared" si="96"/>
        <v>553.48432338023565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168.36942571455228</v>
      </c>
      <c r="DG98" s="21">
        <f>EXP(-LN(2)/25)*DG97+(1-EXP(-LN(2)/25))/(LN(2)/25)*Calculateur!DB98*Calculateur!DD98*VLOOKUP('Données projet'!$B$13,Paramètres!$A$1:$I$89,3,0)*0.475*44/12</f>
        <v>8.3411491068843535</v>
      </c>
      <c r="DH98" s="21">
        <f>EXP(-LN(2)/2)*DH97+(1-EXP(-LN(2)/2))/(LN(2)/2)*DB98*DE98*VLOOKUP('Données projet'!$B$13,Paramètres!$A$1:$I$89,3,0)*0.475*44/12</f>
        <v>1.2181765018949573E-10</v>
      </c>
      <c r="DI98" s="22">
        <f t="shared" si="69"/>
        <v>176.71057482155845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9.9470000000000027</v>
      </c>
      <c r="DO98" s="12">
        <f>IF('Données projet'!$A$166&gt;35,DO97+DN98-DW97,IF(A98&lt;'Données projet'!$A$166,$DL$205^A98,IF(A98='Données projet'!$A$166,'Données projet'!$B$166,DO97+DN98-DW97)))</f>
        <v>425.01200000000017</v>
      </c>
      <c r="DP98" s="17">
        <f>DO98*VLOOKUP('Données projet'!$B$14,Paramètres!$A$1:$I$89,3,0)*VLOOKUP('Données projet'!$B$14,Paramètres!$A$1:$I$89,5,0)</f>
        <v>457.48291680000011</v>
      </c>
      <c r="DQ98" s="13">
        <f t="shared" si="97"/>
        <v>103.33782347025286</v>
      </c>
      <c r="DR98" s="20">
        <f t="shared" si="70"/>
        <v>976.76278930402384</v>
      </c>
      <c r="DS98" s="59">
        <f t="shared" si="71"/>
        <v>1252.7102352227898</v>
      </c>
      <c r="DT98" s="59">
        <f ca="1">AVERAGE(OFFSET($DS$3,0,0,'Données projet'!$E$14+1,1))-AVERAGE(OFFSET($H$3,0,0,'Données projet'!$E$14+1,1))</f>
        <v>659.55755908012691</v>
      </c>
      <c r="DU98" s="59">
        <f t="shared" si="98"/>
        <v>343.96647464823627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128.23279280772206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128.23279280772206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9.9470000000000027</v>
      </c>
      <c r="EJ98" s="12">
        <f>IF('Données projet'!$A$192&gt;35,EJ97+EI98-ER97,IF(A98&lt;'Données projet'!$A$192,$EG$205^A98,IF(A98='Données projet'!$A$192,'Données projet'!$B$192,EJ97+EI98-ER97)))</f>
        <v>425.01200000000017</v>
      </c>
      <c r="EK98" s="17">
        <f>EJ98*VLOOKUP('Données projet'!$B$15,Paramètres!$A$1:$I$89,3,0)*VLOOKUP('Données projet'!$B$15,Paramètres!$A$1:$I$89,5,0)</f>
        <v>411.07160640000018</v>
      </c>
      <c r="EL98" s="13">
        <f t="shared" si="99"/>
        <v>94.017684350956372</v>
      </c>
      <c r="EM98" s="20">
        <f t="shared" si="73"/>
        <v>879.69718139124927</v>
      </c>
      <c r="EN98" s="59">
        <f t="shared" si="74"/>
        <v>1155.6446273100153</v>
      </c>
      <c r="EO98" s="59">
        <f ca="1">AVERAGE(OFFSET($EN$3,0,0,'Données projet'!$E$15+1,1))-AVERAGE(OFFSET($H$3,0,0,'Données projet'!$E$15+1,1))</f>
        <v>600.96600099541388</v>
      </c>
      <c r="EP98" s="59">
        <f t="shared" si="100"/>
        <v>315.40159257508969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115.22366889969236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115.22366889969236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434.95900000000017</v>
      </c>
      <c r="O99" s="13">
        <f>N99*VLOOKUP('Données projet'!$B$9,Paramètres!$A$1:$I$89,3,0)*VLOOKUP('Données projet'!$B$9,Paramètres!$A$1:$I$89,5,0)</f>
        <v>393.55090320000016</v>
      </c>
      <c r="P99" s="13">
        <f t="shared" si="87"/>
        <v>90.467975549637174</v>
      </c>
      <c r="Q99" s="20">
        <f t="shared" ref="Q99:Q130" si="107">(O99+P99)*0.475*44/12</f>
        <v>842.99954715561842</v>
      </c>
      <c r="R99" s="59">
        <f t="shared" si="55"/>
        <v>1119.2485993520058</v>
      </c>
      <c r="S99" s="59">
        <f ca="1">AVERAGE(OFFSET($R$3,0,0,'Données projet'!$E$9+1,1))-AVERAGE(OFFSET($H$3,0,0,'Données projet'!$E$9+1,1))</f>
        <v>567.42635821336114</v>
      </c>
      <c r="T99" s="59">
        <f t="shared" si="88"/>
        <v>299.0473530693472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105.67618993322479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105.67618993322479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8.1999999999999993</v>
      </c>
      <c r="AI99" s="13">
        <f>IF('Données projet'!$A$62&gt;35,AI98+AH99-AQ98,IF(A99&lt;'Données projet'!$A$62,$AF$205^A99,IF(A99='Données projet'!$A$62,'Données projet'!$B$62,AI98+AH99-AQ98)))</f>
        <v>441.20000000000033</v>
      </c>
      <c r="AJ99" s="13">
        <f>AI99*VLOOKUP('Données projet'!$B$10,Paramètres!$A$1:$I$89,3,0)*VLOOKUP('Données projet'!$B$10,Paramètres!$A$1:$I$89,5,0)</f>
        <v>378.54960000000034</v>
      </c>
      <c r="AK99" s="13">
        <f t="shared" si="89"/>
        <v>87.414074444191471</v>
      </c>
      <c r="AL99" s="20">
        <f t="shared" si="58"/>
        <v>811.55339965696749</v>
      </c>
      <c r="AM99" s="59">
        <f t="shared" si="59"/>
        <v>1087.8024518533548</v>
      </c>
      <c r="AN99" s="59">
        <f ca="1">AVERAGE(OFFSET($AM$3,0,0,'Données projet'!$E$10+1,1))-AVERAGE(OFFSET($H$3,0,0,'Données projet'!$E$10+1,1))</f>
        <v>570.05585579662738</v>
      </c>
      <c r="AO99" s="59">
        <f t="shared" si="90"/>
        <v>331.25104323342907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127.04010403519446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127.04010403519446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10.060000000000009</v>
      </c>
      <c r="BD99" s="12">
        <f>IF('Données projet'!$A$88&gt;35,BD98+BC99-BL98,IF(A99&lt;'Données projet'!$A$88,$BA$205^A99,IF(A99='Données projet'!$A$88,'Données projet'!$B$88,BD98+BC99-BL98)))</f>
        <v>435.05000000000024</v>
      </c>
      <c r="BE99" s="13">
        <f>BD99*VLOOKUP('Données projet'!$B$11,Paramètres!$A$1:$I$89,3,0)*VLOOKUP('Données projet'!$B$11,Paramètres!$A$1:$I$89,5,0)</f>
        <v>366.4861200000002</v>
      </c>
      <c r="BF99" s="13">
        <f t="shared" si="91"/>
        <v>84.948027586316087</v>
      </c>
      <c r="BG99" s="20">
        <f t="shared" si="61"/>
        <v>786.24780704616751</v>
      </c>
      <c r="BH99" s="59">
        <f t="shared" si="62"/>
        <v>1062.4968592425548</v>
      </c>
      <c r="BI99" s="59">
        <f ca="1">AVERAGE(OFFSET($BH$3,0,0,'Données projet'!$E$11+1,1))-AVERAGE(OFFSET($H$3,0,0,'Données projet'!$E$11+1,1))</f>
        <v>458.88102603650725</v>
      </c>
      <c r="BJ99" s="59">
        <f t="shared" si="92"/>
        <v>277.79020316059552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113.72342734995989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113.72342734995989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9.9470000000000027</v>
      </c>
      <c r="BY99" s="12">
        <f>IF('Données projet'!$A$114&gt;35,BY98+BX99-CG98,IF(A99&lt;'Données projet'!$A$114,$BV$205^A99,IF(A99='Données projet'!$A$114,'Données projet'!$B$114,BY98+BX99-CG98)))</f>
        <v>434.95900000000017</v>
      </c>
      <c r="BZ99" s="13">
        <f>BY99*VLOOKUP('Données projet'!$B$12,Paramètres!$A$1:$I$89,3,0)*VLOOKUP('Données projet'!$B$12,Paramètres!$A$1:$I$89,5,0)</f>
        <v>413.90698440000023</v>
      </c>
      <c r="CA99" s="13">
        <f t="shared" si="93"/>
        <v>94.590460350961564</v>
      </c>
      <c r="CB99" s="20">
        <f t="shared" si="64"/>
        <v>885.63304960792505</v>
      </c>
      <c r="CC99" s="59">
        <f t="shared" si="65"/>
        <v>1161.8821018043125</v>
      </c>
      <c r="CD99" s="59">
        <f ca="1">AVERAGE(OFFSET($CC$3,0,0,'Données projet'!$E$12+1,1))-AVERAGE(OFFSET($H$3,0,0,'Données projet'!$E$12+1,1))</f>
        <v>592.58528888957346</v>
      </c>
      <c r="CE99" s="59">
        <f t="shared" si="94"/>
        <v>311.31528017256846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111.14219975735713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111.14219975735713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0.8600000000003547</v>
      </c>
      <c r="CU99" s="17">
        <f>CT99*VLOOKUP('Données projet'!$B$13,Paramètres!$A$1:$I$89,3,0)*VLOOKUP('Données projet'!$B$13,Paramètres!$A$1:$I$89,5,0)</f>
        <v>0.48074000000019829</v>
      </c>
      <c r="CV99" s="13">
        <f t="shared" si="95"/>
        <v>0.24126147010950588</v>
      </c>
      <c r="CW99" s="20">
        <f t="shared" si="67"/>
        <v>1.2574858937744013</v>
      </c>
      <c r="CX99" s="59">
        <f t="shared" si="68"/>
        <v>277.50653809016183</v>
      </c>
      <c r="CY99" s="59">
        <f ca="1">AVERAGE(OFFSET($CX$3,0,0,'Données projet'!$E$13+1,1))-AVERAGE(OFFSET($H$3,0,0,'Données projet'!$E$13+1,1))</f>
        <v>420.4890915162182</v>
      </c>
      <c r="CZ99" s="59">
        <f t="shared" si="96"/>
        <v>553.48432338023565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165.06780397149927</v>
      </c>
      <c r="DG99" s="21">
        <f>EXP(-LN(2)/25)*DG98+(1-EXP(-LN(2)/25))/(LN(2)/25)*Calculateur!DB99*Calculateur!DD99*VLOOKUP('Données projet'!$B$13,Paramètres!$A$1:$I$89,3,0)*0.475*44/12</f>
        <v>8.1130599459146335</v>
      </c>
      <c r="DH99" s="21">
        <f>EXP(-LN(2)/2)*DH98+(1-EXP(-LN(2)/2))/(LN(2)/2)*DB99*DE99*VLOOKUP('Données projet'!$B$13,Paramètres!$A$1:$I$89,3,0)*0.475*44/12</f>
        <v>8.613808651720315E-11</v>
      </c>
      <c r="DI99" s="22">
        <f t="shared" si="69"/>
        <v>173.18086391750006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9.9470000000000027</v>
      </c>
      <c r="DO99" s="12">
        <f>IF('Données projet'!$A$166&gt;35,DO98+DN99-DW98,IF(A99&lt;'Données projet'!$A$166,$DL$205^A99,IF(A99='Données projet'!$A$166,'Données projet'!$B$166,DO98+DN99-DW98)))</f>
        <v>434.95900000000017</v>
      </c>
      <c r="DP99" s="17">
        <f>DO99*VLOOKUP('Données projet'!$B$14,Paramètres!$A$1:$I$89,3,0)*VLOOKUP('Données projet'!$B$14,Paramètres!$A$1:$I$89,5,0)</f>
        <v>468.18986760000018</v>
      </c>
      <c r="DQ99" s="13">
        <f t="shared" si="97"/>
        <v>105.47194465343287</v>
      </c>
      <c r="DR99" s="20">
        <f t="shared" si="70"/>
        <v>999.12765634139578</v>
      </c>
      <c r="DS99" s="59">
        <f t="shared" si="71"/>
        <v>1275.3767085377831</v>
      </c>
      <c r="DT99" s="59">
        <f ca="1">AVERAGE(OFFSET($DS$3,0,0,'Données projet'!$E$14+1,1))-AVERAGE(OFFSET($H$3,0,0,'Données projet'!$E$14+1,1))</f>
        <v>659.55755908012691</v>
      </c>
      <c r="DU99" s="59">
        <f t="shared" si="98"/>
        <v>343.96647464823627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125.71822595504322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125.71822595504322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9.9470000000000027</v>
      </c>
      <c r="EJ99" s="12">
        <f>IF('Données projet'!$A$192&gt;35,EJ98+EI99-ER98,IF(A99&lt;'Données projet'!$A$192,$EG$205^A99,IF(A99='Données projet'!$A$192,'Données projet'!$B$192,EJ98+EI99-ER98)))</f>
        <v>434.95900000000017</v>
      </c>
      <c r="EK99" s="17">
        <f>EJ99*VLOOKUP('Données projet'!$B$15,Paramètres!$A$1:$I$89,3,0)*VLOOKUP('Données projet'!$B$15,Paramètres!$A$1:$I$89,5,0)</f>
        <v>420.69234480000017</v>
      </c>
      <c r="EL99" s="13">
        <f t="shared" si="99"/>
        <v>95.959327062491468</v>
      </c>
      <c r="EM99" s="20">
        <f t="shared" si="73"/>
        <v>899.83499516050631</v>
      </c>
      <c r="EN99" s="59">
        <f t="shared" si="74"/>
        <v>1176.0840473568937</v>
      </c>
      <c r="EO99" s="59">
        <f ca="1">AVERAGE(OFFSET($EN$3,0,0,'Données projet'!$E$15+1,1))-AVERAGE(OFFSET($H$3,0,0,'Données projet'!$E$15+1,1))</f>
        <v>600.96600099541388</v>
      </c>
      <c r="EP99" s="59">
        <f t="shared" si="100"/>
        <v>315.40159257508969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112.9642030320679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112.9642030320679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444.90600000000018</v>
      </c>
      <c r="O100" s="13">
        <f>N100*VLOOKUP('Données projet'!$B$9,Paramètres!$A$1:$I$89,3,0)*VLOOKUP('Données projet'!$B$9,Paramètres!$A$1:$I$89,5,0)</f>
        <v>402.55094880000019</v>
      </c>
      <c r="P100" s="13">
        <f t="shared" si="87"/>
        <v>92.293639443453927</v>
      </c>
      <c r="Q100" s="20">
        <f t="shared" si="107"/>
        <v>861.85432452401585</v>
      </c>
      <c r="R100" s="59">
        <f t="shared" si="55"/>
        <v>1138.3997508033985</v>
      </c>
      <c r="S100" s="59">
        <f ca="1">AVERAGE(OFFSET($R$3,0,0,'Données projet'!$E$9+1,1))-AVERAGE(OFFSET($H$3,0,0,'Données projet'!$E$9+1,1))</f>
        <v>567.42635821336114</v>
      </c>
      <c r="T100" s="59">
        <f t="shared" si="88"/>
        <v>299.0473530693472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103.6039443047456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103.6039443047456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8.1999999999999993</v>
      </c>
      <c r="AI100" s="13">
        <f>IF('Données projet'!$A$62&gt;35,AI99+AH100-AQ99,IF(A100&lt;'Données projet'!$A$62,$AF$205^A100,IF(A100='Données projet'!$A$62,'Données projet'!$B$62,AI99+AH100-AQ99)))</f>
        <v>449.40000000000032</v>
      </c>
      <c r="AJ100" s="13">
        <f>AI100*VLOOKUP('Données projet'!$B$10,Paramètres!$A$1:$I$89,3,0)*VLOOKUP('Données projet'!$B$10,Paramètres!$A$1:$I$89,5,0)</f>
        <v>385.58520000000033</v>
      </c>
      <c r="AK100" s="13">
        <f t="shared" si="89"/>
        <v>88.848072675550995</v>
      </c>
      <c r="AL100" s="20">
        <f t="shared" si="58"/>
        <v>826.30461657658509</v>
      </c>
      <c r="AM100" s="59">
        <f t="shared" si="59"/>
        <v>1102.8500428559678</v>
      </c>
      <c r="AN100" s="59">
        <f ca="1">AVERAGE(OFFSET($AM$3,0,0,'Données projet'!$E$10+1,1))-AVERAGE(OFFSET($H$3,0,0,'Données projet'!$E$10+1,1))</f>
        <v>570.05585579662738</v>
      </c>
      <c r="AO100" s="59">
        <f t="shared" si="90"/>
        <v>331.25104323342907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124.54892508187658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124.54892508187658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10.060000000000009</v>
      </c>
      <c r="BD100" s="12">
        <f>IF('Données projet'!$A$88&gt;35,BD99+BC100-BL99,IF(A100&lt;'Données projet'!$A$88,$BA$205^A100,IF(A100='Données projet'!$A$88,'Données projet'!$B$88,BD99+BC100-BL99)))</f>
        <v>445.11000000000024</v>
      </c>
      <c r="BE100" s="13">
        <f>BD100*VLOOKUP('Données projet'!$B$11,Paramètres!$A$1:$I$89,3,0)*VLOOKUP('Données projet'!$B$11,Paramètres!$A$1:$I$89,5,0)</f>
        <v>374.96066400000024</v>
      </c>
      <c r="BF100" s="13">
        <f t="shared" si="91"/>
        <v>86.681384196357783</v>
      </c>
      <c r="BG100" s="20">
        <f t="shared" si="61"/>
        <v>804.02656727532349</v>
      </c>
      <c r="BH100" s="59">
        <f t="shared" si="62"/>
        <v>1080.5719935547063</v>
      </c>
      <c r="BI100" s="59">
        <f ca="1">AVERAGE(OFFSET($BH$3,0,0,'Données projet'!$E$11+1,1))-AVERAGE(OFFSET($H$3,0,0,'Données projet'!$E$11+1,1))</f>
        <v>458.88102603650725</v>
      </c>
      <c r="BJ100" s="59">
        <f t="shared" si="92"/>
        <v>277.79020316059552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111.49338030406869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111.49338030406869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9.9470000000000027</v>
      </c>
      <c r="BY100" s="12">
        <f>IF('Données projet'!$A$114&gt;35,BY99+BX100-CG99,IF(A100&lt;'Données projet'!$A$114,$BV$205^A100,IF(A100='Données projet'!$A$114,'Données projet'!$B$114,BY99+BX100-CG99)))</f>
        <v>444.90600000000018</v>
      </c>
      <c r="BZ100" s="13">
        <f>BY100*VLOOKUP('Données projet'!$B$12,Paramètres!$A$1:$I$89,3,0)*VLOOKUP('Données projet'!$B$12,Paramètres!$A$1:$I$89,5,0)</f>
        <v>423.37254960000018</v>
      </c>
      <c r="CA100" s="13">
        <f t="shared" si="93"/>
        <v>96.499316906146717</v>
      </c>
      <c r="CB100" s="20">
        <f t="shared" si="64"/>
        <v>905.44350083153915</v>
      </c>
      <c r="CC100" s="59">
        <f t="shared" si="65"/>
        <v>1181.9889271109218</v>
      </c>
      <c r="CD100" s="59">
        <f ca="1">AVERAGE(OFFSET($CC$3,0,0,'Données projet'!$E$12+1,1))-AVERAGE(OFFSET($H$3,0,0,'Données projet'!$E$12+1,1))</f>
        <v>592.58528888957346</v>
      </c>
      <c r="CE100" s="59">
        <f t="shared" si="94"/>
        <v>311.31528017256846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108.9627690101635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108.9627690101635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0.8600000000003547</v>
      </c>
      <c r="CU100" s="17">
        <f>CT100*VLOOKUP('Données projet'!$B$13,Paramètres!$A$1:$I$89,3,0)*VLOOKUP('Données projet'!$B$13,Paramètres!$A$1:$I$89,5,0)</f>
        <v>0.48074000000019829</v>
      </c>
      <c r="CV100" s="13">
        <f t="shared" si="95"/>
        <v>0.24126147010950588</v>
      </c>
      <c r="CW100" s="20">
        <f t="shared" si="67"/>
        <v>1.2574858937744013</v>
      </c>
      <c r="CX100" s="59">
        <f t="shared" si="68"/>
        <v>277.80291217315721</v>
      </c>
      <c r="CY100" s="59">
        <f ca="1">AVERAGE(OFFSET($CX$3,0,0,'Données projet'!$E$13+1,1))-AVERAGE(OFFSET($H$3,0,0,'Données projet'!$E$13+1,1))</f>
        <v>420.4890915162182</v>
      </c>
      <c r="CZ100" s="59">
        <f t="shared" si="96"/>
        <v>553.48432338023565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161.83092501703712</v>
      </c>
      <c r="DG100" s="21">
        <f>EXP(-LN(2)/25)*DG99+(1-EXP(-LN(2)/25))/(LN(2)/25)*Calculateur!DB100*Calculateur!DD100*VLOOKUP('Données projet'!$B$13,Paramètres!$A$1:$I$89,3,0)*0.475*44/12</f>
        <v>7.8912078950463176</v>
      </c>
      <c r="DH100" s="21">
        <f>EXP(-LN(2)/2)*DH99+(1-EXP(-LN(2)/2))/(LN(2)/2)*DB100*DE100*VLOOKUP('Données projet'!$B$13,Paramètres!$A$1:$I$89,3,0)*0.475*44/12</f>
        <v>6.0908825094747865E-11</v>
      </c>
      <c r="DI100" s="22">
        <f t="shared" si="69"/>
        <v>169.72213291214433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9.9470000000000027</v>
      </c>
      <c r="DO100" s="12">
        <f>IF('Données projet'!$A$166&gt;35,DO99+DN100-DW99,IF(A100&lt;'Données projet'!$A$166,$DL$205^A100,IF(A100='Données projet'!$A$166,'Données projet'!$B$166,DO99+DN100-DW99)))</f>
        <v>444.90600000000018</v>
      </c>
      <c r="DP100" s="17">
        <f>DO100*VLOOKUP('Données projet'!$B$14,Paramètres!$A$1:$I$89,3,0)*VLOOKUP('Données projet'!$B$14,Paramètres!$A$1:$I$89,5,0)</f>
        <v>478.8968184000002</v>
      </c>
      <c r="DQ100" s="13">
        <f t="shared" si="97"/>
        <v>107.60039198514929</v>
      </c>
      <c r="DR100" s="20">
        <f t="shared" si="70"/>
        <v>1021.482641420802</v>
      </c>
      <c r="DS100" s="59">
        <f t="shared" si="71"/>
        <v>1298.0280677001847</v>
      </c>
      <c r="DT100" s="59">
        <f ca="1">AVERAGE(OFFSET($DS$3,0,0,'Données projet'!$E$14+1,1))-AVERAGE(OFFSET($H$3,0,0,'Données projet'!$E$14+1,1))</f>
        <v>659.55755908012691</v>
      </c>
      <c r="DU100" s="59">
        <f t="shared" si="98"/>
        <v>343.96647464823627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123.25296822461108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123.25296822461108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9.9470000000000027</v>
      </c>
      <c r="EJ100" s="12">
        <f>IF('Données projet'!$A$192&gt;35,EJ99+EI100-ER99,IF(A100&lt;'Données projet'!$A$192,$EG$205^A100,IF(A100='Données projet'!$A$192,'Données projet'!$B$192,EJ99+EI100-ER99)))</f>
        <v>444.90600000000018</v>
      </c>
      <c r="EK100" s="17">
        <f>EJ100*VLOOKUP('Données projet'!$B$15,Paramètres!$A$1:$I$89,3,0)*VLOOKUP('Données projet'!$B$15,Paramètres!$A$1:$I$89,5,0)</f>
        <v>430.31308320000022</v>
      </c>
      <c r="EL100" s="13">
        <f t="shared" si="99"/>
        <v>97.895807652761931</v>
      </c>
      <c r="EM100" s="20">
        <f t="shared" si="73"/>
        <v>919.96381823522734</v>
      </c>
      <c r="EN100" s="59">
        <f t="shared" si="74"/>
        <v>1196.5092445146101</v>
      </c>
      <c r="EO100" s="59">
        <f ca="1">AVERAGE(OFFSET($EN$3,0,0,'Données projet'!$E$15+1,1))-AVERAGE(OFFSET($H$3,0,0,'Données projet'!$E$15+1,1))</f>
        <v>600.96600099541388</v>
      </c>
      <c r="EP100" s="59">
        <f t="shared" si="100"/>
        <v>315.40159257508969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110.74904391196945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110.74904391196945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454.85300000000018</v>
      </c>
      <c r="O101" s="13">
        <f>N101*VLOOKUP('Données projet'!$B$9,Paramètres!$A$1:$I$89,3,0)*VLOOKUP('Données projet'!$B$9,Paramètres!$A$1:$I$89,5,0)</f>
        <v>411.55099440000015</v>
      </c>
      <c r="P101" s="13">
        <f t="shared" si="87"/>
        <v>94.11455795809178</v>
      </c>
      <c r="Q101" s="20">
        <f t="shared" si="107"/>
        <v>880.70083702367674</v>
      </c>
      <c r="R101" s="59">
        <f t="shared" si="55"/>
        <v>1157.5374959583082</v>
      </c>
      <c r="S101" s="59">
        <f ca="1">AVERAGE(OFFSET($R$3,0,0,'Données projet'!$E$9+1,1))-AVERAGE(OFFSET($H$3,0,0,'Données projet'!$E$9+1,1))</f>
        <v>567.42635821336114</v>
      </c>
      <c r="T101" s="59">
        <f t="shared" si="88"/>
        <v>299.0473530693472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101.57233414909585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101.57233414909585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8.1999999999999993</v>
      </c>
      <c r="AI101" s="13">
        <f>IF('Données projet'!$A$62&gt;35,AI100+AH101-AQ100,IF(A101&lt;'Données projet'!$A$62,$AF$205^A101,IF(A101='Données projet'!$A$62,'Données projet'!$B$62,AI100+AH101-AQ100)))</f>
        <v>457.60000000000031</v>
      </c>
      <c r="AJ101" s="13">
        <f>AI101*VLOOKUP('Données projet'!$B$10,Paramètres!$A$1:$I$89,3,0)*VLOOKUP('Données projet'!$B$10,Paramètres!$A$1:$I$89,5,0)</f>
        <v>392.62080000000032</v>
      </c>
      <c r="AK101" s="13">
        <f t="shared" si="89"/>
        <v>90.279028293744091</v>
      </c>
      <c r="AL101" s="20">
        <f t="shared" si="58"/>
        <v>841.05053427827136</v>
      </c>
      <c r="AM101" s="59">
        <f t="shared" si="59"/>
        <v>1117.8871932129027</v>
      </c>
      <c r="AN101" s="59">
        <f ca="1">AVERAGE(OFFSET($AM$3,0,0,'Données projet'!$E$10+1,1))-AVERAGE(OFFSET($H$3,0,0,'Données projet'!$E$10+1,1))</f>
        <v>570.05585579662738</v>
      </c>
      <c r="AO101" s="59">
        <f t="shared" si="90"/>
        <v>331.25104323342907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122.10659662836413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122.10659662836413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10.060000000000009</v>
      </c>
      <c r="BD101" s="12">
        <f>IF('Données projet'!$A$88&gt;35,BD100+BC101-BL100,IF(A101&lt;'Données projet'!$A$88,$BA$205^A101,IF(A101='Données projet'!$A$88,'Données projet'!$B$88,BD100+BC101-BL100)))</f>
        <v>455.17000000000024</v>
      </c>
      <c r="BE101" s="13">
        <f>BD101*VLOOKUP('Données projet'!$B$11,Paramètres!$A$1:$I$89,3,0)*VLOOKUP('Données projet'!$B$11,Paramètres!$A$1:$I$89,5,0)</f>
        <v>383.43520800000022</v>
      </c>
      <c r="BF101" s="13">
        <f t="shared" si="91"/>
        <v>88.410186319352363</v>
      </c>
      <c r="BG101" s="20">
        <f t="shared" si="61"/>
        <v>821.79739510620573</v>
      </c>
      <c r="BH101" s="59">
        <f t="shared" si="62"/>
        <v>1098.6340540408371</v>
      </c>
      <c r="BI101" s="59">
        <f ca="1">AVERAGE(OFFSET($BH$3,0,0,'Données projet'!$E$11+1,1))-AVERAGE(OFFSET($H$3,0,0,'Données projet'!$E$11+1,1))</f>
        <v>458.88102603650725</v>
      </c>
      <c r="BJ101" s="59">
        <f t="shared" si="92"/>
        <v>277.79020316059552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109.30706312055302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109.30706312055302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9.9470000000000027</v>
      </c>
      <c r="BY101" s="12">
        <f>IF('Données projet'!$A$114&gt;35,BY100+BX101-CG100,IF(A101&lt;'Données projet'!$A$114,$BV$205^A101,IF(A101='Données projet'!$A$114,'Données projet'!$B$114,BY100+BX101-CG100)))</f>
        <v>454.85300000000018</v>
      </c>
      <c r="BZ101" s="13">
        <f>BY101*VLOOKUP('Données projet'!$B$12,Paramètres!$A$1:$I$89,3,0)*VLOOKUP('Données projet'!$B$12,Paramètres!$A$1:$I$89,5,0)</f>
        <v>432.8381148000002</v>
      </c>
      <c r="CA101" s="13">
        <f t="shared" si="93"/>
        <v>98.403211842611611</v>
      </c>
      <c r="CB101" s="20">
        <f t="shared" si="64"/>
        <v>925.24531056921569</v>
      </c>
      <c r="CC101" s="59">
        <f t="shared" si="65"/>
        <v>1202.0819695038472</v>
      </c>
      <c r="CD101" s="59">
        <f ca="1">AVERAGE(OFFSET($CC$3,0,0,'Données projet'!$E$12+1,1))-AVERAGE(OFFSET($H$3,0,0,'Données projet'!$E$12+1,1))</f>
        <v>592.58528888957346</v>
      </c>
      <c r="CE101" s="59">
        <f t="shared" si="94"/>
        <v>311.31528017256846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106.82607557060084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106.82607557060084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0.8600000000003547</v>
      </c>
      <c r="CU101" s="17">
        <f>CT101*VLOOKUP('Données projet'!$B$13,Paramètres!$A$1:$I$89,3,0)*VLOOKUP('Données projet'!$B$13,Paramètres!$A$1:$I$89,5,0)</f>
        <v>0.48074000000019829</v>
      </c>
      <c r="CV101" s="13">
        <f t="shared" si="95"/>
        <v>0.24126147010950588</v>
      </c>
      <c r="CW101" s="20">
        <f t="shared" si="67"/>
        <v>1.2574858937744013</v>
      </c>
      <c r="CX101" s="59">
        <f t="shared" si="68"/>
        <v>278.09414482840577</v>
      </c>
      <c r="CY101" s="59">
        <f ca="1">AVERAGE(OFFSET($CX$3,0,0,'Données projet'!$E$13+1,1))-AVERAGE(OFFSET($H$3,0,0,'Données projet'!$E$13+1,1))</f>
        <v>420.4890915162182</v>
      </c>
      <c r="CZ101" s="59">
        <f t="shared" si="96"/>
        <v>553.48432338023565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158.65751928457075</v>
      </c>
      <c r="DG101" s="21">
        <f>EXP(-LN(2)/25)*DG100+(1-EXP(-LN(2)/25))/(LN(2)/25)*Calculateur!DB101*Calculateur!DD101*VLOOKUP('Données projet'!$B$13,Paramètres!$A$1:$I$89,3,0)*0.475*44/12</f>
        <v>7.6754224001756883</v>
      </c>
      <c r="DH101" s="21">
        <f>EXP(-LN(2)/2)*DH100+(1-EXP(-LN(2)/2))/(LN(2)/2)*DB101*DE101*VLOOKUP('Données projet'!$B$13,Paramètres!$A$1:$I$89,3,0)*0.475*44/12</f>
        <v>4.3069043258601575E-11</v>
      </c>
      <c r="DI101" s="22">
        <f t="shared" si="69"/>
        <v>166.33294168478949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9.9470000000000027</v>
      </c>
      <c r="DO101" s="12">
        <f>IF('Données projet'!$A$166&gt;35,DO100+DN101-DW100,IF(A101&lt;'Données projet'!$A$166,$DL$205^A101,IF(A101='Données projet'!$A$166,'Données projet'!$B$166,DO100+DN101-DW100)))</f>
        <v>454.85300000000018</v>
      </c>
      <c r="DP101" s="17">
        <f>DO101*VLOOKUP('Données projet'!$B$14,Paramètres!$A$1:$I$89,3,0)*VLOOKUP('Données projet'!$B$14,Paramètres!$A$1:$I$89,5,0)</f>
        <v>489.60376920000016</v>
      </c>
      <c r="DQ101" s="13">
        <f t="shared" si="97"/>
        <v>109.72330692413685</v>
      </c>
      <c r="DR101" s="20">
        <f t="shared" si="70"/>
        <v>1043.8279909162054</v>
      </c>
      <c r="DS101" s="59">
        <f t="shared" si="71"/>
        <v>1320.6646498508367</v>
      </c>
      <c r="DT101" s="59">
        <f ca="1">AVERAGE(OFFSET($DS$3,0,0,'Données projet'!$E$14+1,1))-AVERAGE(OFFSET($H$3,0,0,'Données projet'!$E$14+1,1))</f>
        <v>659.55755908012691</v>
      </c>
      <c r="DU101" s="59">
        <f t="shared" si="98"/>
        <v>343.96647464823627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120.83605269461397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120.83605269461397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9.9470000000000027</v>
      </c>
      <c r="EJ101" s="12">
        <f>IF('Données projet'!$A$192&gt;35,EJ100+EI101-ER100,IF(A101&lt;'Données projet'!$A$192,$EG$205^A101,IF(A101='Données projet'!$A$192,'Données projet'!$B$192,EJ100+EI101-ER100)))</f>
        <v>454.85300000000018</v>
      </c>
      <c r="EK101" s="17">
        <f>EJ101*VLOOKUP('Données projet'!$B$15,Paramètres!$A$1:$I$89,3,0)*VLOOKUP('Données projet'!$B$15,Paramètres!$A$1:$I$89,5,0)</f>
        <v>439.93382160000016</v>
      </c>
      <c r="EL101" s="13">
        <f t="shared" si="99"/>
        <v>99.827254822201553</v>
      </c>
      <c r="EM101" s="20">
        <f t="shared" si="73"/>
        <v>940.08387476866801</v>
      </c>
      <c r="EN101" s="59">
        <f t="shared" si="74"/>
        <v>1216.9205337032995</v>
      </c>
      <c r="EO101" s="59">
        <f ca="1">AVERAGE(OFFSET($EN$3,0,0,'Données projet'!$E$15+1,1))-AVERAGE(OFFSET($H$3,0,0,'Données projet'!$E$15+1,1))</f>
        <v>600.96600099541388</v>
      </c>
      <c r="EP101" s="59">
        <f t="shared" si="100"/>
        <v>315.40159257508969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108.57732271110248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108.57732271110248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464.80000000000018</v>
      </c>
      <c r="O102" s="13">
        <f>N102*VLOOKUP('Données projet'!$B$9,Paramètres!$A$1:$I$89,3,0)*VLOOKUP('Données projet'!$B$9,Paramètres!$A$1:$I$89,5,0)</f>
        <v>420.55104000000011</v>
      </c>
      <c r="P102" s="13">
        <f t="shared" si="87"/>
        <v>95.930846819060008</v>
      </c>
      <c r="Q102" s="20">
        <f t="shared" si="107"/>
        <v>899.53928620986301</v>
      </c>
      <c r="R102" s="59">
        <f t="shared" si="55"/>
        <v>1176.6621255642731</v>
      </c>
      <c r="S102" s="59">
        <f ca="1">AVERAGE(OFFSET($R$3,0,0,'Données projet'!$E$9+1,1))-AVERAGE(OFFSET($H$3,0,0,'Données projet'!$E$9+1,1))</f>
        <v>567.42635821336114</v>
      </c>
      <c r="T102" s="59">
        <f t="shared" si="88"/>
        <v>299.0473530693472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126.65097655355829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126.65097655355829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8.1999999999999993</v>
      </c>
      <c r="AI102" s="13">
        <f>IF('Données projet'!$A$62&gt;35,AI101+AH102-AQ101,IF(A102&lt;'Données projet'!$A$62,$AF$205^A102,IF(A102='Données projet'!$A$62,'Données projet'!$B$62,AI101+AH102-AQ101)))</f>
        <v>465.8000000000003</v>
      </c>
      <c r="AJ102" s="13">
        <f>AI102*VLOOKUP('Données projet'!$B$10,Paramètres!$A$1:$I$89,3,0)*VLOOKUP('Données projet'!$B$10,Paramètres!$A$1:$I$89,5,0)</f>
        <v>399.6564000000003</v>
      </c>
      <c r="AK102" s="13">
        <f t="shared" si="89"/>
        <v>91.707002110648844</v>
      </c>
      <c r="AL102" s="20">
        <f t="shared" si="58"/>
        <v>855.79125867604716</v>
      </c>
      <c r="AM102" s="59">
        <f t="shared" si="59"/>
        <v>1132.9140980304574</v>
      </c>
      <c r="AN102" s="59">
        <f ca="1">AVERAGE(OFFSET($AM$3,0,0,'Données projet'!$E$10+1,1))-AVERAGE(OFFSET($H$3,0,0,'Données projet'!$E$10+1,1))</f>
        <v>570.05585579662738</v>
      </c>
      <c r="AO102" s="59">
        <f t="shared" si="90"/>
        <v>331.25104323342907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119.7121607461518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119.7121607461518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465.23</v>
      </c>
      <c r="BB102" s="12">
        <f>VLOOKUP(A102,'Données projet'!$A$87:$I$107,9,0)</f>
        <v>10.060000000000009</v>
      </c>
      <c r="BC102" s="12">
        <f t="array" ref="BC102">INDEX(BB:BB,MIN(IF(ISNUMBER(BB102:BB298),ROW(BB102:BB298),"")))</f>
        <v>10.060000000000009</v>
      </c>
      <c r="BD102" s="12">
        <f>IF('Données projet'!$A$88&gt;35,BD101+BC102-BL101,IF(A102&lt;'Données projet'!$A$88,$BA$205^A102,IF(A102='Données projet'!$A$88,'Données projet'!$B$88,BD101+BC102-BL101)))</f>
        <v>465.23000000000025</v>
      </c>
      <c r="BE102" s="13">
        <f>BD102*VLOOKUP('Données projet'!$B$11,Paramètres!$A$1:$I$89,3,0)*VLOOKUP('Données projet'!$B$11,Paramètres!$A$1:$I$89,5,0)</f>
        <v>391.90975200000025</v>
      </c>
      <c r="BF102" s="13">
        <f t="shared" si="91"/>
        <v>90.134546207940858</v>
      </c>
      <c r="BG102" s="20">
        <f t="shared" si="61"/>
        <v>839.56048604549733</v>
      </c>
      <c r="BH102" s="59">
        <f t="shared" si="62"/>
        <v>1116.6833253999075</v>
      </c>
      <c r="BI102" s="59">
        <f ca="1">AVERAGE(OFFSET($BH$3,0,0,'Données projet'!$E$11+1,1))-AVERAGE(OFFSET($H$3,0,0,'Données projet'!$E$11+1,1))</f>
        <v>458.88102603650725</v>
      </c>
      <c r="BJ102" s="59">
        <f t="shared" si="92"/>
        <v>277.79020316059552</v>
      </c>
      <c r="BK102" s="15">
        <f>IF(ISNA(VLOOKUP(A102,'Données projet'!$A$87:$I$107,3,0)),0,VLOOKUP(A102,'Données projet'!$A$87:$I$107,3,0))</f>
        <v>10</v>
      </c>
      <c r="BL102" s="15">
        <f>IF(ISNA(VLOOKUP(A102,'Données projet'!$A$87:$I$107,4,0)),0,VLOOKUP(A102,'Données projet'!$A$87:$I$107,4,0))</f>
        <v>198.88</v>
      </c>
      <c r="BM102" s="16">
        <f>IF(ISNA(VLOOKUP(A102,'Données projet'!$A$87:$I$107,5,0)),0%,VLOOKUP(A102,'Données projet'!$A$87:$I$107,5,0)*VLOOKUP('Données projet'!$B$11,Paramètres!$A$1:$I$89,7,0))</f>
        <v>0.43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186.80247843117897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186.80247843117897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464.8</v>
      </c>
      <c r="BW102" s="12">
        <f>VLOOKUP(A102,'Données projet'!$A$113:$I$133,9,0)</f>
        <v>9.9470000000000027</v>
      </c>
      <c r="BX102" s="12">
        <f t="array" ref="BX102">INDEX(BW:BW,MIN(IF(ISNUMBER(BW102:BW298),ROW(BW102:BW298),"")))</f>
        <v>9.9470000000000027</v>
      </c>
      <c r="BY102" s="12">
        <f>IF('Données projet'!$A$114&gt;35,BY101+BX102-CG101,IF(A102&lt;'Données projet'!$A$114,$BV$205^A102,IF(A102='Données projet'!$A$114,'Données projet'!$B$114,BY101+BX102-CG101)))</f>
        <v>464.80000000000018</v>
      </c>
      <c r="BZ102" s="13">
        <f>BY102*VLOOKUP('Données projet'!$B$12,Paramètres!$A$1:$I$89,3,0)*VLOOKUP('Données projet'!$B$12,Paramètres!$A$1:$I$89,5,0)</f>
        <v>442.30368000000016</v>
      </c>
      <c r="CA102" s="13">
        <f t="shared" si="93"/>
        <v>100.30226615929689</v>
      </c>
      <c r="CB102" s="20">
        <f t="shared" si="64"/>
        <v>945.03868956077565</v>
      </c>
      <c r="CC102" s="59">
        <f t="shared" si="65"/>
        <v>1222.1615289151857</v>
      </c>
      <c r="CD102" s="59">
        <f ca="1">AVERAGE(OFFSET($CC$3,0,0,'Données projet'!$E$12+1,1))-AVERAGE(OFFSET($H$3,0,0,'Données projet'!$E$12+1,1))</f>
        <v>592.58528888957346</v>
      </c>
      <c r="CE102" s="59">
        <f t="shared" si="94"/>
        <v>311.31528017256846</v>
      </c>
      <c r="CF102" s="15">
        <f>IF(ISNA(VLOOKUP(A102,'Données projet'!$A$113:$I$133,3,0)),0,VLOOKUP(A102,'Données projet'!$A$113:$I$133,3,0))</f>
        <v>9</v>
      </c>
      <c r="CG102" s="15">
        <f>IF(ISNA(VLOOKUP(A102,'Données projet'!$A$113:$I$133,4,0)),0,VLOOKUP(A102,'Données projet'!$A$113:$I$133,4,0))</f>
        <v>62.94</v>
      </c>
      <c r="CH102" s="16">
        <f>IF(ISNA(VLOOKUP(A102,'Données projet'!$A$113:$I$133,5,0)),0%,VLOOKUP(A102,'Données projet'!$A$113:$I$133,5,0)*VLOOKUP('Données projet'!$B$12,Paramètres!$A$1:$I$89,7,0))</f>
        <v>0.43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133.20188913391479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133.20188913391479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0.8600000000003547</v>
      </c>
      <c r="CU102" s="17">
        <f>CT102*VLOOKUP('Données projet'!$B$13,Paramètres!$A$1:$I$89,3,0)*VLOOKUP('Données projet'!$B$13,Paramètres!$A$1:$I$89,5,0)</f>
        <v>0.48074000000019829</v>
      </c>
      <c r="CV102" s="13">
        <f t="shared" si="95"/>
        <v>0.24126147010950588</v>
      </c>
      <c r="CW102" s="20">
        <f t="shared" si="67"/>
        <v>1.2574858937744013</v>
      </c>
      <c r="CX102" s="59">
        <f t="shared" si="68"/>
        <v>278.38032524818453</v>
      </c>
      <c r="CY102" s="59">
        <f ca="1">AVERAGE(OFFSET($CX$3,0,0,'Données projet'!$E$13+1,1))-AVERAGE(OFFSET($H$3,0,0,'Données projet'!$E$13+1,1))</f>
        <v>420.4890915162182</v>
      </c>
      <c r="CZ102" s="59">
        <f t="shared" si="96"/>
        <v>553.48432338023565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155.5463421029317</v>
      </c>
      <c r="DG102" s="21">
        <f>EXP(-LN(2)/25)*DG101+(1-EXP(-LN(2)/25))/(LN(2)/25)*Calculateur!DB102*Calculateur!DD102*VLOOKUP('Données projet'!$B$13,Paramètres!$A$1:$I$89,3,0)*0.475*44/12</f>
        <v>7.4655375710099623</v>
      </c>
      <c r="DH102" s="21">
        <f>EXP(-LN(2)/2)*DH101+(1-EXP(-LN(2)/2))/(LN(2)/2)*DB102*DE102*VLOOKUP('Données projet'!$B$13,Paramètres!$A$1:$I$89,3,0)*0.475*44/12</f>
        <v>3.0454412547373933E-11</v>
      </c>
      <c r="DI102" s="22">
        <f t="shared" si="69"/>
        <v>163.01187967397215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>
        <f>VLOOKUP(A102,'Données projet'!$A$165:$I$185,2,0)</f>
        <v>464.8</v>
      </c>
      <c r="DM102" s="12">
        <f>VLOOKUP(A102,'Données projet'!$A$165:$I$185,9,0)</f>
        <v>9.9470000000000027</v>
      </c>
      <c r="DN102" s="12">
        <f t="array" ref="DN102">INDEX(DM:DM,MIN(IF(ISNUMBER(DM102:DM298),ROW(DM102:DM298),"")))</f>
        <v>9.9470000000000027</v>
      </c>
      <c r="DO102" s="12">
        <f>IF('Données projet'!$A$166&gt;35,DO101+DN102-DW101,IF(A102&lt;'Données projet'!$A$166,$DL$205^A102,IF(A102='Données projet'!$A$166,'Données projet'!$B$166,DO101+DN102-DW101)))</f>
        <v>464.80000000000018</v>
      </c>
      <c r="DP102" s="17">
        <f>DO102*VLOOKUP('Données projet'!$B$14,Paramètres!$A$1:$I$89,3,0)*VLOOKUP('Données projet'!$B$14,Paramètres!$A$1:$I$89,5,0)</f>
        <v>500.31072000000017</v>
      </c>
      <c r="DQ102" s="13">
        <f t="shared" si="97"/>
        <v>111.84082438879571</v>
      </c>
      <c r="DR102" s="20">
        <f t="shared" si="70"/>
        <v>1066.163939810486</v>
      </c>
      <c r="DS102" s="59">
        <f t="shared" si="71"/>
        <v>1343.2867791648962</v>
      </c>
      <c r="DT102" s="59">
        <f ca="1">AVERAGE(OFFSET($DS$3,0,0,'Données projet'!$E$14+1,1))-AVERAGE(OFFSET($H$3,0,0,'Données projet'!$E$14+1,1))</f>
        <v>659.55755908012691</v>
      </c>
      <c r="DU102" s="59">
        <f t="shared" si="98"/>
        <v>343.96647464823627</v>
      </c>
      <c r="DV102" s="15">
        <f>IF(ISNA(VLOOKUP(A102,'Données projet'!$A$165:$I$185,3,0)),0,VLOOKUP(A102,'Données projet'!$A$165:$I$185,3,0))</f>
        <v>9</v>
      </c>
      <c r="DW102" s="15">
        <f>IF(ISNA(VLOOKUP(A102,'Données projet'!$A$165:$I$185,4,0)),0,VLOOKUP(A102,'Données projet'!$A$165:$I$185,4,0))</f>
        <v>62.94</v>
      </c>
      <c r="DX102" s="16">
        <f>IF(ISNA(VLOOKUP(A102,'Données projet'!$A$165:$I$185,5,0)),0%,VLOOKUP(A102,'Données projet'!$A$165:$I$185,5,0)*VLOOKUP('Données projet'!$B$14,Paramètres!$A$1:$I$89,7,0))</f>
        <v>0.43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150.67098934819859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150.67098934819859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>
        <f>VLOOKUP(A102,'Données projet'!$A$191:$I$211,2,0)</f>
        <v>464.8</v>
      </c>
      <c r="EH102" s="12">
        <f>VLOOKUP(A102,'Données projet'!$A$191:$I$211,9,0)</f>
        <v>9.9470000000000027</v>
      </c>
      <c r="EI102" s="12">
        <f t="array" ref="EI102">INDEX(EH:EH,MIN(IF(ISNUMBER(EH102:EH298),ROW(EH102:EH298),"")))</f>
        <v>9.9470000000000027</v>
      </c>
      <c r="EJ102" s="12">
        <f>IF('Données projet'!$A$192&gt;35,EJ101+EI102-ER101,IF(A102&lt;'Données projet'!$A$192,$EG$205^A102,IF(A102='Données projet'!$A$192,'Données projet'!$B$192,EJ101+EI102-ER101)))</f>
        <v>464.80000000000018</v>
      </c>
      <c r="EK102" s="17">
        <f>EJ102*VLOOKUP('Données projet'!$B$15,Paramètres!$A$1:$I$89,3,0)*VLOOKUP('Données projet'!$B$15,Paramètres!$A$1:$I$89,5,0)</f>
        <v>449.55456000000015</v>
      </c>
      <c r="EL102" s="13">
        <f t="shared" si="99"/>
        <v>101.75379132078818</v>
      </c>
      <c r="EM102" s="20">
        <f t="shared" si="73"/>
        <v>960.19537855037299</v>
      </c>
      <c r="EN102" s="59">
        <f t="shared" si="74"/>
        <v>1237.3182179047831</v>
      </c>
      <c r="EO102" s="59">
        <f ca="1">AVERAGE(OFFSET($EN$3,0,0,'Données projet'!$E$15+1,1))-AVERAGE(OFFSET($H$3,0,0,'Données projet'!$E$15+1,1))</f>
        <v>600.96600099541388</v>
      </c>
      <c r="EP102" s="59">
        <f t="shared" si="100"/>
        <v>315.40159257508969</v>
      </c>
      <c r="EQ102" s="15">
        <f>IF(ISNA(VLOOKUP(A102,'Données projet'!$A$191:$I$211,3,0)),0,VLOOKUP(A102,'Données projet'!$A$191:$I$211,3,0))</f>
        <v>9</v>
      </c>
      <c r="ER102" s="15">
        <f>IF(ISNA(VLOOKUP(A102,'Données projet'!$A$191:$I$211,4,0)),0,VLOOKUP(A102,'Données projet'!$A$191:$I$211,4,0))</f>
        <v>62.94</v>
      </c>
      <c r="ES102" s="16">
        <f>IF(ISNA(VLOOKUP(A102,'Données projet'!$A$191:$I$211,5,0)),0%,VLOOKUP(A102,'Données projet'!$A$191:$I$211,5,0)*VLOOKUP('Données projet'!$B$15,Paramètres!$A$1:$I$89,7,0))</f>
        <v>0.43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135.38552666070026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135.38552666070026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411.5710000000002</v>
      </c>
      <c r="O103" s="13">
        <f>N103*VLOOKUP('Données projet'!$B$9,Paramètres!$A$1:$I$89,3,0)*VLOOKUP('Données projet'!$B$9,Paramètres!$A$1:$I$89,5,0)</f>
        <v>372.38944080000016</v>
      </c>
      <c r="P103" s="13">
        <f t="shared" si="87"/>
        <v>86.155960872174546</v>
      </c>
      <c r="Q103" s="20">
        <f t="shared" si="107"/>
        <v>798.6332412457042</v>
      </c>
      <c r="R103" s="59">
        <f t="shared" si="55"/>
        <v>1076.0372964294133</v>
      </c>
      <c r="S103" s="59">
        <f ca="1">AVERAGE(OFFSET($R$3,0,0,'Données projet'!$E$9+1,1))-AVERAGE(OFFSET($H$3,0,0,'Données projet'!$E$9+1,1))</f>
        <v>567.42635821336114</v>
      </c>
      <c r="T103" s="59">
        <f t="shared" si="88"/>
        <v>299.0473530693472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124.16742815281096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124.16742815281096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474</v>
      </c>
      <c r="AG103" s="12">
        <f>VLOOKUP(A103,'Données projet'!$A$61:$I$81,9,0)</f>
        <v>8.1999999999999993</v>
      </c>
      <c r="AH103" s="12">
        <f t="array" ref="AH103">INDEX(AG:AG,MIN(IF(ISNUMBER(AG103:AG299),ROW(AG103:AG299),"")))</f>
        <v>8.1999999999999993</v>
      </c>
      <c r="AI103" s="13">
        <f>IF('Données projet'!$A$62&gt;35,AI102+AH103-AQ102,IF(A103&lt;'Données projet'!$A$62,$AF$205^A103,IF(A103='Données projet'!$A$62,'Données projet'!$B$62,AI102+AH103-AQ102)))</f>
        <v>474.00000000000028</v>
      </c>
      <c r="AJ103" s="13">
        <f>AI103*VLOOKUP('Données projet'!$B$10,Paramètres!$A$1:$I$89,3,0)*VLOOKUP('Données projet'!$B$10,Paramètres!$A$1:$I$89,5,0)</f>
        <v>406.69200000000023</v>
      </c>
      <c r="AK103" s="13">
        <f t="shared" si="89"/>
        <v>93.132052674423178</v>
      </c>
      <c r="AL103" s="20">
        <f t="shared" si="58"/>
        <v>870.52689174128739</v>
      </c>
      <c r="AM103" s="59">
        <f t="shared" si="59"/>
        <v>1147.9309469249965</v>
      </c>
      <c r="AN103" s="59">
        <f ca="1">AVERAGE(OFFSET($AM$3,0,0,'Données projet'!$E$10+1,1))-AVERAGE(OFFSET($H$3,0,0,'Données projet'!$E$10+1,1))</f>
        <v>570.05585579662738</v>
      </c>
      <c r="AO103" s="59">
        <f t="shared" si="90"/>
        <v>331.25104323342907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29</v>
      </c>
      <c r="AR103" s="16">
        <f>IF(ISNA(VLOOKUP(A103,'Données projet'!$A$61:$I$81,5,0)),0%,VLOOKUP(A103,'Données projet'!$A$61:$I$81,5,0)*VLOOKUP('Données projet'!$B$10,Paramètres!$A$1:$I$89,7,0))</f>
        <v>0.53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131.94302470240356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131.94302470240356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-6.7400000000000091</v>
      </c>
      <c r="BD103" s="12">
        <f>IF('Données projet'!$A$88&gt;35,BD102+BC103-BL102,IF(A103&lt;'Données projet'!$A$88,$BA$205^A103,IF(A103='Données projet'!$A$88,'Données projet'!$B$88,BD102+BC103-BL102)))</f>
        <v>259.61000000000024</v>
      </c>
      <c r="BE103" s="13">
        <f>BD103*VLOOKUP('Données projet'!$B$11,Paramètres!$A$1:$I$89,3,0)*VLOOKUP('Données projet'!$B$11,Paramètres!$A$1:$I$89,5,0)</f>
        <v>218.69546400000024</v>
      </c>
      <c r="BF103" s="13">
        <f t="shared" si="91"/>
        <v>53.831253199543021</v>
      </c>
      <c r="BG103" s="20">
        <f t="shared" si="61"/>
        <v>474.65069912253784</v>
      </c>
      <c r="BH103" s="59">
        <f t="shared" si="62"/>
        <v>752.0547543062471</v>
      </c>
      <c r="BI103" s="59">
        <f ca="1">AVERAGE(OFFSET($BH$3,0,0,'Données projet'!$E$11+1,1))-AVERAGE(OFFSET($H$3,0,0,'Données projet'!$E$11+1,1))</f>
        <v>458.88102603650725</v>
      </c>
      <c r="BJ103" s="59">
        <f t="shared" si="92"/>
        <v>277.79020316059552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183.13939576740492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183.13939576740492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9.7110000000000021</v>
      </c>
      <c r="BY103" s="12">
        <f>IF('Données projet'!$A$114&gt;35,BY102+BX103-CG102,IF(A103&lt;'Données projet'!$A$114,$BV$205^A103,IF(A103='Données projet'!$A$114,'Données projet'!$B$114,BY102+BX103-CG102)))</f>
        <v>411.5710000000002</v>
      </c>
      <c r="BZ103" s="13">
        <f>BY103*VLOOKUP('Données projet'!$B$12,Paramètres!$A$1:$I$89,3,0)*VLOOKUP('Données projet'!$B$12,Paramètres!$A$1:$I$89,5,0)</f>
        <v>391.65096360000018</v>
      </c>
      <c r="CA103" s="13">
        <f t="shared" si="93"/>
        <v>90.081953877778645</v>
      </c>
      <c r="CB103" s="20">
        <f t="shared" si="64"/>
        <v>839.01816460713133</v>
      </c>
      <c r="CC103" s="59">
        <f t="shared" si="65"/>
        <v>1116.4222197908405</v>
      </c>
      <c r="CD103" s="59">
        <f ca="1">AVERAGE(OFFSET($CC$3,0,0,'Données projet'!$E$12+1,1))-AVERAGE(OFFSET($H$3,0,0,'Données projet'!$E$12+1,1))</f>
        <v>592.58528888957346</v>
      </c>
      <c r="CE103" s="59">
        <f t="shared" si="94"/>
        <v>311.31528017256846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130.5898813331288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130.5898813331288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0.8600000000003547</v>
      </c>
      <c r="CU103" s="17">
        <f>CT103*VLOOKUP('Données projet'!$B$13,Paramètres!$A$1:$I$89,3,0)*VLOOKUP('Données projet'!$B$13,Paramètres!$A$1:$I$89,5,0)</f>
        <v>0.48074000000019829</v>
      </c>
      <c r="CV103" s="13">
        <f t="shared" si="95"/>
        <v>0.24126147010950588</v>
      </c>
      <c r="CW103" s="20">
        <f t="shared" si="67"/>
        <v>1.2574858937744013</v>
      </c>
      <c r="CX103" s="59">
        <f t="shared" si="68"/>
        <v>278.66154107748361</v>
      </c>
      <c r="CY103" s="59">
        <f ca="1">AVERAGE(OFFSET($CX$3,0,0,'Données projet'!$E$13+1,1))-AVERAGE(OFFSET($H$3,0,0,'Données projet'!$E$13+1,1))</f>
        <v>420.4890915162182</v>
      </c>
      <c r="CZ103" s="59">
        <f t="shared" si="96"/>
        <v>553.48432338023565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152.49617320819388</v>
      </c>
      <c r="DG103" s="21">
        <f>EXP(-LN(2)/25)*DG102+(1-EXP(-LN(2)/25))/(LN(2)/25)*Calculateur!DB103*Calculateur!DD103*VLOOKUP('Données projet'!$B$13,Paramètres!$A$1:$I$89,3,0)*0.475*44/12</f>
        <v>7.2613920535351371</v>
      </c>
      <c r="DH103" s="21">
        <f>EXP(-LN(2)/2)*DH102+(1-EXP(-LN(2)/2))/(LN(2)/2)*DB103*DE103*VLOOKUP('Données projet'!$B$13,Paramètres!$A$1:$I$89,3,0)*0.475*44/12</f>
        <v>2.1534521629300787E-11</v>
      </c>
      <c r="DI103" s="22">
        <f t="shared" si="69"/>
        <v>159.75756526175056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9.7110000000000021</v>
      </c>
      <c r="DO103" s="12">
        <f>IF('Données projet'!$A$166&gt;35,DO102+DN103-DW102,IF(A103&lt;'Données projet'!$A$166,$DL$205^A103,IF(A103='Données projet'!$A$166,'Données projet'!$B$166,DO102+DN103-DW102)))</f>
        <v>411.5710000000002</v>
      </c>
      <c r="DP103" s="17">
        <f>DO103*VLOOKUP('Données projet'!$B$14,Paramètres!$A$1:$I$89,3,0)*VLOOKUP('Données projet'!$B$14,Paramètres!$A$1:$I$89,5,0)</f>
        <v>443.01502440000019</v>
      </c>
      <c r="DQ103" s="13">
        <f t="shared" si="97"/>
        <v>100.44478923580552</v>
      </c>
      <c r="DR103" s="20">
        <f t="shared" si="70"/>
        <v>946.52584208236158</v>
      </c>
      <c r="DS103" s="59">
        <f t="shared" si="71"/>
        <v>1223.9298972660708</v>
      </c>
      <c r="DT103" s="59">
        <f ca="1">AVERAGE(OFFSET($DS$3,0,0,'Données projet'!$E$14+1,1))-AVERAGE(OFFSET($H$3,0,0,'Données projet'!$E$14+1,1))</f>
        <v>659.55755908012691</v>
      </c>
      <c r="DU103" s="59">
        <f t="shared" si="98"/>
        <v>343.96647464823627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147.71642314730951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147.71642314730951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9.7110000000000021</v>
      </c>
      <c r="EJ103" s="12">
        <f>IF('Données projet'!$A$192&gt;35,EJ102+EI103-ER102,IF(A103&lt;'Données projet'!$A$192,$EG$205^A103,IF(A103='Données projet'!$A$192,'Données projet'!$B$192,EJ102+EI103-ER102)))</f>
        <v>411.5710000000002</v>
      </c>
      <c r="EK103" s="17">
        <f>EJ103*VLOOKUP('Données projet'!$B$15,Paramètres!$A$1:$I$89,3,0)*VLOOKUP('Données projet'!$B$15,Paramètres!$A$1:$I$89,5,0)</f>
        <v>398.07147120000019</v>
      </c>
      <c r="EL103" s="13">
        <f t="shared" si="99"/>
        <v>91.385575696673854</v>
      </c>
      <c r="EM103" s="20">
        <f t="shared" si="73"/>
        <v>852.47102334504063</v>
      </c>
      <c r="EN103" s="59">
        <f t="shared" si="74"/>
        <v>1129.8750785287498</v>
      </c>
      <c r="EO103" s="59">
        <f ca="1">AVERAGE(OFFSET($EN$3,0,0,'Données projet'!$E$15+1,1))-AVERAGE(OFFSET($H$3,0,0,'Données projet'!$E$15+1,1))</f>
        <v>600.96600099541388</v>
      </c>
      <c r="EP103" s="59">
        <f t="shared" si="100"/>
        <v>315.40159257508969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132.73069905990138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132.73069905990138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421.28200000000021</v>
      </c>
      <c r="O104" s="13">
        <f>N104*VLOOKUP('Données projet'!$B$9,Paramètres!$A$1:$I$89,3,0)*VLOOKUP('Données projet'!$B$9,Paramètres!$A$1:$I$89,5,0)</f>
        <v>381.17595360000018</v>
      </c>
      <c r="P104" s="13">
        <f t="shared" si="87"/>
        <v>87.949738529484478</v>
      </c>
      <c r="Q104" s="20">
        <f t="shared" si="107"/>
        <v>817.06058045885254</v>
      </c>
      <c r="R104" s="59">
        <f t="shared" si="55"/>
        <v>1094.7409730059269</v>
      </c>
      <c r="S104" s="59">
        <f ca="1">AVERAGE(OFFSET($R$3,0,0,'Données projet'!$E$9+1,1))-AVERAGE(OFFSET($H$3,0,0,'Données projet'!$E$9+1,1))</f>
        <v>567.42635821336114</v>
      </c>
      <c r="T104" s="59">
        <f t="shared" si="88"/>
        <v>299.0473530693472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121.73258062138733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121.73258062138733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7.8</v>
      </c>
      <c r="AI104" s="13">
        <f>IF('Données projet'!$A$62&gt;35,AI103+AH104-AQ103,IF(A104&lt;'Données projet'!$A$62,$AF$205^A104,IF(A104='Données projet'!$A$62,'Données projet'!$B$62,AI103+AH104-AQ103)))</f>
        <v>452.8000000000003</v>
      </c>
      <c r="AJ104" s="13">
        <f>AI104*VLOOKUP('Données projet'!$B$10,Paramètres!$A$1:$I$89,3,0)*VLOOKUP('Données projet'!$B$10,Paramètres!$A$1:$I$89,5,0)</f>
        <v>388.50240000000031</v>
      </c>
      <c r="AK104" s="13">
        <f t="shared" si="89"/>
        <v>89.441761444345133</v>
      </c>
      <c r="AL104" s="20">
        <f t="shared" si="58"/>
        <v>832.41941451556841</v>
      </c>
      <c r="AM104" s="59">
        <f t="shared" si="59"/>
        <v>1110.0998070626429</v>
      </c>
      <c r="AN104" s="59">
        <f ca="1">AVERAGE(OFFSET($AM$3,0,0,'Données projet'!$E$10+1,1))-AVERAGE(OFFSET($H$3,0,0,'Données projet'!$E$10+1,1))</f>
        <v>570.05585579662738</v>
      </c>
      <c r="AO104" s="59">
        <f t="shared" si="90"/>
        <v>331.25104323342907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129.35570246528803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129.35570246528803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>
        <f>VLOOKUP(A104,'Données projet'!$A$87:$I$107,2,0)</f>
        <v>252.87</v>
      </c>
      <c r="BB104" s="12">
        <f>VLOOKUP(A104,'Données projet'!$A$87:$I$107,9,0)</f>
        <v>-6.7400000000000091</v>
      </c>
      <c r="BC104" s="12">
        <f t="array" ref="BC104">INDEX(BB:BB,MIN(IF(ISNUMBER(BB104:BB300),ROW(BB104:BB300),"")))</f>
        <v>-6.7400000000000091</v>
      </c>
      <c r="BD104" s="12">
        <f>IF('Données projet'!$A$88&gt;35,BD103+BC104-BL103,IF(A104&lt;'Données projet'!$A$88,$BA$205^A104,IF(A104='Données projet'!$A$88,'Données projet'!$B$88,BD103+BC104-BL103)))</f>
        <v>252.87000000000023</v>
      </c>
      <c r="BE104" s="13">
        <f>BD104*VLOOKUP('Données projet'!$B$11,Paramètres!$A$1:$I$89,3,0)*VLOOKUP('Données projet'!$B$11,Paramètres!$A$1:$I$89,5,0)</f>
        <v>213.01768800000025</v>
      </c>
      <c r="BF104" s="13">
        <f t="shared" si="91"/>
        <v>52.594477866693403</v>
      </c>
      <c r="BG104" s="20">
        <f t="shared" si="61"/>
        <v>462.60785555115808</v>
      </c>
      <c r="BH104" s="59">
        <f t="shared" si="62"/>
        <v>740.28824809823254</v>
      </c>
      <c r="BI104" s="59">
        <f ca="1">AVERAGE(OFFSET($BH$3,0,0,'Données projet'!$E$11+1,1))-AVERAGE(OFFSET($H$3,0,0,'Données projet'!$E$11+1,1))</f>
        <v>458.88102603650725</v>
      </c>
      <c r="BJ104" s="59">
        <f t="shared" si="92"/>
        <v>277.79020316059552</v>
      </c>
      <c r="BK104" s="15">
        <f>IF(ISNA(VLOOKUP(A104,'Données projet'!$A$87:$I$107,3,0)),0,VLOOKUP(A104,'Données projet'!$A$87:$I$107,3,0))</f>
        <v>11</v>
      </c>
      <c r="BL104" s="15">
        <f>IF(ISNA(VLOOKUP(A104,'Données projet'!$A$87:$I$107,4,0)),0,VLOOKUP(A104,'Données projet'!$A$87:$I$107,4,0))</f>
        <v>72.569999999999993</v>
      </c>
      <c r="BM104" s="16">
        <f>IF(ISNA(VLOOKUP(A104,'Données projet'!$A$87:$I$107,5,0)),0%,VLOOKUP(A104,'Données projet'!$A$87:$I$107,5,0)*VLOOKUP('Données projet'!$B$11,Paramètres!$A$1:$I$89,7,0))</f>
        <v>0.43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208.60783861529004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208.60783861529004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9.7110000000000021</v>
      </c>
      <c r="BY104" s="12">
        <f>IF('Données projet'!$A$114&gt;35,BY103+BX104-CG103,IF(A104&lt;'Données projet'!$A$114,$BV$205^A104,IF(A104='Données projet'!$A$114,'Données projet'!$B$114,BY103+BX104-CG103)))</f>
        <v>421.28200000000021</v>
      </c>
      <c r="BZ104" s="13">
        <f>BY104*VLOOKUP('Données projet'!$B$12,Paramètres!$A$1:$I$89,3,0)*VLOOKUP('Données projet'!$B$12,Paramètres!$A$1:$I$89,5,0)</f>
        <v>400.89195120000022</v>
      </c>
      <c r="CA104" s="13">
        <f t="shared" si="93"/>
        <v>91.957471190301248</v>
      </c>
      <c r="CB104" s="20">
        <f t="shared" si="64"/>
        <v>858.37941066310839</v>
      </c>
      <c r="CC104" s="59">
        <f t="shared" si="65"/>
        <v>1136.0598032101827</v>
      </c>
      <c r="CD104" s="59">
        <f ca="1">AVERAGE(OFFSET($CC$3,0,0,'Données projet'!$E$12+1,1))-AVERAGE(OFFSET($H$3,0,0,'Données projet'!$E$12+1,1))</f>
        <v>592.58528888957346</v>
      </c>
      <c r="CE104" s="59">
        <f t="shared" si="94"/>
        <v>311.31528017256846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128.02909341214877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128.02909341214877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0.8600000000003547</v>
      </c>
      <c r="CU104" s="17">
        <f>CT104*VLOOKUP('Données projet'!$B$13,Paramètres!$A$1:$I$89,3,0)*VLOOKUP('Données projet'!$B$13,Paramètres!$A$1:$I$89,5,0)</f>
        <v>0.48074000000019829</v>
      </c>
      <c r="CV104" s="13">
        <f t="shared" si="95"/>
        <v>0.24126147010950588</v>
      </c>
      <c r="CW104" s="20">
        <f t="shared" si="67"/>
        <v>1.2574858937744013</v>
      </c>
      <c r="CX104" s="59">
        <f t="shared" si="68"/>
        <v>278.93787844084881</v>
      </c>
      <c r="CY104" s="59">
        <f ca="1">AVERAGE(OFFSET($CX$3,0,0,'Données projet'!$E$13+1,1))-AVERAGE(OFFSET($H$3,0,0,'Données projet'!$E$13+1,1))</f>
        <v>420.4890915162182</v>
      </c>
      <c r="CZ104" s="59">
        <f t="shared" si="96"/>
        <v>553.48432338023565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149.50581626506255</v>
      </c>
      <c r="DG104" s="21">
        <f>EXP(-LN(2)/25)*DG103+(1-EXP(-LN(2)/25))/(LN(2)/25)*Calculateur!DB104*Calculateur!DD104*VLOOKUP('Données projet'!$B$13,Paramètres!$A$1:$I$89,3,0)*0.475*44/12</f>
        <v>7.062828905971207</v>
      </c>
      <c r="DH104" s="21">
        <f>EXP(-LN(2)/2)*DH103+(1-EXP(-LN(2)/2))/(LN(2)/2)*DB104*DE104*VLOOKUP('Données projet'!$B$13,Paramètres!$A$1:$I$89,3,0)*0.475*44/12</f>
        <v>1.5227206273686966E-11</v>
      </c>
      <c r="DI104" s="22">
        <f t="shared" si="69"/>
        <v>156.56864517104898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9.7110000000000021</v>
      </c>
      <c r="DO104" s="12">
        <f>IF('Données projet'!$A$166&gt;35,DO103+DN104-DW103,IF(A104&lt;'Données projet'!$A$166,$DL$205^A104,IF(A104='Données projet'!$A$166,'Données projet'!$B$166,DO103+DN104-DW103)))</f>
        <v>421.28200000000021</v>
      </c>
      <c r="DP104" s="17">
        <f>DO104*VLOOKUP('Données projet'!$B$14,Paramètres!$A$1:$I$89,3,0)*VLOOKUP('Données projet'!$B$14,Paramètres!$A$1:$I$89,5,0)</f>
        <v>453.46794480000017</v>
      </c>
      <c r="DQ104" s="13">
        <f t="shared" si="97"/>
        <v>102.5360620496706</v>
      </c>
      <c r="DR104" s="20">
        <f t="shared" si="70"/>
        <v>968.37364526317651</v>
      </c>
      <c r="DS104" s="59">
        <f t="shared" si="71"/>
        <v>1246.054037810251</v>
      </c>
      <c r="DT104" s="59">
        <f ca="1">AVERAGE(OFFSET($DS$3,0,0,'Données projet'!$E$14+1,1))-AVERAGE(OFFSET($H$3,0,0,'Données projet'!$E$14+1,1))</f>
        <v>659.55755908012691</v>
      </c>
      <c r="DU104" s="59">
        <f t="shared" si="98"/>
        <v>343.96647464823627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144.81979418751243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144.81979418751243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9.7110000000000021</v>
      </c>
      <c r="EJ104" s="12">
        <f>IF('Données projet'!$A$192&gt;35,EJ103+EI104-ER103,IF(A104&lt;'Données projet'!$A$192,$EG$205^A104,IF(A104='Données projet'!$A$192,'Données projet'!$B$192,EJ103+EI104-ER103)))</f>
        <v>421.28200000000021</v>
      </c>
      <c r="EK104" s="17">
        <f>EJ104*VLOOKUP('Données projet'!$B$15,Paramètres!$A$1:$I$89,3,0)*VLOOKUP('Données projet'!$B$15,Paramètres!$A$1:$I$89,5,0)</f>
        <v>407.46395040000021</v>
      </c>
      <c r="EL104" s="13">
        <f t="shared" si="99"/>
        <v>93.288234575126936</v>
      </c>
      <c r="EM104" s="20">
        <f t="shared" si="73"/>
        <v>872.14338883167966</v>
      </c>
      <c r="EN104" s="59">
        <f t="shared" si="74"/>
        <v>1149.8237813787541</v>
      </c>
      <c r="EO104" s="59">
        <f ca="1">AVERAGE(OFFSET($EN$3,0,0,'Données projet'!$E$15+1,1))-AVERAGE(OFFSET($H$3,0,0,'Données projet'!$E$15+1,1))</f>
        <v>600.96600099541388</v>
      </c>
      <c r="EP104" s="59">
        <f t="shared" si="100"/>
        <v>315.40159257508969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130.12793100906924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130.12793100906924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430.99300000000022</v>
      </c>
      <c r="O105" s="13">
        <f>N105*VLOOKUP('Données projet'!$B$9,Paramètres!$A$1:$I$89,3,0)*VLOOKUP('Données projet'!$B$9,Paramètres!$A$1:$I$89,5,0)</f>
        <v>389.96246640000021</v>
      </c>
      <c r="P105" s="13">
        <f t="shared" si="87"/>
        <v>89.738709223725238</v>
      </c>
      <c r="Q105" s="20">
        <f t="shared" si="107"/>
        <v>835.47954754465525</v>
      </c>
      <c r="R105" s="59">
        <f t="shared" si="55"/>
        <v>1113.4314836196381</v>
      </c>
      <c r="S105" s="59">
        <f ca="1">AVERAGE(OFFSET($R$3,0,0,'Données projet'!$E$9+1,1))-AVERAGE(OFFSET($H$3,0,0,'Données projet'!$E$9+1,1))</f>
        <v>567.42635821336114</v>
      </c>
      <c r="T105" s="59">
        <f t="shared" si="88"/>
        <v>299.0473530693472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119.34547896494456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119.34547896494456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7.8</v>
      </c>
      <c r="AI105" s="13">
        <f>IF('Données projet'!$A$62&gt;35,AI104+AH105-AQ104,IF(A105&lt;'Données projet'!$A$62,$AF$205^A105,IF(A105='Données projet'!$A$62,'Données projet'!$B$62,AI104+AH105-AQ104)))</f>
        <v>460.60000000000031</v>
      </c>
      <c r="AJ105" s="13">
        <f>AI105*VLOOKUP('Données projet'!$B$10,Paramètres!$A$1:$I$89,3,0)*VLOOKUP('Données projet'!$B$10,Paramètres!$A$1:$I$89,5,0)</f>
        <v>395.19480000000027</v>
      </c>
      <c r="AK105" s="13">
        <f t="shared" si="89"/>
        <v>90.801800495271991</v>
      </c>
      <c r="AL105" s="20">
        <f t="shared" si="58"/>
        <v>846.44407919593243</v>
      </c>
      <c r="AM105" s="59">
        <f t="shared" si="59"/>
        <v>1124.3960152709153</v>
      </c>
      <c r="AN105" s="59">
        <f ca="1">AVERAGE(OFFSET($AM$3,0,0,'Données projet'!$E$10+1,1))-AVERAGE(OFFSET($H$3,0,0,'Données projet'!$E$10+1,1))</f>
        <v>570.05585579662738</v>
      </c>
      <c r="AO105" s="59">
        <f t="shared" si="90"/>
        <v>331.25104323342907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126.81911603913159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126.81911603913159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-0.17000000000000171</v>
      </c>
      <c r="BD105" s="12">
        <f>IF('Données projet'!$A$88&gt;35,BD104+BC105-BL104,IF(A105&lt;'Données projet'!$A$88,$BA$205^A105,IF(A105='Données projet'!$A$88,'Données projet'!$B$88,BD104+BC105-BL104)))</f>
        <v>180.13000000000022</v>
      </c>
      <c r="BE105" s="13">
        <f>BD105*VLOOKUP('Données projet'!$B$11,Paramètres!$A$1:$I$89,3,0)*VLOOKUP('Données projet'!$B$11,Paramètres!$A$1:$I$89,5,0)</f>
        <v>151.7415120000002</v>
      </c>
      <c r="BF105" s="13">
        <f t="shared" si="91"/>
        <v>38.974084199433499</v>
      </c>
      <c r="BG105" s="20">
        <f t="shared" si="61"/>
        <v>332.16299671401367</v>
      </c>
      <c r="BH105" s="59">
        <f t="shared" si="62"/>
        <v>610.11493278899661</v>
      </c>
      <c r="BI105" s="59">
        <f ca="1">AVERAGE(OFFSET($BH$3,0,0,'Données projet'!$E$11+1,1))-AVERAGE(OFFSET($H$3,0,0,'Données projet'!$E$11+1,1))</f>
        <v>458.88102603650725</v>
      </c>
      <c r="BJ105" s="59">
        <f t="shared" si="92"/>
        <v>277.79020316059552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204.51716613826201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204.51716613826201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9.7110000000000021</v>
      </c>
      <c r="BY105" s="12">
        <f>IF('Données projet'!$A$114&gt;35,BY104+BX105-CG104,IF(A105&lt;'Données projet'!$A$114,$BV$205^A105,IF(A105='Données projet'!$A$114,'Données projet'!$B$114,BY104+BX105-CG104)))</f>
        <v>430.99300000000022</v>
      </c>
      <c r="BZ105" s="13">
        <f>BY105*VLOOKUP('Données projet'!$B$12,Paramètres!$A$1:$I$89,3,0)*VLOOKUP('Données projet'!$B$12,Paramètres!$A$1:$I$89,5,0)</f>
        <v>410.1329388000002</v>
      </c>
      <c r="CA105" s="13">
        <f t="shared" si="93"/>
        <v>93.827962493931295</v>
      </c>
      <c r="CB105" s="20">
        <f t="shared" si="64"/>
        <v>877.73190308693063</v>
      </c>
      <c r="CC105" s="59">
        <f t="shared" si="65"/>
        <v>1155.6838391619135</v>
      </c>
      <c r="CD105" s="59">
        <f ca="1">AVERAGE(OFFSET($CC$3,0,0,'Données projet'!$E$12+1,1))-AVERAGE(OFFSET($H$3,0,0,'Données projet'!$E$12+1,1))</f>
        <v>592.58528888957346</v>
      </c>
      <c r="CE105" s="59">
        <f t="shared" si="94"/>
        <v>311.31528017256846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125.51852098037276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125.51852098037276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0.8600000000003547</v>
      </c>
      <c r="CU105" s="17">
        <f>CT105*VLOOKUP('Données projet'!$B$13,Paramètres!$A$1:$I$89,3,0)*VLOOKUP('Données projet'!$B$13,Paramètres!$A$1:$I$89,5,0)</f>
        <v>0.48074000000019829</v>
      </c>
      <c r="CV105" s="13">
        <f t="shared" si="95"/>
        <v>0.24126147010950588</v>
      </c>
      <c r="CW105" s="20">
        <f t="shared" si="67"/>
        <v>1.2574858937744013</v>
      </c>
      <c r="CX105" s="59">
        <f t="shared" si="68"/>
        <v>279.20942196875734</v>
      </c>
      <c r="CY105" s="59">
        <f ca="1">AVERAGE(OFFSET($CX$3,0,0,'Données projet'!$E$13+1,1))-AVERAGE(OFFSET($H$3,0,0,'Données projet'!$E$13+1,1))</f>
        <v>420.4890915162182</v>
      </c>
      <c r="CZ105" s="59">
        <f t="shared" si="96"/>
        <v>553.48432338023565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146.57409839764838</v>
      </c>
      <c r="DG105" s="21">
        <f>EXP(-LN(2)/25)*DG104+(1-EXP(-LN(2)/25))/(LN(2)/25)*Calculateur!DB105*Calculateur!DD105*VLOOKUP('Données projet'!$B$13,Paramètres!$A$1:$I$89,3,0)*0.475*44/12</f>
        <v>6.8696954781193948</v>
      </c>
      <c r="DH105" s="21">
        <f>EXP(-LN(2)/2)*DH104+(1-EXP(-LN(2)/2))/(LN(2)/2)*DB105*DE105*VLOOKUP('Données projet'!$B$13,Paramètres!$A$1:$I$89,3,0)*0.475*44/12</f>
        <v>1.0767260814650394E-11</v>
      </c>
      <c r="DI105" s="22">
        <f t="shared" si="69"/>
        <v>153.44379387577854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9.7110000000000021</v>
      </c>
      <c r="DO105" s="12">
        <f>IF('Données projet'!$A$166&gt;35,DO104+DN105-DW104,IF(A105&lt;'Données projet'!$A$166,$DL$205^A105,IF(A105='Données projet'!$A$166,'Données projet'!$B$166,DO104+DN105-DW104)))</f>
        <v>430.99300000000022</v>
      </c>
      <c r="DP105" s="17">
        <f>DO105*VLOOKUP('Données projet'!$B$14,Paramètres!$A$1:$I$89,3,0)*VLOOKUP('Données projet'!$B$14,Paramètres!$A$1:$I$89,5,0)</f>
        <v>463.92086520000021</v>
      </c>
      <c r="DQ105" s="13">
        <f t="shared" si="97"/>
        <v>104.62173067332679</v>
      </c>
      <c r="DR105" s="20">
        <f t="shared" si="70"/>
        <v>990.21168781271115</v>
      </c>
      <c r="DS105" s="59">
        <f t="shared" si="71"/>
        <v>1268.163623887694</v>
      </c>
      <c r="DT105" s="59">
        <f ca="1">AVERAGE(OFFSET($DS$3,0,0,'Données projet'!$E$14+1,1))-AVERAGE(OFFSET($H$3,0,0,'Données projet'!$E$14+1,1))</f>
        <v>659.55755908012691</v>
      </c>
      <c r="DU105" s="59">
        <f t="shared" si="98"/>
        <v>343.96647464823627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141.97996635484776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141.97996635484776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9.7110000000000021</v>
      </c>
      <c r="EJ105" s="12">
        <f>IF('Données projet'!$A$192&gt;35,EJ104+EI105-ER104,IF(A105&lt;'Données projet'!$A$192,$EG$205^A105,IF(A105='Données projet'!$A$192,'Données projet'!$B$192,EJ104+EI105-ER104)))</f>
        <v>430.99300000000022</v>
      </c>
      <c r="EK105" s="17">
        <f>EJ105*VLOOKUP('Données projet'!$B$15,Paramètres!$A$1:$I$89,3,0)*VLOOKUP('Données projet'!$B$15,Paramètres!$A$1:$I$89,5,0)</f>
        <v>416.85642960000024</v>
      </c>
      <c r="EL105" s="13">
        <f t="shared" si="99"/>
        <v>95.185794710753839</v>
      </c>
      <c r="EM105" s="20">
        <f t="shared" si="73"/>
        <v>891.80687400789668</v>
      </c>
      <c r="EN105" s="59">
        <f t="shared" si="74"/>
        <v>1169.7588100828796</v>
      </c>
      <c r="EO105" s="59">
        <f ca="1">AVERAGE(OFFSET($EN$3,0,0,'Données projet'!$E$15+1,1))-AVERAGE(OFFSET($H$3,0,0,'Données projet'!$E$15+1,1))</f>
        <v>600.96600099541388</v>
      </c>
      <c r="EP105" s="59">
        <f t="shared" si="100"/>
        <v>315.40159257508969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127.57620165218215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127.57620165218215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440.70400000000024</v>
      </c>
      <c r="O106" s="13">
        <f>N106*VLOOKUP('Données projet'!$B$9,Paramètres!$A$1:$I$89,3,0)*VLOOKUP('Données projet'!$B$9,Paramètres!$A$1:$I$89,5,0)</f>
        <v>398.74897920000018</v>
      </c>
      <c r="P106" s="13">
        <f t="shared" si="87"/>
        <v>91.522993733283613</v>
      </c>
      <c r="Q106" s="20">
        <f t="shared" si="107"/>
        <v>853.89035285880254</v>
      </c>
      <c r="R106" s="59">
        <f t="shared" si="55"/>
        <v>1132.1091217885653</v>
      </c>
      <c r="S106" s="59">
        <f ca="1">AVERAGE(OFFSET($R$3,0,0,'Données projet'!$E$9+1,1))-AVERAGE(OFFSET($H$3,0,0,'Données projet'!$E$9+1,1))</f>
        <v>567.42635821336114</v>
      </c>
      <c r="T106" s="59">
        <f t="shared" si="88"/>
        <v>299.0473530693472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117.0051869159964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117.0051869159964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7.8</v>
      </c>
      <c r="AI106" s="13">
        <f>IF('Données projet'!$A$62&gt;35,AI105+AH106-AQ105,IF(A106&lt;'Données projet'!$A$62,$AF$205^A106,IF(A106='Données projet'!$A$62,'Données projet'!$B$62,AI105+AH106-AQ105)))</f>
        <v>468.40000000000032</v>
      </c>
      <c r="AJ106" s="13">
        <f>AI106*VLOOKUP('Données projet'!$B$10,Paramètres!$A$1:$I$89,3,0)*VLOOKUP('Données projet'!$B$10,Paramètres!$A$1:$I$89,5,0)</f>
        <v>401.88720000000029</v>
      </c>
      <c r="AK106" s="13">
        <f t="shared" si="89"/>
        <v>92.159161185828353</v>
      </c>
      <c r="AL106" s="20">
        <f t="shared" si="58"/>
        <v>860.46407906531829</v>
      </c>
      <c r="AM106" s="59">
        <f t="shared" si="59"/>
        <v>1138.6828479950809</v>
      </c>
      <c r="AN106" s="59">
        <f ca="1">AVERAGE(OFFSET($AM$3,0,0,'Données projet'!$E$10+1,1))-AVERAGE(OFFSET($H$3,0,0,'Données projet'!$E$10+1,1))</f>
        <v>570.05585579662738</v>
      </c>
      <c r="AO106" s="59">
        <f t="shared" si="90"/>
        <v>331.25104323342907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124.33227052562712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124.33227052562712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179.96</v>
      </c>
      <c r="BB106" s="12">
        <f>VLOOKUP(A106,'Données projet'!$A$87:$I$107,9,0)</f>
        <v>-0.17000000000000171</v>
      </c>
      <c r="BC106" s="12">
        <f t="array" ref="BC106">INDEX(BB:BB,MIN(IF(ISNUMBER(BB106:BB302),ROW(BB106:BB302),"")))</f>
        <v>-0.17000000000000171</v>
      </c>
      <c r="BD106" s="12">
        <f>IF('Données projet'!$A$88&gt;35,BD105+BC106-BL105,IF(A106&lt;'Données projet'!$A$88,$BA$205^A106,IF(A106='Données projet'!$A$88,'Données projet'!$B$88,BD105+BC106-BL105)))</f>
        <v>179.96000000000021</v>
      </c>
      <c r="BE106" s="13">
        <f>BD106*VLOOKUP('Données projet'!$B$11,Paramètres!$A$1:$I$89,3,0)*VLOOKUP('Données projet'!$B$11,Paramètres!$A$1:$I$89,5,0)</f>
        <v>151.59830400000021</v>
      </c>
      <c r="BF106" s="13">
        <f t="shared" si="91"/>
        <v>38.941581580147407</v>
      </c>
      <c r="BG106" s="20">
        <f t="shared" si="61"/>
        <v>331.85696738542373</v>
      </c>
      <c r="BH106" s="59">
        <f t="shared" si="62"/>
        <v>610.07573631518642</v>
      </c>
      <c r="BI106" s="59">
        <f ca="1">AVERAGE(OFFSET($BH$3,0,0,'Données projet'!$E$11+1,1))-AVERAGE(OFFSET($H$3,0,0,'Données projet'!$E$11+1,1))</f>
        <v>458.88102603650725</v>
      </c>
      <c r="BJ106" s="59">
        <f t="shared" si="92"/>
        <v>277.79020316059552</v>
      </c>
      <c r="BK106" s="15">
        <f>IF(ISNA(VLOOKUP(A106,'Données projet'!$A$87:$I$107,3,0)),0,VLOOKUP(A106,'Données projet'!$A$87:$I$107,3,0))</f>
        <v>12</v>
      </c>
      <c r="BL106" s="15">
        <f>IF(ISNA(VLOOKUP(A106,'Données projet'!$A$87:$I$107,4,0)),0,VLOOKUP(A106,'Données projet'!$A$87:$I$107,4,0))</f>
        <v>51.31</v>
      </c>
      <c r="BM106" s="16">
        <f>IF(ISNA(VLOOKUP(A106,'Données projet'!$A$87:$I$107,5,0)),0%,VLOOKUP(A106,'Données projet'!$A$87:$I$107,5,0)*VLOOKUP('Données projet'!$B$11,Paramètres!$A$1:$I$89,7,0))</f>
        <v>0.43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221.05311871733352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221.05311871733352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9.7110000000000021</v>
      </c>
      <c r="BY106" s="12">
        <f>IF('Données projet'!$A$114&gt;35,BY105+BX106-CG105,IF(A106&lt;'Données projet'!$A$114,$BV$205^A106,IF(A106='Données projet'!$A$114,'Données projet'!$B$114,BY105+BX106-CG105)))</f>
        <v>440.70400000000024</v>
      </c>
      <c r="BZ106" s="13">
        <f>BY106*VLOOKUP('Données projet'!$B$12,Paramètres!$A$1:$I$89,3,0)*VLOOKUP('Données projet'!$B$12,Paramètres!$A$1:$I$89,5,0)</f>
        <v>419.37392640000024</v>
      </c>
      <c r="CA106" s="13">
        <f t="shared" si="93"/>
        <v>95.693554070738656</v>
      </c>
      <c r="CB106" s="20">
        <f t="shared" si="64"/>
        <v>897.07586181987017</v>
      </c>
      <c r="CC106" s="59">
        <f t="shared" si="65"/>
        <v>1175.2946307496329</v>
      </c>
      <c r="CD106" s="59">
        <f ca="1">AVERAGE(OFFSET($CC$3,0,0,'Données projet'!$E$12+1,1))-AVERAGE(OFFSET($H$3,0,0,'Données projet'!$E$12+1,1))</f>
        <v>592.58528888957346</v>
      </c>
      <c r="CE106" s="59">
        <f t="shared" si="94"/>
        <v>311.31528017256846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123.0571793426859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123.0571793426859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0.8600000000003547</v>
      </c>
      <c r="CU106" s="17">
        <f>CT106*VLOOKUP('Données projet'!$B$13,Paramètres!$A$1:$I$89,3,0)*VLOOKUP('Données projet'!$B$13,Paramètres!$A$1:$I$89,5,0)</f>
        <v>0.48074000000019829</v>
      </c>
      <c r="CV106" s="13">
        <f t="shared" si="95"/>
        <v>0.24126147010950588</v>
      </c>
      <c r="CW106" s="20">
        <f t="shared" si="67"/>
        <v>1.2574858937744013</v>
      </c>
      <c r="CX106" s="59">
        <f t="shared" si="68"/>
        <v>279.47625482353709</v>
      </c>
      <c r="CY106" s="59">
        <f ca="1">AVERAGE(OFFSET($CX$3,0,0,'Données projet'!$E$13+1,1))-AVERAGE(OFFSET($H$3,0,0,'Données projet'!$E$13+1,1))</f>
        <v>420.4890915162182</v>
      </c>
      <c r="CZ106" s="59">
        <f t="shared" si="96"/>
        <v>553.48432338023565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143.69986972944287</v>
      </c>
      <c r="DG106" s="21">
        <f>EXP(-LN(2)/25)*DG105+(1-EXP(-LN(2)/25))/(LN(2)/25)*Calculateur!DB106*Calculateur!DD106*VLOOKUP('Données projet'!$B$13,Paramètres!$A$1:$I$89,3,0)*0.475*44/12</f>
        <v>6.6818432940086359</v>
      </c>
      <c r="DH106" s="21">
        <f>EXP(-LN(2)/2)*DH105+(1-EXP(-LN(2)/2))/(LN(2)/2)*DB106*DE106*VLOOKUP('Données projet'!$B$13,Paramètres!$A$1:$I$89,3,0)*0.475*44/12</f>
        <v>7.6136031368434831E-12</v>
      </c>
      <c r="DI106" s="22">
        <f t="shared" si="69"/>
        <v>150.38171302345913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9.7110000000000021</v>
      </c>
      <c r="DO106" s="12">
        <f>IF('Données projet'!$A$166&gt;35,DO105+DN106-DW105,IF(A106&lt;'Données projet'!$A$166,$DL$205^A106,IF(A106='Données projet'!$A$166,'Données projet'!$B$166,DO105+DN106-DW105)))</f>
        <v>440.70400000000024</v>
      </c>
      <c r="DP106" s="17">
        <f>DO106*VLOOKUP('Données projet'!$B$14,Paramètres!$A$1:$I$89,3,0)*VLOOKUP('Données projet'!$B$14,Paramètres!$A$1:$I$89,5,0)</f>
        <v>474.37378560000025</v>
      </c>
      <c r="DQ106" s="13">
        <f t="shared" si="97"/>
        <v>106.70193591606328</v>
      </c>
      <c r="DR106" s="20">
        <f t="shared" si="70"/>
        <v>1012.0402149738106</v>
      </c>
      <c r="DS106" s="59">
        <f t="shared" si="71"/>
        <v>1290.2589839035734</v>
      </c>
      <c r="DT106" s="59">
        <f ca="1">AVERAGE(OFFSET($DS$3,0,0,'Données projet'!$E$14+1,1))-AVERAGE(OFFSET($H$3,0,0,'Données projet'!$E$14+1,1))</f>
        <v>659.55755908012691</v>
      </c>
      <c r="DU106" s="59">
        <f t="shared" si="98"/>
        <v>343.96647464823627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139.19582581385771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139.19582581385771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9.7110000000000021</v>
      </c>
      <c r="EJ106" s="12">
        <f>IF('Données projet'!$A$192&gt;35,EJ105+EI106-ER105,IF(A106&lt;'Données projet'!$A$192,$EG$205^A106,IF(A106='Données projet'!$A$192,'Données projet'!$B$192,EJ105+EI106-ER105)))</f>
        <v>440.70400000000024</v>
      </c>
      <c r="EK106" s="17">
        <f>EJ106*VLOOKUP('Données projet'!$B$15,Paramètres!$A$1:$I$89,3,0)*VLOOKUP('Données projet'!$B$15,Paramètres!$A$1:$I$89,5,0)</f>
        <v>426.24890880000021</v>
      </c>
      <c r="EL106" s="13">
        <f t="shared" si="99"/>
        <v>97.07838421311655</v>
      </c>
      <c r="EM106" s="20">
        <f t="shared" si="73"/>
        <v>911.46170199784501</v>
      </c>
      <c r="EN106" s="59">
        <f t="shared" si="74"/>
        <v>1189.6804709276078</v>
      </c>
      <c r="EO106" s="59">
        <f ca="1">AVERAGE(OFFSET($EN$3,0,0,'Données projet'!$E$15+1,1))-AVERAGE(OFFSET($H$3,0,0,'Données projet'!$E$15+1,1))</f>
        <v>600.96600099541388</v>
      </c>
      <c r="EP106" s="59">
        <f t="shared" si="100"/>
        <v>315.40159257508969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125.07451015158239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125.07451015158239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450.41500000000025</v>
      </c>
      <c r="O107" s="13">
        <f>N107*VLOOKUP('Données projet'!$B$9,Paramètres!$A$1:$I$89,3,0)*VLOOKUP('Données projet'!$B$9,Paramètres!$A$1:$I$89,5,0)</f>
        <v>407.5354920000002</v>
      </c>
      <c r="P107" s="13">
        <f t="shared" si="87"/>
        <v>93.30270720985969</v>
      </c>
      <c r="Q107" s="20">
        <f t="shared" si="107"/>
        <v>872.29319695717265</v>
      </c>
      <c r="R107" s="59">
        <f t="shared" si="55"/>
        <v>1150.7741697882336</v>
      </c>
      <c r="S107" s="59">
        <f ca="1">AVERAGE(OFFSET($R$3,0,0,'Données projet'!$E$9+1,1))-AVERAGE(OFFSET($H$3,0,0,'Données projet'!$E$9+1,1))</f>
        <v>567.42635821336114</v>
      </c>
      <c r="T107" s="59">
        <f t="shared" si="88"/>
        <v>299.0473530693472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114.71078656669091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114.71078656669091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7.8</v>
      </c>
      <c r="AI107" s="13">
        <f>IF('Données projet'!$A$62&gt;35,AI106+AH107-AQ106,IF(A107&lt;'Données projet'!$A$62,$AF$205^A107,IF(A107='Données projet'!$A$62,'Données projet'!$B$62,AI106+AH107-AQ106)))</f>
        <v>476.20000000000033</v>
      </c>
      <c r="AJ107" s="13">
        <f>AI107*VLOOKUP('Données projet'!$B$10,Paramètres!$A$1:$I$89,3,0)*VLOOKUP('Données projet'!$B$10,Paramètres!$A$1:$I$89,5,0)</f>
        <v>408.57960000000031</v>
      </c>
      <c r="AK107" s="13">
        <f t="shared" si="89"/>
        <v>93.513893265221469</v>
      </c>
      <c r="AL107" s="20">
        <f t="shared" si="58"/>
        <v>874.47950077026132</v>
      </c>
      <c r="AM107" s="59">
        <f t="shared" si="59"/>
        <v>1152.9604736013223</v>
      </c>
      <c r="AN107" s="59">
        <f ca="1">AVERAGE(OFFSET($AM$3,0,0,'Données projet'!$E$10+1,1))-AVERAGE(OFFSET($H$3,0,0,'Données projet'!$E$10+1,1))</f>
        <v>570.05585579662738</v>
      </c>
      <c r="AO107" s="59">
        <f t="shared" si="90"/>
        <v>331.25104323342907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121.89419053581649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121.89419053581649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0.93666666666666742</v>
      </c>
      <c r="BD107" s="12">
        <f>IF('Données projet'!$A$88&gt;35,BD106+BC107-BL106,IF(A107&lt;'Données projet'!$A$88,$BA$205^A107,IF(A107='Données projet'!$A$88,'Données projet'!$B$88,BD106+BC107-BL106)))</f>
        <v>129.58666666666687</v>
      </c>
      <c r="BE107" s="13">
        <f>BD107*VLOOKUP('Données projet'!$B$11,Paramètres!$A$1:$I$89,3,0)*VLOOKUP('Données projet'!$B$11,Paramètres!$A$1:$I$89,5,0)</f>
        <v>109.16380800000017</v>
      </c>
      <c r="BF107" s="13">
        <f t="shared" si="91"/>
        <v>29.133883804771958</v>
      </c>
      <c r="BG107" s="20">
        <f t="shared" si="61"/>
        <v>240.86847989331147</v>
      </c>
      <c r="BH107" s="59">
        <f t="shared" si="62"/>
        <v>519.34945272437244</v>
      </c>
      <c r="BI107" s="59">
        <f ca="1">AVERAGE(OFFSET($BH$3,0,0,'Données projet'!$E$11+1,1))-AVERAGE(OFFSET($H$3,0,0,'Données projet'!$E$11+1,1))</f>
        <v>458.88102603650725</v>
      </c>
      <c r="BJ107" s="59">
        <f t="shared" si="92"/>
        <v>277.79020316059552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216.71840188837575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216.71840188837575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9.7110000000000021</v>
      </c>
      <c r="BY107" s="12">
        <f>IF('Données projet'!$A$114&gt;35,BY106+BX107-CG106,IF(A107&lt;'Données projet'!$A$114,$BV$205^A107,IF(A107='Données projet'!$A$114,'Données projet'!$B$114,BY106+BX107-CG106)))</f>
        <v>450.41500000000025</v>
      </c>
      <c r="BZ107" s="13">
        <f>BY107*VLOOKUP('Données projet'!$B$12,Paramètres!$A$1:$I$89,3,0)*VLOOKUP('Données projet'!$B$12,Paramètres!$A$1:$I$89,5,0)</f>
        <v>428.61491400000023</v>
      </c>
      <c r="CA107" s="13">
        <f t="shared" si="93"/>
        <v>97.554366319707086</v>
      </c>
      <c r="CB107" s="20">
        <f t="shared" si="64"/>
        <v>916.41149655682364</v>
      </c>
      <c r="CC107" s="59">
        <f t="shared" si="65"/>
        <v>1194.8924693878846</v>
      </c>
      <c r="CD107" s="59">
        <f ca="1">AVERAGE(OFFSET($CC$3,0,0,'Données projet'!$E$12+1,1))-AVERAGE(OFFSET($H$3,0,0,'Données projet'!$E$12+1,1))</f>
        <v>592.58528888957346</v>
      </c>
      <c r="CE107" s="59">
        <f t="shared" si="94"/>
        <v>311.31528017256846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120.64410311324392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120.64410311324392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0.8600000000003547</v>
      </c>
      <c r="CU107" s="17">
        <f>CT107*VLOOKUP('Données projet'!$B$13,Paramètres!$A$1:$I$89,3,0)*VLOOKUP('Données projet'!$B$13,Paramètres!$A$1:$I$89,5,0)</f>
        <v>0.48074000000019829</v>
      </c>
      <c r="CV107" s="13">
        <f t="shared" si="95"/>
        <v>0.24126147010950588</v>
      </c>
      <c r="CW107" s="20">
        <f t="shared" si="67"/>
        <v>1.2574858937744013</v>
      </c>
      <c r="CX107" s="59">
        <f t="shared" si="68"/>
        <v>279.73845872483531</v>
      </c>
      <c r="CY107" s="59">
        <f ca="1">AVERAGE(OFFSET($CX$3,0,0,'Données projet'!$E$13+1,1))-AVERAGE(OFFSET($H$3,0,0,'Données projet'!$E$13+1,1))</f>
        <v>420.4890915162182</v>
      </c>
      <c r="CZ107" s="59">
        <f t="shared" si="96"/>
        <v>553.48432338023565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140.88200293231449</v>
      </c>
      <c r="DG107" s="21">
        <f>EXP(-LN(2)/25)*DG106+(1-EXP(-LN(2)/25))/(LN(2)/25)*Calculateur!DB107*Calculateur!DD107*VLOOKUP('Données projet'!$B$13,Paramètres!$A$1:$I$89,3,0)*0.475*44/12</f>
        <v>6.4991279377511022</v>
      </c>
      <c r="DH107" s="21">
        <f>EXP(-LN(2)/2)*DH106+(1-EXP(-LN(2)/2))/(LN(2)/2)*DB107*DE107*VLOOKUP('Données projet'!$B$13,Paramètres!$A$1:$I$89,3,0)*0.475*44/12</f>
        <v>5.3836304073251969E-12</v>
      </c>
      <c r="DI107" s="22">
        <f t="shared" si="69"/>
        <v>147.38113087007096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9.7110000000000021</v>
      </c>
      <c r="DO107" s="12">
        <f>IF('Données projet'!$A$166&gt;35,DO106+DN107-DW106,IF(A107&lt;'Données projet'!$A$166,$DL$205^A107,IF(A107='Données projet'!$A$166,'Données projet'!$B$166,DO106+DN107-DW106)))</f>
        <v>450.41500000000025</v>
      </c>
      <c r="DP107" s="17">
        <f>DO107*VLOOKUP('Données projet'!$B$14,Paramètres!$A$1:$I$89,3,0)*VLOOKUP('Données projet'!$B$14,Paramètres!$A$1:$I$89,5,0)</f>
        <v>484.82670600000023</v>
      </c>
      <c r="DQ107" s="13">
        <f t="shared" si="97"/>
        <v>108.77681202730572</v>
      </c>
      <c r="DR107" s="20">
        <f t="shared" si="70"/>
        <v>1033.8594605642245</v>
      </c>
      <c r="DS107" s="59">
        <f t="shared" si="71"/>
        <v>1312.3404333952853</v>
      </c>
      <c r="DT107" s="59">
        <f ca="1">AVERAGE(OFFSET($DS$3,0,0,'Données projet'!$E$14+1,1))-AVERAGE(OFFSET($H$3,0,0,'Données projet'!$E$14+1,1))</f>
        <v>659.55755908012691</v>
      </c>
      <c r="DU107" s="59">
        <f t="shared" si="98"/>
        <v>343.96647464823627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136.46628057071842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136.46628057071842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9.7110000000000021</v>
      </c>
      <c r="EJ107" s="12">
        <f>IF('Données projet'!$A$192&gt;35,EJ106+EI107-ER106,IF(A107&lt;'Données projet'!$A$192,$EG$205^A107,IF(A107='Données projet'!$A$192,'Données projet'!$B$192,EJ106+EI107-ER106)))</f>
        <v>450.41500000000025</v>
      </c>
      <c r="EK107" s="17">
        <f>EJ107*VLOOKUP('Données projet'!$B$15,Paramètres!$A$1:$I$89,3,0)*VLOOKUP('Données projet'!$B$15,Paramètres!$A$1:$I$89,5,0)</f>
        <v>435.64138800000023</v>
      </c>
      <c r="EL107" s="13">
        <f t="shared" si="99"/>
        <v>98.966125223553831</v>
      </c>
      <c r="EM107" s="20">
        <f t="shared" si="73"/>
        <v>931.10808553102333</v>
      </c>
      <c r="EN107" s="59">
        <f t="shared" si="74"/>
        <v>1209.5890583620842</v>
      </c>
      <c r="EO107" s="59">
        <f ca="1">AVERAGE(OFFSET($EN$3,0,0,'Données projet'!$E$15+1,1))-AVERAGE(OFFSET($H$3,0,0,'Données projet'!$E$15+1,1))</f>
        <v>600.96600099541388</v>
      </c>
      <c r="EP107" s="59">
        <f t="shared" si="100"/>
        <v>315.40159257508969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122.62187529542824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122.62187529542824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460.12600000000026</v>
      </c>
      <c r="O108" s="13">
        <f>N108*VLOOKUP('Données projet'!$B$9,Paramètres!$A$1:$I$89,3,0)*VLOOKUP('Données projet'!$B$9,Paramètres!$A$1:$I$89,5,0)</f>
        <v>416.32200480000023</v>
      </c>
      <c r="P108" s="13">
        <f t="shared" si="87"/>
        <v>95.077959556166817</v>
      </c>
      <c r="Q108" s="20">
        <f t="shared" si="107"/>
        <v>890.6882712536576</v>
      </c>
      <c r="R108" s="59">
        <f t="shared" si="55"/>
        <v>1169.4268993345295</v>
      </c>
      <c r="S108" s="59">
        <f ca="1">AVERAGE(OFFSET($R$3,0,0,'Données projet'!$E$9+1,1))-AVERAGE(OFFSET($H$3,0,0,'Données projet'!$E$9+1,1))</f>
        <v>567.42635821336114</v>
      </c>
      <c r="T108" s="59">
        <f t="shared" si="88"/>
        <v>299.0473530693472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112.46137800878928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112.46137800878928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484</v>
      </c>
      <c r="AG108" s="12">
        <f>VLOOKUP(A108,'Données projet'!$A$61:$I$81,9,0)</f>
        <v>7.8</v>
      </c>
      <c r="AH108" s="12">
        <f t="array" ref="AH108">INDEX(AG:AG,MIN(IF(ISNUMBER(AG108:AG304),ROW(AG108:AG304),"")))</f>
        <v>7.8</v>
      </c>
      <c r="AI108" s="13">
        <f>IF('Données projet'!$A$62&gt;35,AI107+AH108-AQ107,IF(A108&lt;'Données projet'!$A$62,$AF$205^A108,IF(A108='Données projet'!$A$62,'Données projet'!$B$62,AI107+AH108-AQ107)))</f>
        <v>484.00000000000034</v>
      </c>
      <c r="AJ108" s="13">
        <f>AI108*VLOOKUP('Données projet'!$B$10,Paramètres!$A$1:$I$89,3,0)*VLOOKUP('Données projet'!$B$10,Paramètres!$A$1:$I$89,5,0)</f>
        <v>415.27200000000033</v>
      </c>
      <c r="AK108" s="13">
        <f t="shared" si="89"/>
        <v>94.866044759468593</v>
      </c>
      <c r="AL108" s="20">
        <f t="shared" si="58"/>
        <v>888.490427956075</v>
      </c>
      <c r="AM108" s="59">
        <f t="shared" si="59"/>
        <v>1167.2290560369468</v>
      </c>
      <c r="AN108" s="59">
        <f ca="1">AVERAGE(OFFSET($AM$3,0,0,'Données projet'!$E$10+1,1))-AVERAGE(OFFSET($H$3,0,0,'Données projet'!$E$10+1,1))</f>
        <v>570.05585579662738</v>
      </c>
      <c r="AO108" s="59">
        <f t="shared" si="90"/>
        <v>331.25104323342907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28</v>
      </c>
      <c r="AR108" s="16">
        <f>IF(ISNA(VLOOKUP(A108,'Données projet'!$A$61:$I$81,5,0)),0%,VLOOKUP(A108,'Données projet'!$A$61:$I$81,5,0)*VLOOKUP('Données projet'!$B$10,Paramètres!$A$1:$I$89,7,0))</f>
        <v>0.53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133.57956461841087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133.57956461841087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0.93666666666666742</v>
      </c>
      <c r="BD108" s="12">
        <f>IF('Données projet'!$A$88&gt;35,BD107+BC108-BL107,IF(A108&lt;'Données projet'!$A$88,$BA$205^A108,IF(A108='Données projet'!$A$88,'Données projet'!$B$88,BD107+BC108-BL107)))</f>
        <v>130.52333333333354</v>
      </c>
      <c r="BE108" s="13">
        <f>BD108*VLOOKUP('Données projet'!$B$11,Paramètres!$A$1:$I$89,3,0)*VLOOKUP('Données projet'!$B$11,Paramètres!$A$1:$I$89,5,0)</f>
        <v>109.9528560000002</v>
      </c>
      <c r="BF108" s="13">
        <f t="shared" si="91"/>
        <v>29.319876801345931</v>
      </c>
      <c r="BG108" s="20">
        <f t="shared" si="61"/>
        <v>242.56667629567787</v>
      </c>
      <c r="BH108" s="59">
        <f t="shared" si="62"/>
        <v>521.30530437654966</v>
      </c>
      <c r="BI108" s="59">
        <f ca="1">AVERAGE(OFFSET($BH$3,0,0,'Données projet'!$E$11+1,1))-AVERAGE(OFFSET($H$3,0,0,'Données projet'!$E$11+1,1))</f>
        <v>458.88102603650725</v>
      </c>
      <c r="BJ108" s="59">
        <f t="shared" si="92"/>
        <v>277.79020316059552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212.46868621251767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212.46868621251767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9.7110000000000021</v>
      </c>
      <c r="BY108" s="12">
        <f>IF('Données projet'!$A$114&gt;35,BY107+BX108-CG107,IF(A108&lt;'Données projet'!$A$114,$BV$205^A108,IF(A108='Données projet'!$A$114,'Données projet'!$B$114,BY107+BX108-CG107)))</f>
        <v>460.12600000000026</v>
      </c>
      <c r="BZ108" s="13">
        <f>BY108*VLOOKUP('Données projet'!$B$12,Paramètres!$A$1:$I$89,3,0)*VLOOKUP('Données projet'!$B$12,Paramètres!$A$1:$I$89,5,0)</f>
        <v>437.85590160000027</v>
      </c>
      <c r="CA108" s="13">
        <f t="shared" si="93"/>
        <v>99.410514151645486</v>
      </c>
      <c r="CB108" s="20">
        <f t="shared" si="64"/>
        <v>935.73900743411639</v>
      </c>
      <c r="CC108" s="59">
        <f t="shared" si="65"/>
        <v>1214.4776355149882</v>
      </c>
      <c r="CD108" s="59">
        <f ca="1">AVERAGE(OFFSET($CC$3,0,0,'Données projet'!$E$12+1,1))-AVERAGE(OFFSET($H$3,0,0,'Données projet'!$E$12+1,1))</f>
        <v>592.58528888957346</v>
      </c>
      <c r="CE108" s="59">
        <f t="shared" si="94"/>
        <v>311.31528017256846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118.27834583683013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118.27834583683013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0.8600000000003547</v>
      </c>
      <c r="CU108" s="17">
        <f>CT108*VLOOKUP('Données projet'!$B$13,Paramètres!$A$1:$I$89,3,0)*VLOOKUP('Données projet'!$B$13,Paramètres!$A$1:$I$89,5,0)</f>
        <v>0.48074000000019829</v>
      </c>
      <c r="CV108" s="13">
        <f t="shared" si="95"/>
        <v>0.24126147010950588</v>
      </c>
      <c r="CW108" s="20">
        <f t="shared" si="67"/>
        <v>1.2574858937744013</v>
      </c>
      <c r="CX108" s="59">
        <f t="shared" si="68"/>
        <v>279.99611397464616</v>
      </c>
      <c r="CY108" s="59">
        <f ca="1">AVERAGE(OFFSET($CX$3,0,0,'Données projet'!$E$13+1,1))-AVERAGE(OFFSET($H$3,0,0,'Données projet'!$E$13+1,1))</f>
        <v>420.4890915162182</v>
      </c>
      <c r="CZ108" s="59">
        <f t="shared" si="96"/>
        <v>553.48432338023565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138.11939278434875</v>
      </c>
      <c r="DG108" s="21">
        <f>EXP(-LN(2)/25)*DG107+(1-EXP(-LN(2)/25))/(LN(2)/25)*Calculateur!DB108*Calculateur!DD108*VLOOKUP('Données projet'!$B$13,Paramètres!$A$1:$I$89,3,0)*0.475*44/12</f>
        <v>6.3214089425190139</v>
      </c>
      <c r="DH108" s="21">
        <f>EXP(-LN(2)/2)*DH107+(1-EXP(-LN(2)/2))/(LN(2)/2)*DB108*DE108*VLOOKUP('Données projet'!$B$13,Paramètres!$A$1:$I$89,3,0)*0.475*44/12</f>
        <v>3.8068015684217416E-12</v>
      </c>
      <c r="DI108" s="22">
        <f t="shared" si="69"/>
        <v>144.44080172687157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9.7110000000000021</v>
      </c>
      <c r="DO108" s="12">
        <f>IF('Données projet'!$A$166&gt;35,DO107+DN108-DW107,IF(A108&lt;'Données projet'!$A$166,$DL$205^A108,IF(A108='Données projet'!$A$166,'Données projet'!$B$166,DO107+DN108-DW107)))</f>
        <v>460.12600000000026</v>
      </c>
      <c r="DP108" s="17">
        <f>DO108*VLOOKUP('Données projet'!$B$14,Paramètres!$A$1:$I$89,3,0)*VLOOKUP('Données projet'!$B$14,Paramètres!$A$1:$I$89,5,0)</f>
        <v>495.27962640000027</v>
      </c>
      <c r="DQ108" s="13">
        <f t="shared" si="97"/>
        <v>110.84648713695644</v>
      </c>
      <c r="DR108" s="20">
        <f t="shared" si="70"/>
        <v>1055.669647743533</v>
      </c>
      <c r="DS108" s="59">
        <f t="shared" si="71"/>
        <v>1334.4082758244049</v>
      </c>
      <c r="DT108" s="59">
        <f ca="1">AVERAGE(OFFSET($DS$3,0,0,'Données projet'!$E$14+1,1))-AVERAGE(OFFSET($H$3,0,0,'Données projet'!$E$14+1,1))</f>
        <v>659.55755908012691</v>
      </c>
      <c r="DU108" s="59">
        <f t="shared" si="98"/>
        <v>343.96647464823627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133.79026004493889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133.79026004493889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9.7110000000000021</v>
      </c>
      <c r="EJ108" s="12">
        <f>IF('Données projet'!$A$192&gt;35,EJ107+EI108-ER107,IF(A108&lt;'Données projet'!$A$192,$EG$205^A108,IF(A108='Données projet'!$A$192,'Données projet'!$B$192,EJ107+EI108-ER107)))</f>
        <v>460.12600000000026</v>
      </c>
      <c r="EK108" s="17">
        <f>EJ108*VLOOKUP('Données projet'!$B$15,Paramètres!$A$1:$I$89,3,0)*VLOOKUP('Données projet'!$B$15,Paramètres!$A$1:$I$89,5,0)</f>
        <v>445.03386720000026</v>
      </c>
      <c r="EL108" s="13">
        <f t="shared" si="99"/>
        <v>100.8491343158074</v>
      </c>
      <c r="EM108" s="20">
        <f t="shared" si="73"/>
        <v>950.74622764003163</v>
      </c>
      <c r="EN108" s="59">
        <f t="shared" si="74"/>
        <v>1229.4848557209034</v>
      </c>
      <c r="EO108" s="59">
        <f ca="1">AVERAGE(OFFSET($EN$3,0,0,'Données projet'!$E$15+1,1))-AVERAGE(OFFSET($H$3,0,0,'Données projet'!$E$15+1,1))</f>
        <v>600.96600099541388</v>
      </c>
      <c r="EP108" s="59">
        <f t="shared" si="100"/>
        <v>315.40159257508969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120.21733511284373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120.21733511284373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469.83700000000027</v>
      </c>
      <c r="O109" s="13">
        <f>N109*VLOOKUP('Données projet'!$B$9,Paramètres!$A$1:$I$89,3,0)*VLOOKUP('Données projet'!$B$9,Paramètres!$A$1:$I$89,5,0)</f>
        <v>425.10851760000025</v>
      </c>
      <c r="P109" s="13">
        <f t="shared" si="87"/>
        <v>96.848855770846484</v>
      </c>
      <c r="Q109" s="20">
        <f t="shared" si="107"/>
        <v>909.07575862089141</v>
      </c>
      <c r="R109" s="59">
        <f t="shared" si="55"/>
        <v>1188.0675722090205</v>
      </c>
      <c r="S109" s="59">
        <f ca="1">AVERAGE(OFFSET($R$3,0,0,'Données projet'!$E$9+1,1))-AVERAGE(OFFSET($H$3,0,0,'Données projet'!$E$9+1,1))</f>
        <v>567.42635821336114</v>
      </c>
      <c r="T109" s="59">
        <f t="shared" si="88"/>
        <v>299.0473530693472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110.25607898070434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110.25607898070434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7.4</v>
      </c>
      <c r="AI109" s="13">
        <f>IF('Données projet'!$A$62&gt;35,AI108+AH109-AQ108,IF(A109&lt;'Données projet'!$A$62,$AF$205^A109,IF(A109='Données projet'!$A$62,'Données projet'!$B$62,AI108+AH109-AQ108)))</f>
        <v>463.40000000000032</v>
      </c>
      <c r="AJ109" s="13">
        <f>AI109*VLOOKUP('Données projet'!$B$10,Paramètres!$A$1:$I$89,3,0)*VLOOKUP('Données projet'!$B$10,Paramètres!$A$1:$I$89,5,0)</f>
        <v>397.59720000000033</v>
      </c>
      <c r="AK109" s="13">
        <f t="shared" si="89"/>
        <v>91.289363709423597</v>
      </c>
      <c r="AL109" s="20">
        <f t="shared" si="58"/>
        <v>851.4774317939133</v>
      </c>
      <c r="AM109" s="59">
        <f t="shared" si="59"/>
        <v>1130.4692453820423</v>
      </c>
      <c r="AN109" s="59">
        <f ca="1">AVERAGE(OFFSET($AM$3,0,0,'Données projet'!$E$10+1,1))-AVERAGE(OFFSET($H$3,0,0,'Données projet'!$E$10+1,1))</f>
        <v>570.05585579662738</v>
      </c>
      <c r="AO109" s="59">
        <f t="shared" si="90"/>
        <v>331.25104323342907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130.96015083173322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130.96015083173322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>
        <f>VLOOKUP(A109,'Données projet'!$A$87:$I$107,2,0)</f>
        <v>131.46</v>
      </c>
      <c r="BB109" s="12">
        <f>VLOOKUP(A109,'Données projet'!$A$87:$I$107,9,0)</f>
        <v>0.93666666666666742</v>
      </c>
      <c r="BC109" s="12">
        <f t="array" ref="BC109">INDEX(BB:BB,MIN(IF(ISNUMBER(BB109:BB305),ROW(BB109:BB305),"")))</f>
        <v>0.93666666666666742</v>
      </c>
      <c r="BD109" s="12">
        <f>IF('Données projet'!$A$88&gt;35,BD108+BC109-BL108,IF(A109&lt;'Données projet'!$A$88,$BA$205^A109,IF(A109='Données projet'!$A$88,'Données projet'!$B$88,BD108+BC109-BL108)))</f>
        <v>131.46000000000021</v>
      </c>
      <c r="BE109" s="13">
        <f>BD109*VLOOKUP('Données projet'!$B$11,Paramètres!$A$1:$I$89,3,0)*VLOOKUP('Données projet'!$B$11,Paramètres!$A$1:$I$89,5,0)</f>
        <v>110.74190400000018</v>
      </c>
      <c r="BF109" s="13">
        <f t="shared" si="91"/>
        <v>29.505714498780119</v>
      </c>
      <c r="BG109" s="20">
        <f t="shared" si="61"/>
        <v>244.26460221870903</v>
      </c>
      <c r="BH109" s="59">
        <f t="shared" si="62"/>
        <v>523.25641580683816</v>
      </c>
      <c r="BI109" s="59">
        <f ca="1">AVERAGE(OFFSET($BH$3,0,0,'Données projet'!$E$11+1,1))-AVERAGE(OFFSET($H$3,0,0,'Données projet'!$E$11+1,1))</f>
        <v>458.88102603650725</v>
      </c>
      <c r="BJ109" s="59">
        <f t="shared" si="92"/>
        <v>277.79020316059552</v>
      </c>
      <c r="BK109" s="15">
        <f>IF(ISNA(VLOOKUP(A109,'Données projet'!$A$87:$I$107,3,0)),0,VLOOKUP(A109,'Données projet'!$A$87:$I$107,3,0))</f>
        <v>13</v>
      </c>
      <c r="BL109" s="15">
        <f>IF(ISNA(VLOOKUP(A109,'Données projet'!$A$87:$I$107,4,0)),0,VLOOKUP(A109,'Données projet'!$A$87:$I$107,4,0))</f>
        <v>114.71</v>
      </c>
      <c r="BM109" s="16">
        <f>IF(ISNA(VLOOKUP(A109,'Données projet'!$A$87:$I$107,5,0)),0%,VLOOKUP(A109,'Données projet'!$A$87:$I$107,5,0)*VLOOKUP('Données projet'!$B$11,Paramètres!$A$1:$I$89,7,0))</f>
        <v>0.43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254.23640406218468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254.23640406218468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9.7110000000000021</v>
      </c>
      <c r="BY109" s="12">
        <f>IF('Données projet'!$A$114&gt;35,BY108+BX109-CG108,IF(A109&lt;'Données projet'!$A$114,$BV$205^A109,IF(A109='Données projet'!$A$114,'Données projet'!$B$114,BY108+BX109-CG108)))</f>
        <v>469.83700000000027</v>
      </c>
      <c r="BZ109" s="13">
        <f>BY109*VLOOKUP('Données projet'!$B$12,Paramètres!$A$1:$I$89,3,0)*VLOOKUP('Données projet'!$B$12,Paramètres!$A$1:$I$89,5,0)</f>
        <v>447.09688920000031</v>
      </c>
      <c r="CA109" s="13">
        <f t="shared" si="93"/>
        <v>101.26210734981998</v>
      </c>
      <c r="CB109" s="20">
        <f t="shared" si="64"/>
        <v>955.05858565760354</v>
      </c>
      <c r="CC109" s="59">
        <f t="shared" si="65"/>
        <v>1234.0503992457327</v>
      </c>
      <c r="CD109" s="59">
        <f ca="1">AVERAGE(OFFSET($CC$3,0,0,'Données projet'!$E$12+1,1))-AVERAGE(OFFSET($H$3,0,0,'Données projet'!$E$12+1,1))</f>
        <v>592.58528888957346</v>
      </c>
      <c r="CE109" s="59">
        <f t="shared" si="94"/>
        <v>311.31528017256846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115.95897961763735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115.95897961763735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0.8600000000003547</v>
      </c>
      <c r="CU109" s="17">
        <f>CT109*VLOOKUP('Données projet'!$B$13,Paramètres!$A$1:$I$89,3,0)*VLOOKUP('Données projet'!$B$13,Paramètres!$A$1:$I$89,5,0)</f>
        <v>0.48074000000019829</v>
      </c>
      <c r="CV109" s="13">
        <f t="shared" si="95"/>
        <v>0.24126147010950588</v>
      </c>
      <c r="CW109" s="20">
        <f t="shared" si="67"/>
        <v>1.2574858937744013</v>
      </c>
      <c r="CX109" s="59">
        <f t="shared" si="68"/>
        <v>280.24929948190351</v>
      </c>
      <c r="CY109" s="59">
        <f ca="1">AVERAGE(OFFSET($CX$3,0,0,'Données projet'!$E$13+1,1))-AVERAGE(OFFSET($H$3,0,0,'Données projet'!$E$13+1,1))</f>
        <v>420.4890915162182</v>
      </c>
      <c r="CZ109" s="59">
        <f t="shared" si="96"/>
        <v>553.48432338023565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135.4109557363588</v>
      </c>
      <c r="DG109" s="21">
        <f>EXP(-LN(2)/25)*DG108+(1-EXP(-LN(2)/25))/(LN(2)/25)*Calculateur!DB109*Calculateur!DD109*VLOOKUP('Données projet'!$B$13,Paramètres!$A$1:$I$89,3,0)*0.475*44/12</f>
        <v>6.1485496825573831</v>
      </c>
      <c r="DH109" s="21">
        <f>EXP(-LN(2)/2)*DH108+(1-EXP(-LN(2)/2))/(LN(2)/2)*DB109*DE109*VLOOKUP('Données projet'!$B$13,Paramètres!$A$1:$I$89,3,0)*0.475*44/12</f>
        <v>2.6918152036625984E-12</v>
      </c>
      <c r="DI109" s="22">
        <f t="shared" si="69"/>
        <v>141.55950541891889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9.7110000000000021</v>
      </c>
      <c r="DO109" s="12">
        <f>IF('Données projet'!$A$166&gt;35,DO108+DN109-DW108,IF(A109&lt;'Données projet'!$A$166,$DL$205^A109,IF(A109='Données projet'!$A$166,'Données projet'!$B$166,DO108+DN109-DW108)))</f>
        <v>469.83700000000027</v>
      </c>
      <c r="DP109" s="17">
        <f>DO109*VLOOKUP('Données projet'!$B$14,Paramètres!$A$1:$I$89,3,0)*VLOOKUP('Données projet'!$B$14,Paramètres!$A$1:$I$89,5,0)</f>
        <v>505.73254680000025</v>
      </c>
      <c r="DQ109" s="13">
        <f t="shared" si="97"/>
        <v>112.911083657514</v>
      </c>
      <c r="DR109" s="20">
        <f t="shared" si="70"/>
        <v>1077.470989713504</v>
      </c>
      <c r="DS109" s="59">
        <f t="shared" si="71"/>
        <v>1356.4628033016331</v>
      </c>
      <c r="DT109" s="59">
        <f ca="1">AVERAGE(OFFSET($DS$3,0,0,'Données projet'!$E$14+1,1))-AVERAGE(OFFSET($H$3,0,0,'Données projet'!$E$14+1,1))</f>
        <v>659.55755908012691</v>
      </c>
      <c r="DU109" s="59">
        <f t="shared" si="98"/>
        <v>343.96647464823627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131.16671464945853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131.16671464945853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9.7110000000000021</v>
      </c>
      <c r="EJ109" s="12">
        <f>IF('Données projet'!$A$192&gt;35,EJ108+EI109-ER108,IF(A109&lt;'Données projet'!$A$192,$EG$205^A109,IF(A109='Données projet'!$A$192,'Données projet'!$B$192,EJ108+EI109-ER108)))</f>
        <v>469.83700000000027</v>
      </c>
      <c r="EK109" s="17">
        <f>EJ109*VLOOKUP('Données projet'!$B$15,Paramètres!$A$1:$I$89,3,0)*VLOOKUP('Données projet'!$B$15,Paramètres!$A$1:$I$89,5,0)</f>
        <v>454.42634640000028</v>
      </c>
      <c r="EL109" s="13">
        <f t="shared" si="99"/>
        <v>102.72752286187291</v>
      </c>
      <c r="EM109" s="20">
        <f t="shared" si="73"/>
        <v>970.37632229776239</v>
      </c>
      <c r="EN109" s="59">
        <f t="shared" si="74"/>
        <v>1249.3681358858914</v>
      </c>
      <c r="EO109" s="59">
        <f ca="1">AVERAGE(OFFSET($EN$3,0,0,'Données projet'!$E$15+1,1))-AVERAGE(OFFSET($H$3,0,0,'Données projet'!$E$15+1,1))</f>
        <v>600.96600099541388</v>
      </c>
      <c r="EP109" s="59">
        <f t="shared" si="100"/>
        <v>315.40159257508969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117.85994649661501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117.85994649661501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479.54800000000029</v>
      </c>
      <c r="O110" s="13">
        <f>N110*VLOOKUP('Données projet'!$B$9,Paramètres!$A$1:$I$89,3,0)*VLOOKUP('Données projet'!$B$9,Paramètres!$A$1:$I$89,5,0)</f>
        <v>433.89503040000028</v>
      </c>
      <c r="P110" s="13">
        <f t="shared" si="87"/>
        <v>98.615496264061846</v>
      </c>
      <c r="Q110" s="20">
        <f t="shared" si="107"/>
        <v>927.45583393990819</v>
      </c>
      <c r="R110" s="59">
        <f t="shared" si="55"/>
        <v>1206.6964408327817</v>
      </c>
      <c r="S110" s="59">
        <f ca="1">AVERAGE(OFFSET($R$3,0,0,'Données projet'!$E$9+1,1))-AVERAGE(OFFSET($H$3,0,0,'Données projet'!$E$9+1,1))</f>
        <v>567.42635821336114</v>
      </c>
      <c r="T110" s="59">
        <f t="shared" si="88"/>
        <v>299.0473530693472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108.09402452146057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108.09402452146057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7.4</v>
      </c>
      <c r="AI110" s="13">
        <f>IF('Données projet'!$A$62&gt;35,AI109+AH110-AQ109,IF(A110&lt;'Données projet'!$A$62,$AF$205^A110,IF(A110='Données projet'!$A$62,'Données projet'!$B$62,AI109+AH110-AQ109)))</f>
        <v>470.8000000000003</v>
      </c>
      <c r="AJ110" s="13">
        <f>AI110*VLOOKUP('Données projet'!$B$10,Paramètres!$A$1:$I$89,3,0)*VLOOKUP('Données projet'!$B$10,Paramètres!$A$1:$I$89,5,0)</f>
        <v>403.94640000000027</v>
      </c>
      <c r="AK110" s="13">
        <f t="shared" si="89"/>
        <v>92.5762795333208</v>
      </c>
      <c r="AL110" s="20">
        <f t="shared" si="58"/>
        <v>864.77700018720088</v>
      </c>
      <c r="AM110" s="59">
        <f t="shared" si="59"/>
        <v>1144.0176070800744</v>
      </c>
      <c r="AN110" s="59">
        <f ca="1">AVERAGE(OFFSET($AM$3,0,0,'Données projet'!$E$10+1,1))-AVERAGE(OFFSET($H$3,0,0,'Données projet'!$E$10+1,1))</f>
        <v>570.05585579662738</v>
      </c>
      <c r="AO110" s="59">
        <f t="shared" si="90"/>
        <v>331.25104323342907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128.39210215172767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128.39210215172767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16.750000000000213</v>
      </c>
      <c r="BE110" s="13">
        <f>BD110*VLOOKUP('Données projet'!$B$11,Paramètres!$A$1:$I$89,3,0)*VLOOKUP('Données projet'!$B$11,Paramètres!$A$1:$I$89,5,0)</f>
        <v>14.11020000000018</v>
      </c>
      <c r="BF110" s="13">
        <f t="shared" si="91"/>
        <v>4.7783677814795205</v>
      </c>
      <c r="BG110" s="20">
        <f t="shared" si="61"/>
        <v>32.897588886077138</v>
      </c>
      <c r="BH110" s="59">
        <f t="shared" si="62"/>
        <v>312.13819577895077</v>
      </c>
      <c r="BI110" s="59">
        <f ca="1">AVERAGE(OFFSET($BH$3,0,0,'Données projet'!$E$11+1,1))-AVERAGE(OFFSET($H$3,0,0,'Données projet'!$E$11+1,1))</f>
        <v>458.88102603650725</v>
      </c>
      <c r="BJ110" s="59">
        <f t="shared" si="92"/>
        <v>277.79020316059552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249.25098324741992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249.25098324741992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9.7110000000000021</v>
      </c>
      <c r="BY110" s="12">
        <f>IF('Données projet'!$A$114&gt;35,BY109+BX110-CG109,IF(A110&lt;'Données projet'!$A$114,$BV$205^A110,IF(A110='Données projet'!$A$114,'Données projet'!$B$114,BY109+BX110-CG109)))</f>
        <v>479.54800000000029</v>
      </c>
      <c r="BZ110" s="13">
        <f>BY110*VLOOKUP('Données projet'!$B$12,Paramètres!$A$1:$I$89,3,0)*VLOOKUP('Données projet'!$B$12,Paramètres!$A$1:$I$89,5,0)</f>
        <v>456.33787680000023</v>
      </c>
      <c r="CA110" s="13">
        <f t="shared" si="93"/>
        <v>103.10925089992845</v>
      </c>
      <c r="CB110" s="20">
        <f t="shared" si="64"/>
        <v>974.37041407737581</v>
      </c>
      <c r="CC110" s="59">
        <f t="shared" si="65"/>
        <v>1253.6110209702495</v>
      </c>
      <c r="CD110" s="59">
        <f ca="1">AVERAGE(OFFSET($CC$3,0,0,'Données projet'!$E$12+1,1))-AVERAGE(OFFSET($H$3,0,0,'Données projet'!$E$12+1,1))</f>
        <v>592.58528888957346</v>
      </c>
      <c r="CE110" s="59">
        <f t="shared" si="94"/>
        <v>311.31528017256846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113.68509475532925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113.68509475532925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0.8600000000003547</v>
      </c>
      <c r="CU110" s="17">
        <f>CT110*VLOOKUP('Données projet'!$B$13,Paramètres!$A$1:$I$89,3,0)*VLOOKUP('Données projet'!$B$13,Paramètres!$A$1:$I$89,5,0)</f>
        <v>0.48074000000019829</v>
      </c>
      <c r="CV110" s="13">
        <f t="shared" si="95"/>
        <v>0.24126147010950588</v>
      </c>
      <c r="CW110" s="20">
        <f t="shared" si="67"/>
        <v>1.2574858937744013</v>
      </c>
      <c r="CX110" s="59">
        <f t="shared" si="68"/>
        <v>280.49809278664804</v>
      </c>
      <c r="CY110" s="59">
        <f ca="1">AVERAGE(OFFSET($CX$3,0,0,'Données projet'!$E$13+1,1))-AVERAGE(OFFSET($H$3,0,0,'Données projet'!$E$13+1,1))</f>
        <v>420.4890915162182</v>
      </c>
      <c r="CZ110" s="59">
        <f t="shared" si="96"/>
        <v>553.48432338023565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132.75562948689648</v>
      </c>
      <c r="DG110" s="21">
        <f>EXP(-LN(2)/25)*DG109+(1-EXP(-LN(2)/25))/(LN(2)/25)*Calculateur!DB110*Calculateur!DD110*VLOOKUP('Données projet'!$B$13,Paramètres!$A$1:$I$89,3,0)*0.475*44/12</f>
        <v>5.9804172681496768</v>
      </c>
      <c r="DH110" s="21">
        <f>EXP(-LN(2)/2)*DH109+(1-EXP(-LN(2)/2))/(LN(2)/2)*DB110*DE110*VLOOKUP('Données projet'!$B$13,Paramètres!$A$1:$I$89,3,0)*0.475*44/12</f>
        <v>1.9034007842108708E-12</v>
      </c>
      <c r="DI110" s="22">
        <f t="shared" si="69"/>
        <v>138.73604675504805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9.7110000000000021</v>
      </c>
      <c r="DO110" s="12">
        <f>IF('Données projet'!$A$166&gt;35,DO109+DN110-DW109,IF(A110&lt;'Données projet'!$A$166,$DL$205^A110,IF(A110='Données projet'!$A$166,'Données projet'!$B$166,DO109+DN110-DW109)))</f>
        <v>479.54800000000029</v>
      </c>
      <c r="DP110" s="17">
        <f>DO110*VLOOKUP('Données projet'!$B$14,Paramètres!$A$1:$I$89,3,0)*VLOOKUP('Données projet'!$B$14,Paramètres!$A$1:$I$89,5,0)</f>
        <v>516.18546720000029</v>
      </c>
      <c r="DQ110" s="13">
        <f t="shared" si="97"/>
        <v>114.9707186520065</v>
      </c>
      <c r="DR110" s="20">
        <f t="shared" si="70"/>
        <v>1099.2636903589116</v>
      </c>
      <c r="DS110" s="59">
        <f t="shared" si="71"/>
        <v>1378.5042972517854</v>
      </c>
      <c r="DT110" s="59">
        <f ca="1">AVERAGE(OFFSET($DS$3,0,0,'Données projet'!$E$14+1,1))-AVERAGE(OFFSET($H$3,0,0,'Données projet'!$E$14+1,1))</f>
        <v>659.55755908012691</v>
      </c>
      <c r="DU110" s="59">
        <f t="shared" si="98"/>
        <v>343.96647464823627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128.59461537897886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128.59461537897886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9.7110000000000021</v>
      </c>
      <c r="EJ110" s="12">
        <f>IF('Données projet'!$A$192&gt;35,EJ109+EI110-ER109,IF(A110&lt;'Données projet'!$A$192,$EG$205^A110,IF(A110='Données projet'!$A$192,'Données projet'!$B$192,EJ109+EI110-ER109)))</f>
        <v>479.54800000000029</v>
      </c>
      <c r="EK110" s="17">
        <f>EJ110*VLOOKUP('Données projet'!$B$15,Paramètres!$A$1:$I$89,3,0)*VLOOKUP('Données projet'!$B$15,Paramètres!$A$1:$I$89,5,0)</f>
        <v>463.81882560000031</v>
      </c>
      <c r="EL110" s="13">
        <f t="shared" si="99"/>
        <v>104.60139736674985</v>
      </c>
      <c r="EM110" s="20">
        <f t="shared" si="73"/>
        <v>989.99855500042315</v>
      </c>
      <c r="EN110" s="59">
        <f t="shared" si="74"/>
        <v>1269.2391618932968</v>
      </c>
      <c r="EO110" s="59">
        <f ca="1">AVERAGE(OFFSET($EN$3,0,0,'Données projet'!$E$15+1,1))-AVERAGE(OFFSET($H$3,0,0,'Données projet'!$E$15+1,1))</f>
        <v>600.96600099541388</v>
      </c>
      <c r="EP110" s="59">
        <f t="shared" si="100"/>
        <v>315.40159257508969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115.54878483328545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115.54878483328545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489.2590000000003</v>
      </c>
      <c r="O111" s="13">
        <f>N111*VLOOKUP('Données projet'!$B$9,Paramètres!$A$1:$I$89,3,0)*VLOOKUP('Données projet'!$B$9,Paramètres!$A$1:$I$89,5,0)</f>
        <v>442.68154320000025</v>
      </c>
      <c r="P111" s="13">
        <f t="shared" si="87"/>
        <v>100.37797714680627</v>
      </c>
      <c r="Q111" s="20">
        <f t="shared" si="107"/>
        <v>945.82866460402113</v>
      </c>
      <c r="R111" s="59">
        <f t="shared" si="55"/>
        <v>1225.3137487940205</v>
      </c>
      <c r="S111" s="59">
        <f ca="1">AVERAGE(OFFSET($R$3,0,0,'Données projet'!$E$9+1,1))-AVERAGE(OFFSET($H$3,0,0,'Données projet'!$E$9+1,1))</f>
        <v>567.42635821336114</v>
      </c>
      <c r="T111" s="59">
        <f t="shared" si="88"/>
        <v>299.0473530693472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105.97436663143955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105.97436663143955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7.4</v>
      </c>
      <c r="AI111" s="13">
        <f>IF('Données projet'!$A$62&gt;35,AI110+AH111-AQ110,IF(A111&lt;'Données projet'!$A$62,$AF$205^A111,IF(A111='Données projet'!$A$62,'Données projet'!$B$62,AI110+AH111-AQ110)))</f>
        <v>478.20000000000027</v>
      </c>
      <c r="AJ111" s="13">
        <f>AI111*VLOOKUP('Données projet'!$B$10,Paramètres!$A$1:$I$89,3,0)*VLOOKUP('Données projet'!$B$10,Paramètres!$A$1:$I$89,5,0)</f>
        <v>410.29560000000026</v>
      </c>
      <c r="AK111" s="13">
        <f t="shared" si="89"/>
        <v>93.860842909017194</v>
      </c>
      <c r="AL111" s="20">
        <f t="shared" si="58"/>
        <v>878.07247139987203</v>
      </c>
      <c r="AM111" s="59">
        <f t="shared" si="59"/>
        <v>1157.5575555898713</v>
      </c>
      <c r="AN111" s="59">
        <f ca="1">AVERAGE(OFFSET($AM$3,0,0,'Données projet'!$E$10+1,1))-AVERAGE(OFFSET($H$3,0,0,'Données projet'!$E$10+1,1))</f>
        <v>570.05585579662738</v>
      </c>
      <c r="AO111" s="59">
        <f t="shared" si="90"/>
        <v>331.25104323342907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125.87441133998199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125.87441133998199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16.750000000000213</v>
      </c>
      <c r="BE111" s="13">
        <f>BD111*VLOOKUP('Données projet'!$B$11,Paramètres!$A$1:$I$89,3,0)*VLOOKUP('Données projet'!$B$11,Paramètres!$A$1:$I$89,5,0)</f>
        <v>14.11020000000018</v>
      </c>
      <c r="BF111" s="13">
        <f t="shared" si="91"/>
        <v>4.7783677814795205</v>
      </c>
      <c r="BG111" s="20">
        <f t="shared" si="61"/>
        <v>32.897588886077138</v>
      </c>
      <c r="BH111" s="59">
        <f t="shared" si="62"/>
        <v>312.38267307607646</v>
      </c>
      <c r="BI111" s="59">
        <f ca="1">AVERAGE(OFFSET($BH$3,0,0,'Données projet'!$E$11+1,1))-AVERAGE(OFFSET($H$3,0,0,'Données projet'!$E$11+1,1))</f>
        <v>458.88102603650725</v>
      </c>
      <c r="BJ111" s="59">
        <f t="shared" si="92"/>
        <v>277.79020316059552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244.36332349402628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244.36332349402628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9.7110000000000021</v>
      </c>
      <c r="BY111" s="12">
        <f>IF('Données projet'!$A$114&gt;35,BY110+BX111-CG110,IF(A111&lt;'Données projet'!$A$114,$BV$205^A111,IF(A111='Données projet'!$A$114,'Données projet'!$B$114,BY110+BX111-CG110)))</f>
        <v>489.2590000000003</v>
      </c>
      <c r="BZ111" s="13">
        <f>BY111*VLOOKUP('Données projet'!$B$12,Paramètres!$A$1:$I$89,3,0)*VLOOKUP('Données projet'!$B$12,Paramètres!$A$1:$I$89,5,0)</f>
        <v>465.57886440000027</v>
      </c>
      <c r="CA111" s="13">
        <f t="shared" si="93"/>
        <v>104.95204529259286</v>
      </c>
      <c r="CB111" s="20">
        <f t="shared" si="64"/>
        <v>993.67466771459976</v>
      </c>
      <c r="CC111" s="59">
        <f t="shared" si="65"/>
        <v>1273.159751904599</v>
      </c>
      <c r="CD111" s="59">
        <f ca="1">AVERAGE(OFFSET($CC$3,0,0,'Données projet'!$E$12+1,1))-AVERAGE(OFFSET($H$3,0,0,'Données projet'!$E$12+1,1))</f>
        <v>592.58528888957346</v>
      </c>
      <c r="CE111" s="59">
        <f t="shared" si="94"/>
        <v>311.31528017256846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111.45579938823818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111.45579938823818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0.8600000000003547</v>
      </c>
      <c r="CU111" s="17">
        <f>CT111*VLOOKUP('Données projet'!$B$13,Paramètres!$A$1:$I$89,3,0)*VLOOKUP('Données projet'!$B$13,Paramètres!$A$1:$I$89,5,0)</f>
        <v>0.48074000000019829</v>
      </c>
      <c r="CV111" s="13">
        <f t="shared" si="95"/>
        <v>0.24126147010950588</v>
      </c>
      <c r="CW111" s="20">
        <f t="shared" si="67"/>
        <v>1.2574858937744013</v>
      </c>
      <c r="CX111" s="59">
        <f t="shared" si="68"/>
        <v>280.74257008377373</v>
      </c>
      <c r="CY111" s="59">
        <f ca="1">AVERAGE(OFFSET($CX$3,0,0,'Données projet'!$E$13+1,1))-AVERAGE(OFFSET($H$3,0,0,'Données projet'!$E$13+1,1))</f>
        <v>420.4890915162182</v>
      </c>
      <c r="CZ111" s="59">
        <f t="shared" si="96"/>
        <v>553.48432338023565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130.15237256559701</v>
      </c>
      <c r="DG111" s="21">
        <f>EXP(-LN(2)/25)*DG110+(1-EXP(-LN(2)/25))/(LN(2)/25)*Calculateur!DB111*Calculateur!DD111*VLOOKUP('Données projet'!$B$13,Paramètres!$A$1:$I$89,3,0)*0.475*44/12</f>
        <v>5.8168824434556479</v>
      </c>
      <c r="DH111" s="21">
        <f>EXP(-LN(2)/2)*DH110+(1-EXP(-LN(2)/2))/(LN(2)/2)*DB111*DE111*VLOOKUP('Données projet'!$B$13,Paramètres!$A$1:$I$89,3,0)*0.475*44/12</f>
        <v>1.3459076018312992E-12</v>
      </c>
      <c r="DI111" s="22">
        <f t="shared" si="69"/>
        <v>135.969255009054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9.7110000000000021</v>
      </c>
      <c r="DO111" s="12">
        <f>IF('Données projet'!$A$166&gt;35,DO110+DN111-DW110,IF(A111&lt;'Données projet'!$A$166,$DL$205^A111,IF(A111='Données projet'!$A$166,'Données projet'!$B$166,DO110+DN111-DW110)))</f>
        <v>489.2590000000003</v>
      </c>
      <c r="DP111" s="17">
        <f>DO111*VLOOKUP('Données projet'!$B$14,Paramètres!$A$1:$I$89,3,0)*VLOOKUP('Données projet'!$B$14,Paramètres!$A$1:$I$89,5,0)</f>
        <v>526.63838760000021</v>
      </c>
      <c r="DQ111" s="13">
        <f t="shared" si="97"/>
        <v>117.02550417128187</v>
      </c>
      <c r="DR111" s="20">
        <f t="shared" si="70"/>
        <v>1121.0479448349831</v>
      </c>
      <c r="DS111" s="59">
        <f t="shared" si="71"/>
        <v>1400.5330290249824</v>
      </c>
      <c r="DT111" s="59">
        <f ca="1">AVERAGE(OFFSET($DS$3,0,0,'Données projet'!$E$14+1,1))-AVERAGE(OFFSET($H$3,0,0,'Données projet'!$E$14+1,1))</f>
        <v>659.55755908012691</v>
      </c>
      <c r="DU111" s="59">
        <f t="shared" si="98"/>
        <v>343.96647464823627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126.07295340636766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126.07295340636766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9.7110000000000021</v>
      </c>
      <c r="EJ111" s="12">
        <f>IF('Données projet'!$A$192&gt;35,EJ110+EI111-ER110,IF(A111&lt;'Données projet'!$A$192,$EG$205^A111,IF(A111='Données projet'!$A$192,'Données projet'!$B$192,EJ110+EI111-ER110)))</f>
        <v>489.2590000000003</v>
      </c>
      <c r="EK111" s="17">
        <f>EJ111*VLOOKUP('Données projet'!$B$15,Paramètres!$A$1:$I$89,3,0)*VLOOKUP('Données projet'!$B$15,Paramètres!$A$1:$I$89,5,0)</f>
        <v>473.21130480000028</v>
      </c>
      <c r="EL111" s="13">
        <f t="shared" si="99"/>
        <v>106.47085977531083</v>
      </c>
      <c r="EM111" s="20">
        <f t="shared" si="73"/>
        <v>1009.6131033020002</v>
      </c>
      <c r="EN111" s="59">
        <f t="shared" si="74"/>
        <v>1289.0981874919996</v>
      </c>
      <c r="EO111" s="59">
        <f ca="1">AVERAGE(OFFSET($EN$3,0,0,'Données projet'!$E$15+1,1))-AVERAGE(OFFSET($H$3,0,0,'Données projet'!$E$15+1,1))</f>
        <v>600.96600099541388</v>
      </c>
      <c r="EP111" s="59">
        <f t="shared" si="100"/>
        <v>315.40159257508969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113.28294364050437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113.28294364050437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498.97000000000031</v>
      </c>
      <c r="O112" s="13">
        <f>N112*VLOOKUP('Données projet'!$B$9,Paramètres!$A$1:$I$89,3,0)*VLOOKUP('Données projet'!$B$9,Paramètres!$A$1:$I$89,5,0)</f>
        <v>451.46805600000027</v>
      </c>
      <c r="P112" s="13">
        <f t="shared" si="87"/>
        <v>102.13639049659334</v>
      </c>
      <c r="Q112" s="20">
        <f t="shared" si="107"/>
        <v>964.1944109815671</v>
      </c>
      <c r="R112" s="59">
        <f t="shared" si="55"/>
        <v>1243.9197313341565</v>
      </c>
      <c r="S112" s="59">
        <f ca="1">AVERAGE(OFFSET($R$3,0,0,'Données projet'!$E$9+1,1))-AVERAGE(OFFSET($H$3,0,0,'Données projet'!$E$9+1,1))</f>
        <v>567.42635821336114</v>
      </c>
      <c r="T112" s="59">
        <f t="shared" si="88"/>
        <v>299.0473530693472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132.69568474942321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132.69568474942321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7.4</v>
      </c>
      <c r="AI112" s="13">
        <f>IF('Données projet'!$A$62&gt;35,AI111+AH112-AQ111,IF(A112&lt;'Données projet'!$A$62,$AF$205^A112,IF(A112='Données projet'!$A$62,'Données projet'!$B$62,AI111+AH112-AQ111)))</f>
        <v>485.60000000000025</v>
      </c>
      <c r="AJ112" s="13">
        <f>AI112*VLOOKUP('Données projet'!$B$10,Paramètres!$A$1:$I$89,3,0)*VLOOKUP('Données projet'!$B$10,Paramètres!$A$1:$I$89,5,0)</f>
        <v>416.64480000000026</v>
      </c>
      <c r="AK112" s="13">
        <f t="shared" si="89"/>
        <v>95.143094443977446</v>
      </c>
      <c r="AL112" s="20">
        <f t="shared" si="58"/>
        <v>891.36391615659443</v>
      </c>
      <c r="AM112" s="59">
        <f t="shared" si="59"/>
        <v>1171.0892365091836</v>
      </c>
      <c r="AN112" s="59">
        <f ca="1">AVERAGE(OFFSET($AM$3,0,0,'Données projet'!$E$10+1,1))-AVERAGE(OFFSET($H$3,0,0,'Données projet'!$E$10+1,1))</f>
        <v>570.05585579662738</v>
      </c>
      <c r="AO112" s="59">
        <f t="shared" si="90"/>
        <v>331.25104323342907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123.40609090941489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123.40609090941489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16.750000000000213</v>
      </c>
      <c r="BE112" s="13">
        <f>BD112*VLOOKUP('Données projet'!$B$11,Paramètres!$A$1:$I$89,3,0)*VLOOKUP('Données projet'!$B$11,Paramètres!$A$1:$I$89,5,0)</f>
        <v>14.11020000000018</v>
      </c>
      <c r="BF112" s="13">
        <f t="shared" si="91"/>
        <v>4.7783677814795205</v>
      </c>
      <c r="BG112" s="20">
        <f t="shared" si="61"/>
        <v>32.897588886077138</v>
      </c>
      <c r="BH112" s="59">
        <f t="shared" si="62"/>
        <v>312.62290923866641</v>
      </c>
      <c r="BI112" s="59">
        <f ca="1">AVERAGE(OFFSET($BH$3,0,0,'Données projet'!$E$11+1,1))-AVERAGE(OFFSET($H$3,0,0,'Données projet'!$E$11+1,1))</f>
        <v>458.88102603650725</v>
      </c>
      <c r="BJ112" s="59">
        <f t="shared" si="92"/>
        <v>277.79020316059552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239.57150776721861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239.57150776721861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498.97</v>
      </c>
      <c r="BW112" s="12">
        <f>VLOOKUP(A112,'Données projet'!$A$113:$I$133,9,0)</f>
        <v>9.7110000000000021</v>
      </c>
      <c r="BX112" s="12">
        <f t="array" ref="BX112">INDEX(BW:BW,MIN(IF(ISNUMBER(BW112:BW308),ROW(BW112:BW308),"")))</f>
        <v>9.7110000000000021</v>
      </c>
      <c r="BY112" s="12">
        <f>IF('Données projet'!$A$114&gt;35,BY111+BX112-CG111,IF(A112&lt;'Données projet'!$A$114,$BV$205^A112,IF(A112='Données projet'!$A$114,'Données projet'!$B$114,BY111+BX112-CG111)))</f>
        <v>498.97000000000031</v>
      </c>
      <c r="BZ112" s="13">
        <f>BY112*VLOOKUP('Données projet'!$B$12,Paramètres!$A$1:$I$89,3,0)*VLOOKUP('Données projet'!$B$12,Paramètres!$A$1:$I$89,5,0)</f>
        <v>474.81985200000031</v>
      </c>
      <c r="CA112" s="13">
        <f t="shared" si="93"/>
        <v>106.79058680115537</v>
      </c>
      <c r="CB112" s="20">
        <f t="shared" si="64"/>
        <v>1012.971514245346</v>
      </c>
      <c r="CC112" s="59">
        <f t="shared" si="65"/>
        <v>1292.6968345979353</v>
      </c>
      <c r="CD112" s="59">
        <f ca="1">AVERAGE(OFFSET($CC$3,0,0,'Données projet'!$E$12+1,1))-AVERAGE(OFFSET($H$3,0,0,'Données projet'!$E$12+1,1))</f>
        <v>592.58528888957346</v>
      </c>
      <c r="CE112" s="59">
        <f t="shared" si="94"/>
        <v>311.31528017256846</v>
      </c>
      <c r="CF112" s="15">
        <f>IF(ISNA(VLOOKUP(A112,'Données projet'!$A$113:$I$133,3,0)),0,VLOOKUP(A112,'Données projet'!$A$113:$I$133,3,0))</f>
        <v>10</v>
      </c>
      <c r="CG112" s="15">
        <f>IF(ISNA(VLOOKUP(A112,'Données projet'!$A$113:$I$133,4,0)),0,VLOOKUP(A112,'Données projet'!$A$113:$I$133,4,0))</f>
        <v>66.959999999999994</v>
      </c>
      <c r="CH112" s="16">
        <f>IF(ISNA(VLOOKUP(A112,'Données projet'!$A$113:$I$133,5,0)),0%,VLOOKUP(A112,'Données projet'!$A$113:$I$133,5,0)*VLOOKUP('Données projet'!$B$12,Paramètres!$A$1:$I$89,7,0))</f>
        <v>0.43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139.55925465025547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139.55925465025547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0.8600000000003547</v>
      </c>
      <c r="CU112" s="17">
        <f>CT112*VLOOKUP('Données projet'!$B$13,Paramètres!$A$1:$I$89,3,0)*VLOOKUP('Données projet'!$B$13,Paramètres!$A$1:$I$89,5,0)</f>
        <v>0.48074000000019829</v>
      </c>
      <c r="CV112" s="13">
        <f t="shared" si="95"/>
        <v>0.24126147010950588</v>
      </c>
      <c r="CW112" s="20">
        <f t="shared" si="67"/>
        <v>1.2574858937744013</v>
      </c>
      <c r="CX112" s="59">
        <f t="shared" si="68"/>
        <v>280.98280624636368</v>
      </c>
      <c r="CY112" s="59">
        <f ca="1">AVERAGE(OFFSET($CX$3,0,0,'Données projet'!$E$13+1,1))-AVERAGE(OFFSET($H$3,0,0,'Données projet'!$E$13+1,1))</f>
        <v>420.4890915162182</v>
      </c>
      <c r="CZ112" s="59">
        <f t="shared" si="96"/>
        <v>553.48432338023565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127.60016392469429</v>
      </c>
      <c r="DG112" s="21">
        <f>EXP(-LN(2)/25)*DG111+(1-EXP(-LN(2)/25))/(LN(2)/25)*Calculateur!DB112*Calculateur!DD112*VLOOKUP('Données projet'!$B$13,Paramètres!$A$1:$I$89,3,0)*0.475*44/12</f>
        <v>5.6578194871427998</v>
      </c>
      <c r="DH112" s="21">
        <f>EXP(-LN(2)/2)*DH111+(1-EXP(-LN(2)/2))/(LN(2)/2)*DB112*DE112*VLOOKUP('Données projet'!$B$13,Paramètres!$A$1:$I$89,3,0)*0.475*44/12</f>
        <v>9.5170039210543539E-13</v>
      </c>
      <c r="DI112" s="22">
        <f t="shared" si="69"/>
        <v>133.25798341183801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>
        <f>VLOOKUP(A112,'Données projet'!$A$165:$I$185,2,0)</f>
        <v>498.97</v>
      </c>
      <c r="DM112" s="12">
        <f>VLOOKUP(A112,'Données projet'!$A$165:$I$185,9,0)</f>
        <v>9.7110000000000021</v>
      </c>
      <c r="DN112" s="12">
        <f t="array" ref="DN112">INDEX(DM:DM,MIN(IF(ISNUMBER(DM112:DM308),ROW(DM112:DM308),"")))</f>
        <v>9.7110000000000021</v>
      </c>
      <c r="DO112" s="12">
        <f>IF('Données projet'!$A$166&gt;35,DO111+DN112-DW111,IF(A112&lt;'Données projet'!$A$166,$DL$205^A112,IF(A112='Données projet'!$A$166,'Données projet'!$B$166,DO111+DN112-DW111)))</f>
        <v>498.97000000000031</v>
      </c>
      <c r="DP112" s="17">
        <f>DO112*VLOOKUP('Données projet'!$B$14,Paramètres!$A$1:$I$89,3,0)*VLOOKUP('Données projet'!$B$14,Paramètres!$A$1:$I$89,5,0)</f>
        <v>537.09130800000037</v>
      </c>
      <c r="DQ112" s="13">
        <f t="shared" si="97"/>
        <v>119.07554756376211</v>
      </c>
      <c r="DR112" s="20">
        <f t="shared" si="70"/>
        <v>1142.8239401068863</v>
      </c>
      <c r="DS112" s="59">
        <f t="shared" si="71"/>
        <v>1422.5492604594756</v>
      </c>
      <c r="DT112" s="59">
        <f ca="1">AVERAGE(OFFSET($DS$3,0,0,'Données projet'!$E$14+1,1))-AVERAGE(OFFSET($H$3,0,0,'Données projet'!$E$14+1,1))</f>
        <v>659.55755908012691</v>
      </c>
      <c r="DU112" s="59">
        <f t="shared" si="98"/>
        <v>343.96647464823627</v>
      </c>
      <c r="DV112" s="15">
        <f>IF(ISNA(VLOOKUP(A112,'Données projet'!$A$165:$I$185,3,0)),0,VLOOKUP(A112,'Données projet'!$A$165:$I$185,3,0))</f>
        <v>10</v>
      </c>
      <c r="DW112" s="15">
        <f>IF(ISNA(VLOOKUP(A112,'Données projet'!$A$165:$I$185,4,0)),0,VLOOKUP(A112,'Données projet'!$A$165:$I$185,4,0))</f>
        <v>66.959999999999994</v>
      </c>
      <c r="DX112" s="16">
        <f>IF(ISNA(VLOOKUP(A112,'Données projet'!$A$165:$I$185,5,0)),0%,VLOOKUP(A112,'Données projet'!$A$165:$I$185,5,0)*VLOOKUP('Données projet'!$B$14,Paramètres!$A$1:$I$89,7,0))</f>
        <v>0.43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157.86210771914133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157.86210771914133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>
        <f>VLOOKUP(A112,'Données projet'!$A$191:$I$211,2,0)</f>
        <v>498.97</v>
      </c>
      <c r="EH112" s="12">
        <f>VLOOKUP(A112,'Données projet'!$A$191:$I$211,9,0)</f>
        <v>9.7110000000000021</v>
      </c>
      <c r="EI112" s="12">
        <f t="array" ref="EI112">INDEX(EH:EH,MIN(IF(ISNUMBER(EH112:EH308),ROW(EH112:EH308),"")))</f>
        <v>9.7110000000000021</v>
      </c>
      <c r="EJ112" s="12">
        <f>IF('Données projet'!$A$192&gt;35,EJ111+EI112-ER111,IF(A112&lt;'Données projet'!$A$192,$EG$205^A112,IF(A112='Données projet'!$A$192,'Données projet'!$B$192,EJ111+EI112-ER111)))</f>
        <v>498.97000000000031</v>
      </c>
      <c r="EK112" s="17">
        <f>EJ112*VLOOKUP('Données projet'!$B$15,Paramètres!$A$1:$I$89,3,0)*VLOOKUP('Données projet'!$B$15,Paramètres!$A$1:$I$89,5,0)</f>
        <v>482.6037840000003</v>
      </c>
      <c r="EL112" s="13">
        <f t="shared" si="99"/>
        <v>108.33600775411885</v>
      </c>
      <c r="EM112" s="20">
        <f t="shared" si="73"/>
        <v>1029.2201373050909</v>
      </c>
      <c r="EN112" s="59">
        <f t="shared" si="74"/>
        <v>1308.9454576576802</v>
      </c>
      <c r="EO112" s="59">
        <f ca="1">AVERAGE(OFFSET($EN$3,0,0,'Données projet'!$E$15+1,1))-AVERAGE(OFFSET($H$3,0,0,'Données projet'!$E$15+1,1))</f>
        <v>600.96600099541388</v>
      </c>
      <c r="EP112" s="59">
        <f t="shared" si="100"/>
        <v>315.40159257508969</v>
      </c>
      <c r="EQ112" s="15">
        <f>IF(ISNA(VLOOKUP(A112,'Données projet'!$A$191:$I$211,3,0)),0,VLOOKUP(A112,'Données projet'!$A$191:$I$211,3,0))</f>
        <v>10</v>
      </c>
      <c r="ER112" s="15">
        <f>IF(ISNA(VLOOKUP(A112,'Données projet'!$A$191:$I$211,4,0)),0,VLOOKUP(A112,'Données projet'!$A$191:$I$211,4,0))</f>
        <v>66.959999999999994</v>
      </c>
      <c r="ES112" s="16">
        <f>IF(ISNA(VLOOKUP(A112,'Données projet'!$A$191:$I$211,5,0)),0%,VLOOKUP(A112,'Données projet'!$A$191:$I$211,5,0)*VLOOKUP('Données projet'!$B$15,Paramètres!$A$1:$I$89,7,0))</f>
        <v>0.43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141.84711128386621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141.84711128386621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399.39048240000028</v>
      </c>
      <c r="P113" s="13">
        <f t="shared" si="87"/>
        <v>91.653083916792113</v>
      </c>
      <c r="Q113" s="20">
        <f t="shared" si="107"/>
        <v>855.23421133508009</v>
      </c>
      <c r="R113" s="59">
        <f t="shared" si="55"/>
        <v>1135.195600289926</v>
      </c>
      <c r="S113" s="59">
        <f ca="1">AVERAGE(OFFSET($R$3,0,0,'Données projet'!$E$9+1,1))-AVERAGE(OFFSET($H$3,0,0,'Données projet'!$E$9+1,1))</f>
        <v>567.42635821336114</v>
      </c>
      <c r="T113" s="59">
        <f t="shared" si="88"/>
        <v>299.0473530693472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130.09360330786291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130.09360330786291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493</v>
      </c>
      <c r="AG113" s="12">
        <f>VLOOKUP(A113,'Données projet'!$A$61:$I$81,9,0)</f>
        <v>7.4</v>
      </c>
      <c r="AH113" s="12">
        <f t="array" ref="AH113">INDEX(AG:AG,MIN(IF(ISNUMBER(AG113:AG309),ROW(AG113:AG309),"")))</f>
        <v>7.4</v>
      </c>
      <c r="AI113" s="13">
        <f>IF('Données projet'!$A$62&gt;35,AI112+AH113-AQ112,IF(A113&lt;'Données projet'!$A$62,$AF$205^A113,IF(A113='Données projet'!$A$62,'Données projet'!$B$62,AI112+AH113-AQ112)))</f>
        <v>493.00000000000023</v>
      </c>
      <c r="AJ113" s="13">
        <f>AI113*VLOOKUP('Données projet'!$B$10,Paramètres!$A$1:$I$89,3,0)*VLOOKUP('Données projet'!$B$10,Paramètres!$A$1:$I$89,5,0)</f>
        <v>422.99400000000026</v>
      </c>
      <c r="AK113" s="13">
        <f t="shared" si="89"/>
        <v>96.423073437021927</v>
      </c>
      <c r="AL113" s="20">
        <f t="shared" si="58"/>
        <v>904.65140290281352</v>
      </c>
      <c r="AM113" s="59">
        <f t="shared" si="59"/>
        <v>1184.6127918576594</v>
      </c>
      <c r="AN113" s="59">
        <f ca="1">AVERAGE(OFFSET($AM$3,0,0,'Données projet'!$E$10+1,1))-AVERAGE(OFFSET($H$3,0,0,'Données projet'!$E$10+1,1))</f>
        <v>570.05585579662738</v>
      </c>
      <c r="AO113" s="59">
        <f t="shared" si="90"/>
        <v>331.25104323342907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27</v>
      </c>
      <c r="AR113" s="16">
        <f>IF(ISNA(VLOOKUP(A113,'Données projet'!$A$61:$I$81,5,0)),0%,VLOOKUP(A113,'Données projet'!$A$61:$I$81,5,0)*VLOOKUP('Données projet'!$B$10,Paramètres!$A$1:$I$89,7,0))</f>
        <v>0.53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134.55911594746237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134.55911594746237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16.750000000000213</v>
      </c>
      <c r="BE113" s="13">
        <f>BD113*VLOOKUP('Données projet'!$B$11,Paramètres!$A$1:$I$89,3,0)*VLOOKUP('Données projet'!$B$11,Paramètres!$A$1:$I$89,5,0)</f>
        <v>14.11020000000018</v>
      </c>
      <c r="BF113" s="13">
        <f t="shared" si="91"/>
        <v>4.7783677814795205</v>
      </c>
      <c r="BG113" s="20">
        <f t="shared" si="61"/>
        <v>32.897588886077138</v>
      </c>
      <c r="BH113" s="59">
        <f t="shared" si="62"/>
        <v>312.85897784092299</v>
      </c>
      <c r="BI113" s="59">
        <f ca="1">AVERAGE(OFFSET($BH$3,0,0,'Données projet'!$E$11+1,1))-AVERAGE(OFFSET($H$3,0,0,'Données projet'!$E$11+1,1))</f>
        <v>458.88102603650725</v>
      </c>
      <c r="BJ113" s="59">
        <f t="shared" si="92"/>
        <v>277.79020316059552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234.87365662409462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234.87365662409462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9.4029999999999916</v>
      </c>
      <c r="BY113" s="12">
        <f>IF('Données projet'!$A$114&gt;35,BY112+BX113-CG112,IF(A113&lt;'Données projet'!$A$114,$BV$205^A113,IF(A113='Données projet'!$A$114,'Données projet'!$B$114,BY112+BX113-CG112)))</f>
        <v>441.4130000000003</v>
      </c>
      <c r="BZ113" s="13">
        <f>BY113*VLOOKUP('Données projet'!$B$12,Paramètres!$A$1:$I$89,3,0)*VLOOKUP('Données projet'!$B$12,Paramètres!$A$1:$I$89,5,0)</f>
        <v>420.04861080000029</v>
      </c>
      <c r="CA113" s="13">
        <f t="shared" si="93"/>
        <v>95.829572261379582</v>
      </c>
      <c r="CB113" s="20">
        <f t="shared" si="64"/>
        <v>898.48783549856989</v>
      </c>
      <c r="CC113" s="59">
        <f t="shared" si="65"/>
        <v>1178.4492244534158</v>
      </c>
      <c r="CD113" s="59">
        <f ca="1">AVERAGE(OFFSET($CC$3,0,0,'Données projet'!$E$12+1,1))-AVERAGE(OFFSET($H$3,0,0,'Données projet'!$E$12+1,1))</f>
        <v>592.58528888957346</v>
      </c>
      <c r="CE113" s="59">
        <f t="shared" si="94"/>
        <v>311.31528017256846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136.82258278930414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136.82258278930414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0.8600000000003547</v>
      </c>
      <c r="CU113" s="17">
        <f>CT113*VLOOKUP('Données projet'!$B$13,Paramètres!$A$1:$I$89,3,0)*VLOOKUP('Données projet'!$B$13,Paramètres!$A$1:$I$89,5,0)</f>
        <v>0.48074000000019829</v>
      </c>
      <c r="CV113" s="13">
        <f t="shared" si="95"/>
        <v>0.24126147010950588</v>
      </c>
      <c r="CW113" s="20">
        <f t="shared" si="67"/>
        <v>1.2574858937744013</v>
      </c>
      <c r="CX113" s="59">
        <f t="shared" si="68"/>
        <v>281.21887484862026</v>
      </c>
      <c r="CY113" s="59">
        <f ca="1">AVERAGE(OFFSET($CX$3,0,0,'Données projet'!$E$13+1,1))-AVERAGE(OFFSET($H$3,0,0,'Données projet'!$E$13+1,1))</f>
        <v>420.4890915162182</v>
      </c>
      <c r="CZ113" s="59">
        <f t="shared" si="96"/>
        <v>553.48432338023565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125.09800253854611</v>
      </c>
      <c r="DG113" s="21">
        <f>EXP(-LN(2)/25)*DG112+(1-EXP(-LN(2)/25))/(LN(2)/25)*Calculateur!DB113*Calculateur!DD113*VLOOKUP('Données projet'!$B$13,Paramètres!$A$1:$I$89,3,0)*0.475*44/12</f>
        <v>5.5031061157350845</v>
      </c>
      <c r="DH113" s="21">
        <f>EXP(-LN(2)/2)*DH112+(1-EXP(-LN(2)/2))/(LN(2)/2)*DB113*DE113*VLOOKUP('Données projet'!$B$13,Paramètres!$A$1:$I$89,3,0)*0.475*44/12</f>
        <v>6.7295380091564961E-13</v>
      </c>
      <c r="DI113" s="22">
        <f t="shared" si="69"/>
        <v>130.60110865428189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9.4029999999999916</v>
      </c>
      <c r="DO113" s="12">
        <f>IF('Données projet'!$A$166&gt;35,DO112+DN113-DW112,IF(A113&lt;'Données projet'!$A$166,$DL$205^A113,IF(A113='Données projet'!$A$166,'Données projet'!$B$166,DO112+DN113-DW112)))</f>
        <v>441.4130000000003</v>
      </c>
      <c r="DP113" s="17">
        <f>DO113*VLOOKUP('Données projet'!$B$14,Paramètres!$A$1:$I$89,3,0)*VLOOKUP('Données projet'!$B$14,Paramètres!$A$1:$I$89,5,0)</f>
        <v>475.13695320000028</v>
      </c>
      <c r="DQ113" s="13">
        <f t="shared" si="97"/>
        <v>106.85360134851715</v>
      </c>
      <c r="DR113" s="20">
        <f t="shared" si="70"/>
        <v>1013.633549172001</v>
      </c>
      <c r="DS113" s="59">
        <f t="shared" si="71"/>
        <v>1293.594938126847</v>
      </c>
      <c r="DT113" s="59">
        <f ca="1">AVERAGE(OFFSET($DS$3,0,0,'Données projet'!$E$14+1,1))-AVERAGE(OFFSET($H$3,0,0,'Données projet'!$E$14+1,1))</f>
        <v>659.55755908012691</v>
      </c>
      <c r="DU113" s="59">
        <f t="shared" si="98"/>
        <v>343.96647464823627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154.76652807314719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154.76652807314719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9.4029999999999916</v>
      </c>
      <c r="EJ113" s="12">
        <f>IF('Données projet'!$A$192&gt;35,EJ112+EI113-ER112,IF(A113&lt;'Données projet'!$A$192,$EG$205^A113,IF(A113='Données projet'!$A$192,'Données projet'!$B$192,EJ112+EI113-ER112)))</f>
        <v>441.4130000000003</v>
      </c>
      <c r="EK113" s="17">
        <f>EJ113*VLOOKUP('Données projet'!$B$15,Paramètres!$A$1:$I$89,3,0)*VLOOKUP('Données projet'!$B$15,Paramètres!$A$1:$I$89,5,0)</f>
        <v>426.93465360000027</v>
      </c>
      <c r="EL113" s="13">
        <f t="shared" si="99"/>
        <v>97.216370792246551</v>
      </c>
      <c r="EM113" s="20">
        <f t="shared" si="73"/>
        <v>912.89636748316332</v>
      </c>
      <c r="EN113" s="59">
        <f t="shared" si="74"/>
        <v>1192.8577564380091</v>
      </c>
      <c r="EO113" s="59">
        <f ca="1">AVERAGE(OFFSET($EN$3,0,0,'Données projet'!$E$15+1,1))-AVERAGE(OFFSET($H$3,0,0,'Données projet'!$E$15+1,1))</f>
        <v>600.96600099541388</v>
      </c>
      <c r="EP113" s="59">
        <f t="shared" si="100"/>
        <v>315.40159257508969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139.06557594978452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139.06557594978452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407.89831680000026</v>
      </c>
      <c r="P114" s="13">
        <f t="shared" si="87"/>
        <v>93.376100943881056</v>
      </c>
      <c r="Q114" s="20">
        <f t="shared" si="107"/>
        <v>873.05294423725991</v>
      </c>
      <c r="R114" s="59">
        <f t="shared" si="55"/>
        <v>1153.2463065318834</v>
      </c>
      <c r="S114" s="59">
        <f ca="1">AVERAGE(OFFSET($R$3,0,0,'Données projet'!$E$9+1,1))-AVERAGE(OFFSET($H$3,0,0,'Données projet'!$E$9+1,1))</f>
        <v>567.42635821336114</v>
      </c>
      <c r="T114" s="59">
        <f t="shared" si="88"/>
        <v>299.0473530693472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127.54254709625864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127.54254709625864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</v>
      </c>
      <c r="AI114" s="13">
        <f>IF('Données projet'!$A$62&gt;35,AI113+AH114-AQ113,IF(A114&lt;'Données projet'!$A$62,$AF$205^A114,IF(A114='Données projet'!$A$62,'Données projet'!$B$62,AI113+AH114-AQ113)))</f>
        <v>473.00000000000023</v>
      </c>
      <c r="AJ114" s="13">
        <f>AI114*VLOOKUP('Données projet'!$B$10,Paramètres!$A$1:$I$89,3,0)*VLOOKUP('Données projet'!$B$10,Paramètres!$A$1:$I$89,5,0)</f>
        <v>405.83400000000023</v>
      </c>
      <c r="AK114" s="13">
        <f t="shared" si="89"/>
        <v>92.958420619932411</v>
      </c>
      <c r="AL114" s="20">
        <f t="shared" si="58"/>
        <v>868.73013257971604</v>
      </c>
      <c r="AM114" s="59">
        <f t="shared" si="59"/>
        <v>1148.9234948743397</v>
      </c>
      <c r="AN114" s="59">
        <f ca="1">AVERAGE(OFFSET($AM$3,0,0,'Données projet'!$E$10+1,1))-AVERAGE(OFFSET($H$3,0,0,'Données projet'!$E$10+1,1))</f>
        <v>570.05585579662738</v>
      </c>
      <c r="AO114" s="59">
        <f t="shared" si="90"/>
        <v>331.25104323342907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131.92049375668932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131.92049375668932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16.750000000000213</v>
      </c>
      <c r="BE114" s="13">
        <f>BD114*VLOOKUP('Données projet'!$B$11,Paramètres!$A$1:$I$89,3,0)*VLOOKUP('Données projet'!$B$11,Paramètres!$A$1:$I$89,5,0)</f>
        <v>14.11020000000018</v>
      </c>
      <c r="BF114" s="13">
        <f t="shared" si="91"/>
        <v>4.7783677814795205</v>
      </c>
      <c r="BG114" s="20">
        <f t="shared" si="61"/>
        <v>32.897588886077138</v>
      </c>
      <c r="BH114" s="59">
        <f t="shared" si="62"/>
        <v>313.0909511807007</v>
      </c>
      <c r="BI114" s="59">
        <f ca="1">AVERAGE(OFFSET($BH$3,0,0,'Données projet'!$E$11+1,1))-AVERAGE(OFFSET($H$3,0,0,'Données projet'!$E$11+1,1))</f>
        <v>458.88102603650725</v>
      </c>
      <c r="BJ114" s="59">
        <f t="shared" si="92"/>
        <v>277.79020316059552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230.26792747648105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230.26792747648105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9.4029999999999916</v>
      </c>
      <c r="BY114" s="12">
        <f>IF('Données projet'!$A$114&gt;35,BY113+BX114-CG113,IF(A114&lt;'Données projet'!$A$114,$BV$205^A114,IF(A114='Données projet'!$A$114,'Données projet'!$B$114,BY113+BX114-CG113)))</f>
        <v>450.81600000000026</v>
      </c>
      <c r="BZ114" s="13">
        <f>BY114*VLOOKUP('Données projet'!$B$12,Paramètres!$A$1:$I$89,3,0)*VLOOKUP('Données projet'!$B$12,Paramètres!$A$1:$I$89,5,0)</f>
        <v>428.99650560000026</v>
      </c>
      <c r="CA114" s="13">
        <f t="shared" si="93"/>
        <v>97.631104491925242</v>
      </c>
      <c r="CB114" s="20">
        <f t="shared" si="64"/>
        <v>917.20975424343681</v>
      </c>
      <c r="CC114" s="59">
        <f t="shared" si="65"/>
        <v>1197.4031165380604</v>
      </c>
      <c r="CD114" s="59">
        <f ca="1">AVERAGE(OFFSET($CC$3,0,0,'Données projet'!$E$12+1,1))-AVERAGE(OFFSET($H$3,0,0,'Données projet'!$E$12+1,1))</f>
        <v>592.58528888957346</v>
      </c>
      <c r="CE114" s="59">
        <f t="shared" si="94"/>
        <v>311.31528017256846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134.13957539434102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134.13957539434102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0.8600000000003547</v>
      </c>
      <c r="CU114" s="17">
        <f>CT114*VLOOKUP('Données projet'!$B$13,Paramètres!$A$1:$I$89,3,0)*VLOOKUP('Données projet'!$B$13,Paramètres!$A$1:$I$89,5,0)</f>
        <v>0.48074000000019829</v>
      </c>
      <c r="CV114" s="13">
        <f t="shared" si="95"/>
        <v>0.24126147010950588</v>
      </c>
      <c r="CW114" s="20">
        <f t="shared" si="67"/>
        <v>1.2574858937744013</v>
      </c>
      <c r="CX114" s="59">
        <f t="shared" si="68"/>
        <v>281.45084818839797</v>
      </c>
      <c r="CY114" s="59">
        <f ca="1">AVERAGE(OFFSET($CX$3,0,0,'Données projet'!$E$13+1,1))-AVERAGE(OFFSET($H$3,0,0,'Données projet'!$E$13+1,1))</f>
        <v>420.4890915162182</v>
      </c>
      <c r="CZ114" s="59">
        <f t="shared" si="96"/>
        <v>553.48432338023565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122.64490701101255</v>
      </c>
      <c r="DG114" s="21">
        <f>EXP(-LN(2)/25)*DG113+(1-EXP(-LN(2)/25))/(LN(2)/25)*Calculateur!DB114*Calculateur!DD114*VLOOKUP('Données projet'!$B$13,Paramètres!$A$1:$I$89,3,0)*0.475*44/12</f>
        <v>5.3526233896045357</v>
      </c>
      <c r="DH114" s="21">
        <f>EXP(-LN(2)/2)*DH113+(1-EXP(-LN(2)/2))/(LN(2)/2)*DB114*DE114*VLOOKUP('Données projet'!$B$13,Paramètres!$A$1:$I$89,3,0)*0.475*44/12</f>
        <v>4.758501960527177E-13</v>
      </c>
      <c r="DI114" s="22">
        <f t="shared" si="69"/>
        <v>127.99753040061755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9.4029999999999916</v>
      </c>
      <c r="DO114" s="12">
        <f>IF('Données projet'!$A$166&gt;35,DO113+DN114-DW113,IF(A114&lt;'Données projet'!$A$166,$DL$205^A114,IF(A114='Données projet'!$A$166,'Données projet'!$B$166,DO113+DN114-DW113)))</f>
        <v>450.81600000000026</v>
      </c>
      <c r="DP114" s="17">
        <f>DO114*VLOOKUP('Données projet'!$B$14,Paramètres!$A$1:$I$89,3,0)*VLOOKUP('Données projet'!$B$14,Paramètres!$A$1:$I$89,5,0)</f>
        <v>485.25834240000029</v>
      </c>
      <c r="DQ114" s="13">
        <f t="shared" si="97"/>
        <v>108.86237799477179</v>
      </c>
      <c r="DR114" s="20">
        <f t="shared" si="70"/>
        <v>1034.7602546875614</v>
      </c>
      <c r="DS114" s="59">
        <f t="shared" si="71"/>
        <v>1314.9536169821849</v>
      </c>
      <c r="DT114" s="59">
        <f ca="1">AVERAGE(OFFSET($DS$3,0,0,'Données projet'!$E$14+1,1))-AVERAGE(OFFSET($H$3,0,0,'Données projet'!$E$14+1,1))</f>
        <v>659.55755908012691</v>
      </c>
      <c r="DU114" s="59">
        <f t="shared" si="98"/>
        <v>343.96647464823627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151.73165085589383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151.73165085589383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9.4029999999999916</v>
      </c>
      <c r="EJ114" s="12">
        <f>IF('Données projet'!$A$192&gt;35,EJ113+EI114-ER113,IF(A114&lt;'Données projet'!$A$192,$EG$205^A114,IF(A114='Données projet'!$A$192,'Données projet'!$B$192,EJ113+EI114-ER113)))</f>
        <v>450.81600000000026</v>
      </c>
      <c r="EK114" s="17">
        <f>EJ114*VLOOKUP('Données projet'!$B$15,Paramètres!$A$1:$I$89,3,0)*VLOOKUP('Données projet'!$B$15,Paramètres!$A$1:$I$89,5,0)</f>
        <v>436.0292352000003</v>
      </c>
      <c r="EL114" s="13">
        <f t="shared" si="99"/>
        <v>99.043973912932643</v>
      </c>
      <c r="EM114" s="20">
        <f t="shared" si="73"/>
        <v>931.91917253835834</v>
      </c>
      <c r="EN114" s="59">
        <f t="shared" si="74"/>
        <v>1212.112534832982</v>
      </c>
      <c r="EO114" s="59">
        <f ca="1">AVERAGE(OFFSET($EN$3,0,0,'Données projet'!$E$15+1,1))-AVERAGE(OFFSET($H$3,0,0,'Données projet'!$E$15+1,1))</f>
        <v>600.96600099541388</v>
      </c>
      <c r="EP114" s="59">
        <f t="shared" si="100"/>
        <v>315.40159257508969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136.33858482703513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136.33858482703513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416.40615120000024</v>
      </c>
      <c r="P115" s="13">
        <f t="shared" si="87"/>
        <v>95.094939514723933</v>
      </c>
      <c r="Q115" s="20">
        <f t="shared" si="107"/>
        <v>890.86439966147793</v>
      </c>
      <c r="R115" s="59">
        <f t="shared" si="55"/>
        <v>1171.2857110770487</v>
      </c>
      <c r="S115" s="59">
        <f ca="1">AVERAGE(OFFSET($R$3,0,0,'Données projet'!$E$9+1,1))-AVERAGE(OFFSET($H$3,0,0,'Données projet'!$E$9+1,1))</f>
        <v>567.42635821336114</v>
      </c>
      <c r="T115" s="59">
        <f t="shared" si="88"/>
        <v>299.0473530693472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125.04151554097329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125.04151554097329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</v>
      </c>
      <c r="AI115" s="13">
        <f>IF('Données projet'!$A$62&gt;35,AI114+AH115-AQ114,IF(A115&lt;'Données projet'!$A$62,$AF$205^A115,IF(A115='Données projet'!$A$62,'Données projet'!$B$62,AI114+AH115-AQ114)))</f>
        <v>480.00000000000023</v>
      </c>
      <c r="AJ115" s="13">
        <f>AI115*VLOOKUP('Données projet'!$B$10,Paramètres!$A$1:$I$89,3,0)*VLOOKUP('Données projet'!$B$10,Paramètres!$A$1:$I$89,5,0)</f>
        <v>411.84000000000026</v>
      </c>
      <c r="AK115" s="13">
        <f t="shared" si="89"/>
        <v>94.172953187816049</v>
      </c>
      <c r="AL115" s="20">
        <f t="shared" si="58"/>
        <v>881.30589346878003</v>
      </c>
      <c r="AM115" s="59">
        <f t="shared" si="59"/>
        <v>1161.7272048843508</v>
      </c>
      <c r="AN115" s="59">
        <f ca="1">AVERAGE(OFFSET($AM$3,0,0,'Données projet'!$E$10+1,1))-AVERAGE(OFFSET($H$3,0,0,'Données projet'!$E$10+1,1))</f>
        <v>570.05585579662738</v>
      </c>
      <c r="AO115" s="59">
        <f t="shared" si="90"/>
        <v>331.25104323342907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129.33361333767672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129.33361333767672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16.750000000000213</v>
      </c>
      <c r="BE115" s="13">
        <f>BD115*VLOOKUP('Données projet'!$B$11,Paramètres!$A$1:$I$89,3,0)*VLOOKUP('Données projet'!$B$11,Paramètres!$A$1:$I$89,5,0)</f>
        <v>14.11020000000018</v>
      </c>
      <c r="BF115" s="13">
        <f t="shared" si="91"/>
        <v>4.7783677814795205</v>
      </c>
      <c r="BG115" s="20">
        <f t="shared" si="61"/>
        <v>32.897588886077138</v>
      </c>
      <c r="BH115" s="59">
        <f t="shared" si="62"/>
        <v>313.318900301648</v>
      </c>
      <c r="BI115" s="59">
        <f ca="1">AVERAGE(OFFSET($BH$3,0,0,'Données projet'!$E$11+1,1))-AVERAGE(OFFSET($H$3,0,0,'Données projet'!$E$11+1,1))</f>
        <v>458.88102603650725</v>
      </c>
      <c r="BJ115" s="59">
        <f t="shared" si="92"/>
        <v>277.79020316059552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225.75251386823479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225.75251386823479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9.4029999999999916</v>
      </c>
      <c r="BY115" s="12">
        <f>IF('Données projet'!$A$114&gt;35,BY114+BX115-CG114,IF(A115&lt;'Données projet'!$A$114,$BV$205^A115,IF(A115='Données projet'!$A$114,'Données projet'!$B$114,BY114+BX115-CG114)))</f>
        <v>460.21900000000028</v>
      </c>
      <c r="BZ115" s="13">
        <f>BY115*VLOOKUP('Données projet'!$B$12,Paramètres!$A$1:$I$89,3,0)*VLOOKUP('Données projet'!$B$12,Paramètres!$A$1:$I$89,5,0)</f>
        <v>437.94440040000029</v>
      </c>
      <c r="CA115" s="13">
        <f t="shared" si="93"/>
        <v>99.428267860478925</v>
      </c>
      <c r="CB115" s="20">
        <f t="shared" si="64"/>
        <v>935.92406388700135</v>
      </c>
      <c r="CC115" s="59">
        <f t="shared" si="65"/>
        <v>1216.3453753025722</v>
      </c>
      <c r="CD115" s="59">
        <f ca="1">AVERAGE(OFFSET($CC$3,0,0,'Données projet'!$E$12+1,1))-AVERAGE(OFFSET($H$3,0,0,'Données projet'!$E$12+1,1))</f>
        <v>592.58528888957346</v>
      </c>
      <c r="CE115" s="59">
        <f t="shared" si="94"/>
        <v>311.31528017256846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131.50918013792023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131.50918013792023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0.8600000000003547</v>
      </c>
      <c r="CU115" s="17">
        <f>CT115*VLOOKUP('Données projet'!$B$13,Paramètres!$A$1:$I$89,3,0)*VLOOKUP('Données projet'!$B$13,Paramètres!$A$1:$I$89,5,0)</f>
        <v>0.48074000000019829</v>
      </c>
      <c r="CV115" s="13">
        <f t="shared" si="95"/>
        <v>0.24126147010950588</v>
      </c>
      <c r="CW115" s="20">
        <f t="shared" si="67"/>
        <v>1.2574858937744013</v>
      </c>
      <c r="CX115" s="59">
        <f t="shared" si="68"/>
        <v>281.67879730934527</v>
      </c>
      <c r="CY115" s="59">
        <f ca="1">AVERAGE(OFFSET($CX$3,0,0,'Données projet'!$E$13+1,1))-AVERAGE(OFFSET($H$3,0,0,'Données projet'!$E$13+1,1))</f>
        <v>420.4890915162182</v>
      </c>
      <c r="CZ115" s="59">
        <f t="shared" si="96"/>
        <v>553.48432338023565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120.2399151905334</v>
      </c>
      <c r="DG115" s="21">
        <f>EXP(-LN(2)/25)*DG114+(1-EXP(-LN(2)/25))/(LN(2)/25)*Calculateur!DB115*Calculateur!DD115*VLOOKUP('Données projet'!$B$13,Paramètres!$A$1:$I$89,3,0)*0.475*44/12</f>
        <v>5.2062556215335691</v>
      </c>
      <c r="DH115" s="21">
        <f>EXP(-LN(2)/2)*DH114+(1-EXP(-LN(2)/2))/(LN(2)/2)*DB115*DE115*VLOOKUP('Données projet'!$B$13,Paramètres!$A$1:$I$89,3,0)*0.475*44/12</f>
        <v>3.364769004578248E-13</v>
      </c>
      <c r="DI115" s="22">
        <f t="shared" si="69"/>
        <v>125.44617081206731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9.4029999999999916</v>
      </c>
      <c r="DO115" s="12">
        <f>IF('Données projet'!$A$166&gt;35,DO114+DN115-DW114,IF(A115&lt;'Données projet'!$A$166,$DL$205^A115,IF(A115='Données projet'!$A$166,'Données projet'!$B$166,DO114+DN115-DW114)))</f>
        <v>460.21900000000028</v>
      </c>
      <c r="DP115" s="17">
        <f>DO115*VLOOKUP('Données projet'!$B$14,Paramètres!$A$1:$I$89,3,0)*VLOOKUP('Données projet'!$B$14,Paramètres!$A$1:$I$89,5,0)</f>
        <v>495.3797316000003</v>
      </c>
      <c r="DQ115" s="13">
        <f t="shared" si="97"/>
        <v>110.86628319449252</v>
      </c>
      <c r="DR115" s="20">
        <f t="shared" si="70"/>
        <v>1055.8784757670749</v>
      </c>
      <c r="DS115" s="59">
        <f t="shared" si="71"/>
        <v>1336.2997871826458</v>
      </c>
      <c r="DT115" s="59">
        <f ca="1">AVERAGE(OFFSET($DS$3,0,0,'Données projet'!$E$14+1,1))-AVERAGE(OFFSET($H$3,0,0,'Données projet'!$E$14+1,1))</f>
        <v>659.55755908012691</v>
      </c>
      <c r="DU115" s="59">
        <f t="shared" si="98"/>
        <v>343.96647464823627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148.75628572977851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148.75628572977851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9.4029999999999916</v>
      </c>
      <c r="EJ115" s="12">
        <f>IF('Données projet'!$A$192&gt;35,EJ114+EI115-ER114,IF(A115&lt;'Données projet'!$A$192,$EG$205^A115,IF(A115='Données projet'!$A$192,'Données projet'!$B$192,EJ114+EI115-ER114)))</f>
        <v>460.21900000000028</v>
      </c>
      <c r="EK115" s="17">
        <f>EJ115*VLOOKUP('Données projet'!$B$15,Paramètres!$A$1:$I$89,3,0)*VLOOKUP('Données projet'!$B$15,Paramètres!$A$1:$I$89,5,0)</f>
        <v>445.12381680000027</v>
      </c>
      <c r="EL115" s="13">
        <f t="shared" si="99"/>
        <v>100.86714494760049</v>
      </c>
      <c r="EM115" s="20">
        <f t="shared" si="73"/>
        <v>950.93425837707116</v>
      </c>
      <c r="EN115" s="59">
        <f t="shared" si="74"/>
        <v>1231.355569792642</v>
      </c>
      <c r="EO115" s="59">
        <f ca="1">AVERAGE(OFFSET($EN$3,0,0,'Données projet'!$E$15+1,1))-AVERAGE(OFFSET($H$3,0,0,'Données projet'!$E$15+1,1))</f>
        <v>600.96600099541388</v>
      </c>
      <c r="EP115" s="59">
        <f t="shared" si="100"/>
        <v>315.40159257508969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133.66506833690252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133.66506833690252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424.91398560000027</v>
      </c>
      <c r="P116" s="13">
        <f t="shared" si="87"/>
        <v>96.809694839252401</v>
      </c>
      <c r="Q116" s="20">
        <f t="shared" si="107"/>
        <v>908.66874343169832</v>
      </c>
      <c r="R116" s="59">
        <f t="shared" si="55"/>
        <v>1189.314049560586</v>
      </c>
      <c r="S116" s="59">
        <f ca="1">AVERAGE(OFFSET($R$3,0,0,'Données projet'!$E$9+1,1))-AVERAGE(OFFSET($H$3,0,0,'Données projet'!$E$9+1,1))</f>
        <v>567.42635821336114</v>
      </c>
      <c r="T116" s="59">
        <f t="shared" si="88"/>
        <v>299.0473530693472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122.58952768900846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122.58952768900846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</v>
      </c>
      <c r="AI116" s="13">
        <f>IF('Données projet'!$A$62&gt;35,AI115+AH116-AQ115,IF(A116&lt;'Données projet'!$A$62,$AF$205^A116,IF(A116='Données projet'!$A$62,'Données projet'!$B$62,AI115+AH116-AQ115)))</f>
        <v>487.00000000000023</v>
      </c>
      <c r="AJ116" s="13">
        <f>AI116*VLOOKUP('Données projet'!$B$10,Paramètres!$A$1:$I$89,3,0)*VLOOKUP('Données projet'!$B$10,Paramètres!$A$1:$I$89,5,0)</f>
        <v>417.84600000000023</v>
      </c>
      <c r="AK116" s="13">
        <f t="shared" si="89"/>
        <v>95.385425758311655</v>
      </c>
      <c r="AL116" s="20">
        <f t="shared" si="58"/>
        <v>893.87806652905977</v>
      </c>
      <c r="AM116" s="59">
        <f t="shared" si="59"/>
        <v>1174.5233726579474</v>
      </c>
      <c r="AN116" s="59">
        <f ca="1">AVERAGE(OFFSET($AM$3,0,0,'Données projet'!$E$10+1,1))-AVERAGE(OFFSET($H$3,0,0,'Données projet'!$E$10+1,1))</f>
        <v>570.05585579662738</v>
      </c>
      <c r="AO116" s="59">
        <f t="shared" si="90"/>
        <v>331.25104323342907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126.7974600658397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126.7974600658397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16.750000000000213</v>
      </c>
      <c r="BE116" s="13">
        <f>BD116*VLOOKUP('Données projet'!$B$11,Paramètres!$A$1:$I$89,3,0)*VLOOKUP('Données projet'!$B$11,Paramètres!$A$1:$I$89,5,0)</f>
        <v>14.11020000000018</v>
      </c>
      <c r="BF116" s="13">
        <f t="shared" si="91"/>
        <v>4.7783677814795205</v>
      </c>
      <c r="BG116" s="20">
        <f t="shared" si="61"/>
        <v>32.897588886077138</v>
      </c>
      <c r="BH116" s="59">
        <f t="shared" si="62"/>
        <v>313.54289501496476</v>
      </c>
      <c r="BI116" s="59">
        <f ca="1">AVERAGE(OFFSET($BH$3,0,0,'Données projet'!$E$11+1,1))-AVERAGE(OFFSET($H$3,0,0,'Données projet'!$E$11+1,1))</f>
        <v>458.88102603650725</v>
      </c>
      <c r="BJ116" s="59">
        <f t="shared" si="92"/>
        <v>277.79020316059552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221.32564476671587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221.32564476671587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9.4029999999999916</v>
      </c>
      <c r="BY116" s="12">
        <f>IF('Données projet'!$A$114&gt;35,BY115+BX116-CG115,IF(A116&lt;'Données projet'!$A$114,$BV$205^A116,IF(A116='Données projet'!$A$114,'Données projet'!$B$114,BY115+BX116-CG115)))</f>
        <v>469.6220000000003</v>
      </c>
      <c r="BZ116" s="13">
        <f>BY116*VLOOKUP('Données projet'!$B$12,Paramètres!$A$1:$I$89,3,0)*VLOOKUP('Données projet'!$B$12,Paramètres!$A$1:$I$89,5,0)</f>
        <v>446.89229520000032</v>
      </c>
      <c r="CA116" s="13">
        <f t="shared" si="93"/>
        <v>101.22116191554059</v>
      </c>
      <c r="CB116" s="20">
        <f t="shared" si="64"/>
        <v>954.63093780956694</v>
      </c>
      <c r="CC116" s="59">
        <f t="shared" si="65"/>
        <v>1235.2762439384546</v>
      </c>
      <c r="CD116" s="59">
        <f ca="1">AVERAGE(OFFSET($CC$3,0,0,'Données projet'!$E$12+1,1))-AVERAGE(OFFSET($H$3,0,0,'Données projet'!$E$12+1,1))</f>
        <v>592.58528888957346</v>
      </c>
      <c r="CE116" s="59">
        <f t="shared" si="94"/>
        <v>311.31528017256846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128.93036532809515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128.93036532809515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0.8600000000003547</v>
      </c>
      <c r="CU116" s="17">
        <f>CT116*VLOOKUP('Données projet'!$B$13,Paramètres!$A$1:$I$89,3,0)*VLOOKUP('Données projet'!$B$13,Paramètres!$A$1:$I$89,5,0)</f>
        <v>0.48074000000019829</v>
      </c>
      <c r="CV116" s="13">
        <f t="shared" si="95"/>
        <v>0.24126147010950588</v>
      </c>
      <c r="CW116" s="20">
        <f t="shared" si="67"/>
        <v>1.2574858937744013</v>
      </c>
      <c r="CX116" s="59">
        <f t="shared" si="68"/>
        <v>281.90279202266203</v>
      </c>
      <c r="CY116" s="59">
        <f ca="1">AVERAGE(OFFSET($CX$3,0,0,'Données projet'!$E$13+1,1))-AVERAGE(OFFSET($H$3,0,0,'Données projet'!$E$13+1,1))</f>
        <v>420.4890915162182</v>
      </c>
      <c r="CZ116" s="59">
        <f t="shared" si="96"/>
        <v>553.48432338023565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117.88208379275366</v>
      </c>
      <c r="DG116" s="21">
        <f>EXP(-LN(2)/25)*DG115+(1-EXP(-LN(2)/25))/(LN(2)/25)*Calculateur!DB116*Calculateur!DD116*VLOOKUP('Données projet'!$B$13,Paramètres!$A$1:$I$89,3,0)*0.475*44/12</f>
        <v>5.0638902877776495</v>
      </c>
      <c r="DH116" s="21">
        <f>EXP(-LN(2)/2)*DH115+(1-EXP(-LN(2)/2))/(LN(2)/2)*DB116*DE116*VLOOKUP('Données projet'!$B$13,Paramètres!$A$1:$I$89,3,0)*0.475*44/12</f>
        <v>2.3792509802635885E-13</v>
      </c>
      <c r="DI116" s="22">
        <f t="shared" si="69"/>
        <v>122.94597408053156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9.4029999999999916</v>
      </c>
      <c r="DO116" s="12">
        <f>IF('Données projet'!$A$166&gt;35,DO115+DN116-DW115,IF(A116&lt;'Données projet'!$A$166,$DL$205^A116,IF(A116='Données projet'!$A$166,'Données projet'!$B$166,DO115+DN116-DW115)))</f>
        <v>469.6220000000003</v>
      </c>
      <c r="DP116" s="17">
        <f>DO116*VLOOKUP('Données projet'!$B$14,Paramètres!$A$1:$I$89,3,0)*VLOOKUP('Données projet'!$B$14,Paramètres!$A$1:$I$89,5,0)</f>
        <v>505.50112080000025</v>
      </c>
      <c r="DQ116" s="13">
        <f t="shared" si="97"/>
        <v>112.86542794802592</v>
      </c>
      <c r="DR116" s="20">
        <f t="shared" si="70"/>
        <v>1076.9884057361455</v>
      </c>
      <c r="DS116" s="59">
        <f t="shared" si="71"/>
        <v>1357.6337118650331</v>
      </c>
      <c r="DT116" s="59">
        <f ca="1">AVERAGE(OFFSET($DS$3,0,0,'Données projet'!$E$14+1,1))-AVERAGE(OFFSET($H$3,0,0,'Données projet'!$E$14+1,1))</f>
        <v>659.55755908012691</v>
      </c>
      <c r="DU116" s="59">
        <f t="shared" si="98"/>
        <v>343.96647464823627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145.83926569899276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145.83926569899276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9.4029999999999916</v>
      </c>
      <c r="EJ116" s="12">
        <f>IF('Données projet'!$A$192&gt;35,EJ115+EI116-ER115,IF(A116&lt;'Données projet'!$A$192,$EG$205^A116,IF(A116='Données projet'!$A$192,'Données projet'!$B$192,EJ115+EI116-ER115)))</f>
        <v>469.6220000000003</v>
      </c>
      <c r="EK116" s="17">
        <f>EJ116*VLOOKUP('Données projet'!$B$15,Paramètres!$A$1:$I$89,3,0)*VLOOKUP('Données projet'!$B$15,Paramètres!$A$1:$I$89,5,0)</f>
        <v>454.2183984000003</v>
      </c>
      <c r="EL116" s="13">
        <f t="shared" si="99"/>
        <v>102.68598488536712</v>
      </c>
      <c r="EM116" s="20">
        <f t="shared" si="73"/>
        <v>969.94180088868143</v>
      </c>
      <c r="EN116" s="59">
        <f t="shared" si="74"/>
        <v>1250.587107017569</v>
      </c>
      <c r="EO116" s="59">
        <f ca="1">AVERAGE(OFFSET($EN$3,0,0,'Données projet'!$E$15+1,1))-AVERAGE(OFFSET($H$3,0,0,'Données projet'!$E$15+1,1))</f>
        <v>600.96600099541388</v>
      </c>
      <c r="EP116" s="59">
        <f t="shared" si="100"/>
        <v>315.40159257508969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131.04397787445737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131.04397787445737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433.42182000000025</v>
      </c>
      <c r="P117" s="13">
        <f t="shared" si="87"/>
        <v>98.520458096711138</v>
      </c>
      <c r="Q117" s="20">
        <f t="shared" si="107"/>
        <v>926.46613435177221</v>
      </c>
      <c r="R117" s="59">
        <f t="shared" si="55"/>
        <v>1207.3315493864777</v>
      </c>
      <c r="S117" s="59">
        <f ca="1">AVERAGE(OFFSET($R$3,0,0,'Données projet'!$E$9+1,1))-AVERAGE(OFFSET($H$3,0,0,'Données projet'!$E$9+1,1))</f>
        <v>567.42635821336114</v>
      </c>
      <c r="T117" s="59">
        <f t="shared" si="88"/>
        <v>299.0473530693472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120.18562182325576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120.18562182325576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</v>
      </c>
      <c r="AI117" s="13">
        <f>IF('Données projet'!$A$62&gt;35,AI116+AH117-AQ116,IF(A117&lt;'Données projet'!$A$62,$AF$205^A117,IF(A117='Données projet'!$A$62,'Données projet'!$B$62,AI116+AH117-AQ116)))</f>
        <v>494.00000000000023</v>
      </c>
      <c r="AJ117" s="13">
        <f>AI117*VLOOKUP('Données projet'!$B$10,Paramètres!$A$1:$I$89,3,0)*VLOOKUP('Données projet'!$B$10,Paramètres!$A$1:$I$89,5,0)</f>
        <v>423.85200000000026</v>
      </c>
      <c r="AK117" s="13">
        <f t="shared" si="89"/>
        <v>96.595871362472664</v>
      </c>
      <c r="AL117" s="20">
        <f t="shared" si="58"/>
        <v>906.44670928964024</v>
      </c>
      <c r="AM117" s="59">
        <f t="shared" si="59"/>
        <v>1187.3121243243456</v>
      </c>
      <c r="AN117" s="59">
        <f ca="1">AVERAGE(OFFSET($AM$3,0,0,'Données projet'!$E$10+1,1))-AVERAGE(OFFSET($H$3,0,0,'Données projet'!$E$10+1,1))</f>
        <v>570.05585579662738</v>
      </c>
      <c r="AO117" s="59">
        <f t="shared" si="90"/>
        <v>331.25104323342907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124.31103921276265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124.31103921276265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16.750000000000213</v>
      </c>
      <c r="BE117" s="13">
        <f>BD117*VLOOKUP('Données projet'!$B$11,Paramètres!$A$1:$I$89,3,0)*VLOOKUP('Données projet'!$B$11,Paramètres!$A$1:$I$89,5,0)</f>
        <v>14.11020000000018</v>
      </c>
      <c r="BF117" s="13">
        <f t="shared" si="91"/>
        <v>4.7783677814795205</v>
      </c>
      <c r="BG117" s="20">
        <f t="shared" si="61"/>
        <v>32.897588886077138</v>
      </c>
      <c r="BH117" s="59">
        <f t="shared" si="62"/>
        <v>313.76300392078258</v>
      </c>
      <c r="BI117" s="59">
        <f ca="1">AVERAGE(OFFSET($BH$3,0,0,'Données projet'!$E$11+1,1))-AVERAGE(OFFSET($H$3,0,0,'Données projet'!$E$11+1,1))</f>
        <v>458.88102603650725</v>
      </c>
      <c r="BJ117" s="59">
        <f t="shared" si="92"/>
        <v>277.79020316059552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216.98558386815421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216.98558386815421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9.4029999999999916</v>
      </c>
      <c r="BY117" s="12">
        <f>IF('Données projet'!$A$114&gt;35,BY116+BX117-CG116,IF(A117&lt;'Données projet'!$A$114,$BV$205^A117,IF(A117='Données projet'!$A$114,'Données projet'!$B$114,BY116+BX117-CG116)))</f>
        <v>479.02500000000032</v>
      </c>
      <c r="BZ117" s="13">
        <f>BY117*VLOOKUP('Données projet'!$B$12,Paramètres!$A$1:$I$89,3,0)*VLOOKUP('Données projet'!$B$12,Paramètres!$A$1:$I$89,5,0)</f>
        <v>455.84019000000035</v>
      </c>
      <c r="CA117" s="13">
        <f t="shared" si="93"/>
        <v>103.00988199125129</v>
      </c>
      <c r="CB117" s="20">
        <f t="shared" si="64"/>
        <v>973.3305420514298</v>
      </c>
      <c r="CC117" s="59">
        <f t="shared" si="65"/>
        <v>1254.1959570861352</v>
      </c>
      <c r="CD117" s="59">
        <f ca="1">AVERAGE(OFFSET($CC$3,0,0,'Données projet'!$E$12+1,1))-AVERAGE(OFFSET($H$3,0,0,'Données projet'!$E$12+1,1))</f>
        <v>592.58528888957346</v>
      </c>
      <c r="CE117" s="59">
        <f t="shared" si="94"/>
        <v>311.31528017256846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126.40211950376903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126.40211950376903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0.8600000000003547</v>
      </c>
      <c r="CU117" s="17">
        <f>CT117*VLOOKUP('Données projet'!$B$13,Paramètres!$A$1:$I$89,3,0)*VLOOKUP('Données projet'!$B$13,Paramètres!$A$1:$I$89,5,0)</f>
        <v>0.48074000000019829</v>
      </c>
      <c r="CV117" s="13">
        <f t="shared" si="95"/>
        <v>0.24126147010950588</v>
      </c>
      <c r="CW117" s="20">
        <f t="shared" si="67"/>
        <v>1.2574858937744013</v>
      </c>
      <c r="CX117" s="59">
        <f t="shared" si="68"/>
        <v>282.12290092847985</v>
      </c>
      <c r="CY117" s="59">
        <f ca="1">AVERAGE(OFFSET($CX$3,0,0,'Données projet'!$E$13+1,1))-AVERAGE(OFFSET($H$3,0,0,'Données projet'!$E$13+1,1))</f>
        <v>420.4890915162182</v>
      </c>
      <c r="CZ117" s="59">
        <f t="shared" si="96"/>
        <v>553.48432338023565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115.57048803054924</v>
      </c>
      <c r="DG117" s="21">
        <f>EXP(-LN(2)/25)*DG116+(1-EXP(-LN(2)/25))/(LN(2)/25)*Calculateur!DB117*Calculateur!DD117*VLOOKUP('Données projet'!$B$13,Paramètres!$A$1:$I$89,3,0)*0.475*44/12</f>
        <v>4.9254179415599531</v>
      </c>
      <c r="DH117" s="21">
        <f>EXP(-LN(2)/2)*DH116+(1-EXP(-LN(2)/2))/(LN(2)/2)*DB117*DE117*VLOOKUP('Données projet'!$B$13,Paramètres!$A$1:$I$89,3,0)*0.475*44/12</f>
        <v>1.682384502289124E-13</v>
      </c>
      <c r="DI117" s="22">
        <f t="shared" si="69"/>
        <v>120.49590597210937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9.4029999999999916</v>
      </c>
      <c r="DO117" s="12">
        <f>IF('Données projet'!$A$166&gt;35,DO116+DN117-DW116,IF(A117&lt;'Données projet'!$A$166,$DL$205^A117,IF(A117='Données projet'!$A$166,'Données projet'!$B$166,DO116+DN117-DW116)))</f>
        <v>479.02500000000032</v>
      </c>
      <c r="DP117" s="17">
        <f>DO117*VLOOKUP('Données projet'!$B$14,Paramètres!$A$1:$I$89,3,0)*VLOOKUP('Données projet'!$B$14,Paramètres!$A$1:$I$89,5,0)</f>
        <v>515.62251000000037</v>
      </c>
      <c r="DQ117" s="13">
        <f t="shared" si="97"/>
        <v>114.85991855654865</v>
      </c>
      <c r="DR117" s="20">
        <f t="shared" si="70"/>
        <v>1098.0902297359896</v>
      </c>
      <c r="DS117" s="59">
        <f t="shared" si="71"/>
        <v>1378.955644770695</v>
      </c>
      <c r="DT117" s="59">
        <f ca="1">AVERAGE(OFFSET($DS$3,0,0,'Données projet'!$E$14+1,1))-AVERAGE(OFFSET($H$3,0,0,'Données projet'!$E$14+1,1))</f>
        <v>659.55755908012691</v>
      </c>
      <c r="DU117" s="59">
        <f t="shared" si="98"/>
        <v>343.96647464823627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142.97944665180418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142.97944665180418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9.4029999999999916</v>
      </c>
      <c r="EJ117" s="12">
        <f>IF('Données projet'!$A$192&gt;35,EJ116+EI117-ER116,IF(A117&lt;'Données projet'!$A$192,$EG$205^A117,IF(A117='Données projet'!$A$192,'Données projet'!$B$192,EJ116+EI117-ER116)))</f>
        <v>479.02500000000032</v>
      </c>
      <c r="EK117" s="17">
        <f>EJ117*VLOOKUP('Données projet'!$B$15,Paramètres!$A$1:$I$89,3,0)*VLOOKUP('Données projet'!$B$15,Paramètres!$A$1:$I$89,5,0)</f>
        <v>463.31298000000038</v>
      </c>
      <c r="EL117" s="13">
        <f t="shared" si="99"/>
        <v>104.50059044000244</v>
      </c>
      <c r="EM117" s="20">
        <f t="shared" si="73"/>
        <v>988.94196851633842</v>
      </c>
      <c r="EN117" s="59">
        <f t="shared" si="74"/>
        <v>1269.8073835510438</v>
      </c>
      <c r="EO117" s="59">
        <f ca="1">AVERAGE(OFFSET($EN$3,0,0,'Données projet'!$E$15+1,1))-AVERAGE(OFFSET($H$3,0,0,'Données projet'!$E$15+1,1))</f>
        <v>600.96600099541388</v>
      </c>
      <c r="EP117" s="59">
        <f t="shared" si="100"/>
        <v>315.40159257508969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128.47428539727343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128.47428539727343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441.92965440000035</v>
      </c>
      <c r="P118" s="13">
        <f t="shared" si="87"/>
        <v>100.22731668201004</v>
      </c>
      <c r="Q118" s="20">
        <f t="shared" si="107"/>
        <v>944.25672463450144</v>
      </c>
      <c r="R118" s="59">
        <f t="shared" si="55"/>
        <v>1225.3384301775986</v>
      </c>
      <c r="S118" s="59">
        <f ca="1">AVERAGE(OFFSET($R$3,0,0,'Données projet'!$E$9+1,1))-AVERAGE(OFFSET($H$3,0,0,'Données projet'!$E$9+1,1))</f>
        <v>567.42635821336114</v>
      </c>
      <c r="T118" s="59">
        <f t="shared" si="88"/>
        <v>299.0473530693472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117.82885508529266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117.82885508529266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501</v>
      </c>
      <c r="AG118" s="12">
        <f>VLOOKUP(A118,'Données projet'!$A$61:$I$81,9,0)</f>
        <v>7</v>
      </c>
      <c r="AH118" s="12">
        <f t="array" ref="AH118">INDEX(AG:AG,MIN(IF(ISNUMBER(AG118:AG314),ROW(AG118:AG314),"")))</f>
        <v>7</v>
      </c>
      <c r="AI118" s="13">
        <f>IF('Données projet'!$A$62&gt;35,AI117+AH118-AQ117,IF(A118&lt;'Données projet'!$A$62,$AF$205^A118,IF(A118='Données projet'!$A$62,'Données projet'!$B$62,AI117+AH118-AQ117)))</f>
        <v>501.00000000000023</v>
      </c>
      <c r="AJ118" s="13">
        <f>AI118*VLOOKUP('Données projet'!$B$10,Paramètres!$A$1:$I$89,3,0)*VLOOKUP('Données projet'!$B$10,Paramètres!$A$1:$I$89,5,0)</f>
        <v>429.85800000000023</v>
      </c>
      <c r="AK118" s="13">
        <f t="shared" si="89"/>
        <v>97.804322041485889</v>
      </c>
      <c r="AL118" s="20">
        <f t="shared" si="58"/>
        <v>919.0118775555884</v>
      </c>
      <c r="AM118" s="59">
        <f t="shared" si="59"/>
        <v>1200.0935830986857</v>
      </c>
      <c r="AN118" s="59">
        <f ca="1">AVERAGE(OFFSET($AM$3,0,0,'Données projet'!$E$10+1,1))-AVERAGE(OFFSET($H$3,0,0,'Données projet'!$E$10+1,1))</f>
        <v>570.05585579662738</v>
      </c>
      <c r="AO118" s="59">
        <f t="shared" si="90"/>
        <v>331.25104323342907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26</v>
      </c>
      <c r="AR118" s="16">
        <f>IF(ISNA(VLOOKUP(A118,'Données projet'!$A$61:$I$81,5,0)),0%,VLOOKUP(A118,'Données projet'!$A$61:$I$81,5,0)*VLOOKUP('Données projet'!$B$10,Paramètres!$A$1:$I$89,7,0))</f>
        <v>0.53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134.94361716615663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134.94361716615663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16.750000000000213</v>
      </c>
      <c r="BE118" s="13">
        <f>BD118*VLOOKUP('Données projet'!$B$11,Paramètres!$A$1:$I$89,3,0)*VLOOKUP('Données projet'!$B$11,Paramètres!$A$1:$I$89,5,0)</f>
        <v>14.11020000000018</v>
      </c>
      <c r="BF118" s="13">
        <f t="shared" si="91"/>
        <v>4.7783677814795205</v>
      </c>
      <c r="BG118" s="20">
        <f t="shared" si="61"/>
        <v>32.897588886077138</v>
      </c>
      <c r="BH118" s="59">
        <f t="shared" si="62"/>
        <v>313.97929442917439</v>
      </c>
      <c r="BI118" s="59">
        <f ca="1">AVERAGE(OFFSET($BH$3,0,0,'Données projet'!$E$11+1,1))-AVERAGE(OFFSET($H$3,0,0,'Données projet'!$E$11+1,1))</f>
        <v>458.88102603650725</v>
      </c>
      <c r="BJ118" s="59">
        <f t="shared" si="92"/>
        <v>277.79020316059552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212.73062891663756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212.73062891663756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9.4029999999999916</v>
      </c>
      <c r="BY118" s="12">
        <f>IF('Données projet'!$A$114&gt;35,BY117+BX118-CG117,IF(A118&lt;'Données projet'!$A$114,$BV$205^A118,IF(A118='Données projet'!$A$114,'Données projet'!$B$114,BY117+BX118-CG117)))</f>
        <v>488.42800000000034</v>
      </c>
      <c r="BZ118" s="13">
        <f>BY118*VLOOKUP('Données projet'!$B$12,Paramètres!$A$1:$I$89,3,0)*VLOOKUP('Données projet'!$B$12,Paramètres!$A$1:$I$89,5,0)</f>
        <v>464.78808480000038</v>
      </c>
      <c r="CA118" s="13">
        <f t="shared" si="93"/>
        <v>104.79451946497053</v>
      </c>
      <c r="CB118" s="20">
        <f t="shared" si="64"/>
        <v>992.02303576149086</v>
      </c>
      <c r="CC118" s="59">
        <f t="shared" si="65"/>
        <v>1273.1047413045881</v>
      </c>
      <c r="CD118" s="59">
        <f ca="1">AVERAGE(OFFSET($CC$3,0,0,'Données projet'!$E$12+1,1))-AVERAGE(OFFSET($H$3,0,0,'Données projet'!$E$12+1,1))</f>
        <v>592.58528888957346</v>
      </c>
      <c r="CE118" s="59">
        <f t="shared" si="94"/>
        <v>311.31528017256846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123.92345103798026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123.92345103798026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0.8600000000003547</v>
      </c>
      <c r="CU118" s="17">
        <f>CT118*VLOOKUP('Données projet'!$B$13,Paramètres!$A$1:$I$89,3,0)*VLOOKUP('Données projet'!$B$13,Paramètres!$A$1:$I$89,5,0)</f>
        <v>0.48074000000019829</v>
      </c>
      <c r="CV118" s="13">
        <f t="shared" si="95"/>
        <v>0.24126147010950588</v>
      </c>
      <c r="CW118" s="20">
        <f t="shared" si="67"/>
        <v>1.2574858937744013</v>
      </c>
      <c r="CX118" s="59">
        <f t="shared" si="68"/>
        <v>282.33919143687166</v>
      </c>
      <c r="CY118" s="59">
        <f ca="1">AVERAGE(OFFSET($CX$3,0,0,'Données projet'!$E$13+1,1))-AVERAGE(OFFSET($H$3,0,0,'Données projet'!$E$13+1,1))</f>
        <v>420.4890915162182</v>
      </c>
      <c r="CZ118" s="59">
        <f t="shared" si="96"/>
        <v>553.48432338023565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113.30422125130745</v>
      </c>
      <c r="DG118" s="21">
        <f>EXP(-LN(2)/25)*DG117+(1-EXP(-LN(2)/25))/(LN(2)/25)*Calculateur!DB118*Calculateur!DD118*VLOOKUP('Données projet'!$B$13,Paramètres!$A$1:$I$89,3,0)*0.475*44/12</f>
        <v>4.7907321289315234</v>
      </c>
      <c r="DH118" s="21">
        <f>EXP(-LN(2)/2)*DH117+(1-EXP(-LN(2)/2))/(LN(2)/2)*DB118*DE118*VLOOKUP('Données projet'!$B$13,Paramètres!$A$1:$I$89,3,0)*0.475*44/12</f>
        <v>1.1896254901317942E-13</v>
      </c>
      <c r="DI118" s="22">
        <f t="shared" si="69"/>
        <v>118.09495338023909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9.4029999999999916</v>
      </c>
      <c r="DO118" s="12">
        <f>IF('Données projet'!$A$166&gt;35,DO117+DN118-DW117,IF(A118&lt;'Données projet'!$A$166,$DL$205^A118,IF(A118='Données projet'!$A$166,'Données projet'!$B$166,DO117+DN118-DW117)))</f>
        <v>488.42800000000034</v>
      </c>
      <c r="DP118" s="17">
        <f>DO118*VLOOKUP('Données projet'!$B$14,Paramètres!$A$1:$I$89,3,0)*VLOOKUP('Données projet'!$B$14,Paramètres!$A$1:$I$89,5,0)</f>
        <v>525.74389920000033</v>
      </c>
      <c r="DQ118" s="13">
        <f t="shared" si="97"/>
        <v>116.84985690927665</v>
      </c>
      <c r="DR118" s="20">
        <f t="shared" si="70"/>
        <v>1119.1841252236575</v>
      </c>
      <c r="DS118" s="59">
        <f t="shared" si="71"/>
        <v>1400.2658307667548</v>
      </c>
      <c r="DT118" s="59">
        <f ca="1">AVERAGE(OFFSET($DS$3,0,0,'Données projet'!$E$14+1,1))-AVERAGE(OFFSET($H$3,0,0,'Données projet'!$E$14+1,1))</f>
        <v>659.55755908012691</v>
      </c>
      <c r="DU118" s="59">
        <f t="shared" si="98"/>
        <v>343.96647464823627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140.17570691181359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140.17570691181359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9.4029999999999916</v>
      </c>
      <c r="EJ118" s="12">
        <f>IF('Données projet'!$A$192&gt;35,EJ117+EI118-ER117,IF(A118&lt;'Données projet'!$A$192,$EG$205^A118,IF(A118='Données projet'!$A$192,'Données projet'!$B$192,EJ117+EI118-ER117)))</f>
        <v>488.42800000000034</v>
      </c>
      <c r="EK118" s="17">
        <f>EJ118*VLOOKUP('Données projet'!$B$15,Paramètres!$A$1:$I$89,3,0)*VLOOKUP('Données projet'!$B$15,Paramètres!$A$1:$I$89,5,0)</f>
        <v>472.40756160000035</v>
      </c>
      <c r="EL118" s="13">
        <f t="shared" si="99"/>
        <v>106.31105431123427</v>
      </c>
      <c r="EM118" s="20">
        <f t="shared" si="73"/>
        <v>1007.9349227120669</v>
      </c>
      <c r="EN118" s="59">
        <f t="shared" si="74"/>
        <v>1289.0166282551641</v>
      </c>
      <c r="EO118" s="59">
        <f ca="1">AVERAGE(OFFSET($EN$3,0,0,'Données projet'!$E$15+1,1))-AVERAGE(OFFSET($H$3,0,0,'Données projet'!$E$15+1,1))</f>
        <v>600.96600099541388</v>
      </c>
      <c r="EP118" s="59">
        <f t="shared" si="100"/>
        <v>315.40159257508969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125.95498302220943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125.95498302220943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450.43748880000032</v>
      </c>
      <c r="P119" s="13">
        <f t="shared" si="87"/>
        <v>101.93035443256859</v>
      </c>
      <c r="Q119" s="20">
        <f t="shared" si="107"/>
        <v>962.04066029672424</v>
      </c>
      <c r="R119" s="59">
        <f t="shared" si="55"/>
        <v>1243.3349041914457</v>
      </c>
      <c r="S119" s="59">
        <f ca="1">AVERAGE(OFFSET($R$3,0,0,'Données projet'!$E$9+1,1))-AVERAGE(OFFSET($H$3,0,0,'Données projet'!$E$9+1,1))</f>
        <v>567.42635821336114</v>
      </c>
      <c r="T119" s="59">
        <f t="shared" si="88"/>
        <v>299.0473530693472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115.51830310557524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115.51830310557524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475.00000000000023</v>
      </c>
      <c r="AJ119" s="13">
        <f>AI119*VLOOKUP('Données projet'!$B$10,Paramètres!$A$1:$I$89,3,0)*VLOOKUP('Données projet'!$B$10,Paramètres!$A$1:$I$89,5,0)</f>
        <v>407.5500000000003</v>
      </c>
      <c r="AK119" s="13">
        <f t="shared" si="89"/>
        <v>93.305642095357683</v>
      </c>
      <c r="AL119" s="20">
        <f t="shared" si="58"/>
        <v>872.32357664941526</v>
      </c>
      <c r="AM119" s="59">
        <f t="shared" si="59"/>
        <v>1153.6178205441367</v>
      </c>
      <c r="AN119" s="59">
        <f ca="1">AVERAGE(OFFSET($AM$3,0,0,'Données projet'!$E$10+1,1))-AVERAGE(OFFSET($H$3,0,0,'Données projet'!$E$10+1,1))</f>
        <v>570.05585579662738</v>
      </c>
      <c r="AO119" s="59">
        <f t="shared" si="90"/>
        <v>331.25104323342907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132.29745514100759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132.29745514100759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16.750000000000213</v>
      </c>
      <c r="BE119" s="13">
        <f>BD119*VLOOKUP('Données projet'!$B$11,Paramètres!$A$1:$I$89,3,0)*VLOOKUP('Données projet'!$B$11,Paramètres!$A$1:$I$89,5,0)</f>
        <v>14.11020000000018</v>
      </c>
      <c r="BF119" s="13">
        <f t="shared" si="91"/>
        <v>4.7783677814795205</v>
      </c>
      <c r="BG119" s="20">
        <f t="shared" si="61"/>
        <v>32.897588886077138</v>
      </c>
      <c r="BH119" s="59">
        <f t="shared" si="62"/>
        <v>314.19183278079862</v>
      </c>
      <c r="BI119" s="59">
        <f ca="1">AVERAGE(OFFSET($BH$3,0,0,'Données projet'!$E$11+1,1))-AVERAGE(OFFSET($H$3,0,0,'Données projet'!$E$11+1,1))</f>
        <v>458.88102603650725</v>
      </c>
      <c r="BJ119" s="59">
        <f t="shared" si="92"/>
        <v>277.79020316059552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208.55911103645391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208.55911103645391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9.4029999999999916</v>
      </c>
      <c r="BY119" s="12">
        <f>IF('Données projet'!$A$114&gt;35,BY118+BX119-CG118,IF(A119&lt;'Données projet'!$A$114,$BV$205^A119,IF(A119='Données projet'!$A$114,'Données projet'!$B$114,BY118+BX119-CG118)))</f>
        <v>497.83100000000036</v>
      </c>
      <c r="BZ119" s="13">
        <f>BY119*VLOOKUP('Données projet'!$B$12,Paramètres!$A$1:$I$89,3,0)*VLOOKUP('Données projet'!$B$12,Paramètres!$A$1:$I$89,5,0)</f>
        <v>473.73597960000029</v>
      </c>
      <c r="CA119" s="13">
        <f t="shared" si="93"/>
        <v>106.57516199445891</v>
      </c>
      <c r="CB119" s="20">
        <f t="shared" si="64"/>
        <v>1010.7085716103497</v>
      </c>
      <c r="CC119" s="59">
        <f t="shared" si="65"/>
        <v>1292.0028155050713</v>
      </c>
      <c r="CD119" s="59">
        <f ca="1">AVERAGE(OFFSET($CC$3,0,0,'Données projet'!$E$12+1,1))-AVERAGE(OFFSET($H$3,0,0,'Données projet'!$E$12+1,1))</f>
        <v>592.58528888957346</v>
      </c>
      <c r="CE119" s="59">
        <f t="shared" si="94"/>
        <v>311.31528017256846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121.49338774896711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121.49338774896711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0.8600000000003547</v>
      </c>
      <c r="CU119" s="17">
        <f>CT119*VLOOKUP('Données projet'!$B$13,Paramètres!$A$1:$I$89,3,0)*VLOOKUP('Données projet'!$B$13,Paramètres!$A$1:$I$89,5,0)</f>
        <v>0.48074000000019829</v>
      </c>
      <c r="CV119" s="13">
        <f t="shared" si="95"/>
        <v>0.24126147010950588</v>
      </c>
      <c r="CW119" s="20">
        <f t="shared" si="67"/>
        <v>1.2574858937744013</v>
      </c>
      <c r="CX119" s="59">
        <f t="shared" si="68"/>
        <v>282.55172978849589</v>
      </c>
      <c r="CY119" s="59">
        <f ca="1">AVERAGE(OFFSET($CX$3,0,0,'Données projet'!$E$13+1,1))-AVERAGE(OFFSET($H$3,0,0,'Données projet'!$E$13+1,1))</f>
        <v>420.4890915162182</v>
      </c>
      <c r="CZ119" s="59">
        <f t="shared" si="96"/>
        <v>553.48432338023565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111.08239458132036</v>
      </c>
      <c r="DG119" s="21">
        <f>EXP(-LN(2)/25)*DG118+(1-EXP(-LN(2)/25))/(LN(2)/25)*Calculateur!DB119*Calculateur!DD119*VLOOKUP('Données projet'!$B$13,Paramètres!$A$1:$I$89,3,0)*0.475*44/12</f>
        <v>4.6597293069322374</v>
      </c>
      <c r="DH119" s="21">
        <f>EXP(-LN(2)/2)*DH118+(1-EXP(-LN(2)/2))/(LN(2)/2)*DB119*DE119*VLOOKUP('Données projet'!$B$13,Paramètres!$A$1:$I$89,3,0)*0.475*44/12</f>
        <v>8.4119225114456201E-14</v>
      </c>
      <c r="DI119" s="22">
        <f t="shared" si="69"/>
        <v>115.74212388825268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9.4029999999999916</v>
      </c>
      <c r="DO119" s="12">
        <f>IF('Données projet'!$A$166&gt;35,DO118+DN119-DW118,IF(A119&lt;'Données projet'!$A$166,$DL$205^A119,IF(A119='Données projet'!$A$166,'Données projet'!$B$166,DO118+DN119-DW118)))</f>
        <v>497.83100000000036</v>
      </c>
      <c r="DP119" s="17">
        <f>DO119*VLOOKUP('Données projet'!$B$14,Paramètres!$A$1:$I$89,3,0)*VLOOKUP('Données projet'!$B$14,Paramètres!$A$1:$I$89,5,0)</f>
        <v>535.86528840000028</v>
      </c>
      <c r="DQ119" s="13">
        <f t="shared" si="97"/>
        <v>118.83534074793141</v>
      </c>
      <c r="DR119" s="20">
        <f t="shared" si="70"/>
        <v>1140.2702624326478</v>
      </c>
      <c r="DS119" s="59">
        <f t="shared" si="71"/>
        <v>1421.5645063273691</v>
      </c>
      <c r="DT119" s="59">
        <f ca="1">AVERAGE(OFFSET($DS$3,0,0,'Données projet'!$E$14+1,1))-AVERAGE(OFFSET($H$3,0,0,'Données projet'!$E$14+1,1))</f>
        <v>659.55755908012691</v>
      </c>
      <c r="DU119" s="59">
        <f t="shared" si="98"/>
        <v>343.96647464823627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137.42694679801184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137.42694679801184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9.4029999999999916</v>
      </c>
      <c r="EJ119" s="12">
        <f>IF('Données projet'!$A$192&gt;35,EJ118+EI119-ER118,IF(A119&lt;'Données projet'!$A$192,$EG$205^A119,IF(A119='Données projet'!$A$192,'Données projet'!$B$192,EJ118+EI119-ER118)))</f>
        <v>497.83100000000036</v>
      </c>
      <c r="EK119" s="17">
        <f>EJ119*VLOOKUP('Données projet'!$B$15,Paramètres!$A$1:$I$89,3,0)*VLOOKUP('Données projet'!$B$15,Paramètres!$A$1:$I$89,5,0)</f>
        <v>481.50214320000038</v>
      </c>
      <c r="EL119" s="13">
        <f t="shared" si="99"/>
        <v>108.11746542536339</v>
      </c>
      <c r="EM119" s="20">
        <f t="shared" si="73"/>
        <v>1026.9208183558419</v>
      </c>
      <c r="EN119" s="59">
        <f t="shared" si="74"/>
        <v>1308.2150622505633</v>
      </c>
      <c r="EO119" s="59">
        <f ca="1">AVERAGE(OFFSET($EN$3,0,0,'Données projet'!$E$15+1,1))-AVERAGE(OFFSET($H$3,0,0,'Données projet'!$E$15+1,1))</f>
        <v>600.96600099541388</v>
      </c>
      <c r="EP119" s="59">
        <f t="shared" si="100"/>
        <v>315.40159257508969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123.48508263009772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123.48508263009772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458.94532320000036</v>
      </c>
      <c r="P120" s="13">
        <f t="shared" si="87"/>
        <v>103.62965183753882</v>
      </c>
      <c r="Q120" s="20">
        <f t="shared" si="107"/>
        <v>979.81808152371411</v>
      </c>
      <c r="R120" s="59">
        <f t="shared" si="55"/>
        <v>1261.3211767048238</v>
      </c>
      <c r="S120" s="59">
        <f ca="1">AVERAGE(OFFSET($R$3,0,0,'Données projet'!$E$9+1,1))-AVERAGE(OFFSET($H$3,0,0,'Données projet'!$E$9+1,1))</f>
        <v>567.42635821336114</v>
      </c>
      <c r="T120" s="59">
        <f t="shared" si="88"/>
        <v>299.0473530693472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113.25305964088254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113.25305964088254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475.00000000000023</v>
      </c>
      <c r="AJ120" s="13">
        <f>AI120*VLOOKUP('Données projet'!$B$10,Paramètres!$A$1:$I$89,3,0)*VLOOKUP('Données projet'!$B$10,Paramètres!$A$1:$I$89,5,0)</f>
        <v>407.5500000000003</v>
      </c>
      <c r="AK120" s="13">
        <f t="shared" si="89"/>
        <v>93.305642095357683</v>
      </c>
      <c r="AL120" s="20">
        <f t="shared" si="58"/>
        <v>872.32357664941526</v>
      </c>
      <c r="AM120" s="59">
        <f t="shared" si="59"/>
        <v>1153.8266718305249</v>
      </c>
      <c r="AN120" s="59">
        <f ca="1">AVERAGE(OFFSET($AM$3,0,0,'Données projet'!$E$10+1,1))-AVERAGE(OFFSET($H$3,0,0,'Données projet'!$E$10+1,1))</f>
        <v>570.05585579662738</v>
      </c>
      <c r="AO120" s="59">
        <f t="shared" si="90"/>
        <v>331.25104323342907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129.70318273917223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129.70318273917223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16.750000000000213</v>
      </c>
      <c r="BE120" s="13">
        <f>BD120*VLOOKUP('Données projet'!$B$11,Paramètres!$A$1:$I$89,3,0)*VLOOKUP('Données projet'!$B$11,Paramètres!$A$1:$I$89,5,0)</f>
        <v>14.11020000000018</v>
      </c>
      <c r="BF120" s="13">
        <f t="shared" si="91"/>
        <v>4.7783677814795205</v>
      </c>
      <c r="BG120" s="20">
        <f t="shared" si="61"/>
        <v>32.897588886077138</v>
      </c>
      <c r="BH120" s="59">
        <f t="shared" si="62"/>
        <v>314.40068406718677</v>
      </c>
      <c r="BI120" s="59">
        <f ca="1">AVERAGE(OFFSET($BH$3,0,0,'Données projet'!$E$11+1,1))-AVERAGE(OFFSET($H$3,0,0,'Données projet'!$E$11+1,1))</f>
        <v>458.88102603650725</v>
      </c>
      <c r="BJ120" s="59">
        <f t="shared" si="92"/>
        <v>277.79020316059552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204.46939407752598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204.46939407752598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9.4029999999999916</v>
      </c>
      <c r="BY120" s="12">
        <f>IF('Données projet'!$A$114&gt;35,BY119+BX120-CG119,IF(A120&lt;'Données projet'!$A$114,$BV$205^A120,IF(A120='Données projet'!$A$114,'Données projet'!$B$114,BY119+BX120-CG119)))</f>
        <v>507.23400000000038</v>
      </c>
      <c r="BZ120" s="13">
        <f>BY120*VLOOKUP('Données projet'!$B$12,Paramètres!$A$1:$I$89,3,0)*VLOOKUP('Données projet'!$B$12,Paramètres!$A$1:$I$89,5,0)</f>
        <v>482.68387440000032</v>
      </c>
      <c r="CA120" s="13">
        <f t="shared" si="93"/>
        <v>108.35189373663384</v>
      </c>
      <c r="CB120" s="20">
        <f t="shared" si="64"/>
        <v>1029.3872961713043</v>
      </c>
      <c r="CC120" s="59">
        <f t="shared" si="65"/>
        <v>1310.8903913524141</v>
      </c>
      <c r="CD120" s="59">
        <f ca="1">AVERAGE(OFFSET($CC$3,0,0,'Données projet'!$E$12+1,1))-AVERAGE(OFFSET($H$3,0,0,'Données projet'!$E$12+1,1))</f>
        <v>592.58528888957346</v>
      </c>
      <c r="CE120" s="59">
        <f t="shared" si="94"/>
        <v>311.31528017256846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119.11097651885926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119.11097651885926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0.8600000000003547</v>
      </c>
      <c r="CU120" s="17">
        <f>CT120*VLOOKUP('Données projet'!$B$13,Paramètres!$A$1:$I$89,3,0)*VLOOKUP('Données projet'!$B$13,Paramètres!$A$1:$I$89,5,0)</f>
        <v>0.48074000000019829</v>
      </c>
      <c r="CV120" s="13">
        <f t="shared" si="95"/>
        <v>0.24126147010950588</v>
      </c>
      <c r="CW120" s="20">
        <f t="shared" si="67"/>
        <v>1.2574858937744013</v>
      </c>
      <c r="CX120" s="59">
        <f t="shared" si="68"/>
        <v>282.76058107488404</v>
      </c>
      <c r="CY120" s="59">
        <f ca="1">AVERAGE(OFFSET($CX$3,0,0,'Données projet'!$E$13+1,1))-AVERAGE(OFFSET($H$3,0,0,'Données projet'!$E$13+1,1))</f>
        <v>420.4890915162182</v>
      </c>
      <c r="CZ120" s="59">
        <f t="shared" si="96"/>
        <v>553.48432338023565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108.90413657715125</v>
      </c>
      <c r="DG120" s="21">
        <f>EXP(-LN(2)/25)*DG119+(1-EXP(-LN(2)/25))/(LN(2)/25)*Calculateur!DB120*Calculateur!DD120*VLOOKUP('Données projet'!$B$13,Paramètres!$A$1:$I$89,3,0)*0.475*44/12</f>
        <v>4.5323087639896613</v>
      </c>
      <c r="DH120" s="21">
        <f>EXP(-LN(2)/2)*DH119+(1-EXP(-LN(2)/2))/(LN(2)/2)*DB120*DE120*VLOOKUP('Données projet'!$B$13,Paramètres!$A$1:$I$89,3,0)*0.475*44/12</f>
        <v>5.9481274506589712E-14</v>
      </c>
      <c r="DI120" s="22">
        <f t="shared" si="69"/>
        <v>113.43644534114097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9.4029999999999916</v>
      </c>
      <c r="DO120" s="12">
        <f>IF('Données projet'!$A$166&gt;35,DO119+DN120-DW119,IF(A120&lt;'Données projet'!$A$166,$DL$205^A120,IF(A120='Données projet'!$A$166,'Données projet'!$B$166,DO119+DN120-DW119)))</f>
        <v>507.23400000000038</v>
      </c>
      <c r="DP120" s="17">
        <f>DO120*VLOOKUP('Données projet'!$B$14,Paramètres!$A$1:$I$89,3,0)*VLOOKUP('Données projet'!$B$14,Paramètres!$A$1:$I$89,5,0)</f>
        <v>545.98667760000035</v>
      </c>
      <c r="DQ120" s="13">
        <f t="shared" si="97"/>
        <v>120.81646391066211</v>
      </c>
      <c r="DR120" s="20">
        <f t="shared" si="70"/>
        <v>1161.3488047977371</v>
      </c>
      <c r="DS120" s="59">
        <f t="shared" si="71"/>
        <v>1442.8518999788466</v>
      </c>
      <c r="DT120" s="59">
        <f ca="1">AVERAGE(OFFSET($DS$3,0,0,'Données projet'!$E$14+1,1))-AVERAGE(OFFSET($H$3,0,0,'Données projet'!$E$14+1,1))</f>
        <v>659.55755908012691</v>
      </c>
      <c r="DU120" s="59">
        <f t="shared" si="98"/>
        <v>343.96647464823627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134.73208819346362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134.73208819346362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9.4029999999999916</v>
      </c>
      <c r="EJ120" s="12">
        <f>IF('Données projet'!$A$192&gt;35,EJ119+EI120-ER119,IF(A120&lt;'Données projet'!$A$192,$EG$205^A120,IF(A120='Données projet'!$A$192,'Données projet'!$B$192,EJ119+EI120-ER119)))</f>
        <v>507.23400000000038</v>
      </c>
      <c r="EK120" s="17">
        <f>EJ120*VLOOKUP('Données projet'!$B$15,Paramètres!$A$1:$I$89,3,0)*VLOOKUP('Données projet'!$B$15,Paramètres!$A$1:$I$89,5,0)</f>
        <v>490.59672480000035</v>
      </c>
      <c r="EL120" s="13">
        <f t="shared" si="99"/>
        <v>109.91990915718451</v>
      </c>
      <c r="EM120" s="20">
        <f t="shared" si="73"/>
        <v>1045.8998041420966</v>
      </c>
      <c r="EN120" s="59">
        <f t="shared" si="74"/>
        <v>1327.4028993232064</v>
      </c>
      <c r="EO120" s="59">
        <f ca="1">AVERAGE(OFFSET($EN$3,0,0,'Données projet'!$E$15+1,1))-AVERAGE(OFFSET($H$3,0,0,'Données projet'!$E$15+1,1))</f>
        <v>600.96600099541388</v>
      </c>
      <c r="EP120" s="59">
        <f t="shared" si="100"/>
        <v>315.40159257508969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121.06361547818483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121.06361547818483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467.45315760000034</v>
      </c>
      <c r="P121" s="13">
        <f t="shared" si="87"/>
        <v>105.3252862310737</v>
      </c>
      <c r="Q121" s="20">
        <f t="shared" si="107"/>
        <v>997.5891230057872</v>
      </c>
      <c r="R121" s="59">
        <f t="shared" si="55"/>
        <v>1279.2974463703877</v>
      </c>
      <c r="S121" s="59">
        <f ca="1">AVERAGE(OFFSET($R$3,0,0,'Données projet'!$E$9+1,1))-AVERAGE(OFFSET($H$3,0,0,'Données projet'!$E$9+1,1))</f>
        <v>567.42635821336114</v>
      </c>
      <c r="T121" s="59">
        <f t="shared" si="88"/>
        <v>299.0473530693472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111.03223621887037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111.03223621887037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475.00000000000023</v>
      </c>
      <c r="AJ121" s="13">
        <f>AI121*VLOOKUP('Données projet'!$B$10,Paramètres!$A$1:$I$89,3,0)*VLOOKUP('Données projet'!$B$10,Paramètres!$A$1:$I$89,5,0)</f>
        <v>407.5500000000003</v>
      </c>
      <c r="AK121" s="13">
        <f t="shared" si="89"/>
        <v>93.305642095357683</v>
      </c>
      <c r="AL121" s="20">
        <f t="shared" si="58"/>
        <v>872.32357664941526</v>
      </c>
      <c r="AM121" s="59">
        <f t="shared" si="59"/>
        <v>1154.0319000140157</v>
      </c>
      <c r="AN121" s="59">
        <f ca="1">AVERAGE(OFFSET($AM$3,0,0,'Données projet'!$E$10+1,1))-AVERAGE(OFFSET($H$3,0,0,'Données projet'!$E$10+1,1))</f>
        <v>570.05585579662738</v>
      </c>
      <c r="AO121" s="59">
        <f t="shared" si="90"/>
        <v>331.25104323342907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127.15978243678697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127.15978243678697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16.750000000000213</v>
      </c>
      <c r="BE121" s="13">
        <f>BD121*VLOOKUP('Données projet'!$B$11,Paramètres!$A$1:$I$89,3,0)*VLOOKUP('Données projet'!$B$11,Paramètres!$A$1:$I$89,5,0)</f>
        <v>14.11020000000018</v>
      </c>
      <c r="BF121" s="13">
        <f t="shared" si="91"/>
        <v>4.7783677814795205</v>
      </c>
      <c r="BG121" s="20">
        <f t="shared" si="61"/>
        <v>32.897588886077138</v>
      </c>
      <c r="BH121" s="59">
        <f t="shared" si="62"/>
        <v>314.60591225067753</v>
      </c>
      <c r="BI121" s="59">
        <f ca="1">AVERAGE(OFFSET($BH$3,0,0,'Données projet'!$E$11+1,1))-AVERAGE(OFFSET($H$3,0,0,'Données projet'!$E$11+1,1))</f>
        <v>458.88102603650725</v>
      </c>
      <c r="BJ121" s="59">
        <f t="shared" si="92"/>
        <v>277.79020316059552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200.4598739736816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200.4598739736816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9.4029999999999916</v>
      </c>
      <c r="BY121" s="12">
        <f>IF('Données projet'!$A$114&gt;35,BY120+BX121-CG120,IF(A121&lt;'Données projet'!$A$114,$BV$205^A121,IF(A121='Données projet'!$A$114,'Données projet'!$B$114,BY120+BX121-CG120)))</f>
        <v>516.6370000000004</v>
      </c>
      <c r="BZ121" s="13">
        <f>BY121*VLOOKUP('Données projet'!$B$12,Paramètres!$A$1:$I$89,3,0)*VLOOKUP('Données projet'!$B$12,Paramètres!$A$1:$I$89,5,0)</f>
        <v>491.63176920000041</v>
      </c>
      <c r="CA121" s="13">
        <f t="shared" si="93"/>
        <v>110.12479554964476</v>
      </c>
      <c r="CB121" s="20">
        <f t="shared" si="64"/>
        <v>1048.0593502722984</v>
      </c>
      <c r="CC121" s="59">
        <f t="shared" si="65"/>
        <v>1329.7676736368987</v>
      </c>
      <c r="CD121" s="59">
        <f ca="1">AVERAGE(OFFSET($CC$3,0,0,'Données projet'!$E$12+1,1))-AVERAGE(OFFSET($H$3,0,0,'Données projet'!$E$12+1,1))</f>
        <v>592.58528888957346</v>
      </c>
      <c r="CE121" s="59">
        <f t="shared" si="94"/>
        <v>311.31528017256846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116.77528291984646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116.77528291984646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0.8600000000003547</v>
      </c>
      <c r="CU121" s="17">
        <f>CT121*VLOOKUP('Données projet'!$B$13,Paramètres!$A$1:$I$89,3,0)*VLOOKUP('Données projet'!$B$13,Paramètres!$A$1:$I$89,5,0)</f>
        <v>0.48074000000019829</v>
      </c>
      <c r="CV121" s="13">
        <f t="shared" si="95"/>
        <v>0.24126147010950588</v>
      </c>
      <c r="CW121" s="20">
        <f t="shared" si="67"/>
        <v>1.2574858937744013</v>
      </c>
      <c r="CX121" s="59">
        <f t="shared" si="68"/>
        <v>282.9658092583748</v>
      </c>
      <c r="CY121" s="59">
        <f ca="1">AVERAGE(OFFSET($CX$3,0,0,'Données projet'!$E$13+1,1))-AVERAGE(OFFSET($H$3,0,0,'Données projet'!$E$13+1,1))</f>
        <v>420.4890915162182</v>
      </c>
      <c r="CZ121" s="59">
        <f t="shared" si="96"/>
        <v>553.48432338023565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106.7685928838377</v>
      </c>
      <c r="DG121" s="21">
        <f>EXP(-LN(2)/25)*DG120+(1-EXP(-LN(2)/25))/(LN(2)/25)*Calculateur!DB121*Calculateur!DD121*VLOOKUP('Données projet'!$B$13,Paramètres!$A$1:$I$89,3,0)*0.475*44/12</f>
        <v>4.4083725424946048</v>
      </c>
      <c r="DH121" s="21">
        <f>EXP(-LN(2)/2)*DH120+(1-EXP(-LN(2)/2))/(LN(2)/2)*DB121*DE121*VLOOKUP('Données projet'!$B$13,Paramètres!$A$1:$I$89,3,0)*0.475*44/12</f>
        <v>4.20596125572281E-14</v>
      </c>
      <c r="DI121" s="22">
        <f t="shared" si="69"/>
        <v>111.17696542633234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9.4029999999999916</v>
      </c>
      <c r="DO121" s="12">
        <f>IF('Données projet'!$A$166&gt;35,DO120+DN121-DW120,IF(A121&lt;'Données projet'!$A$166,$DL$205^A121,IF(A121='Données projet'!$A$166,'Données projet'!$B$166,DO120+DN121-DW120)))</f>
        <v>516.6370000000004</v>
      </c>
      <c r="DP121" s="17">
        <f>DO121*VLOOKUP('Données projet'!$B$14,Paramètres!$A$1:$I$89,3,0)*VLOOKUP('Données projet'!$B$14,Paramètres!$A$1:$I$89,5,0)</f>
        <v>556.10806680000042</v>
      </c>
      <c r="DQ121" s="13">
        <f t="shared" si="97"/>
        <v>122.79331655736739</v>
      </c>
      <c r="DR121" s="20">
        <f t="shared" si="70"/>
        <v>1182.4199093474156</v>
      </c>
      <c r="DS121" s="59">
        <f t="shared" si="71"/>
        <v>1464.1282327120159</v>
      </c>
      <c r="DT121" s="59">
        <f ca="1">AVERAGE(OFFSET($DS$3,0,0,'Données projet'!$E$14+1,1))-AVERAGE(OFFSET($H$3,0,0,'Données projet'!$E$14+1,1))</f>
        <v>659.55755908012691</v>
      </c>
      <c r="DU121" s="59">
        <f t="shared" si="98"/>
        <v>343.96647464823627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132.09007412244915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132.09007412244915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9.4029999999999916</v>
      </c>
      <c r="EJ121" s="12">
        <f>IF('Données projet'!$A$192&gt;35,EJ120+EI121-ER120,IF(A121&lt;'Données projet'!$A$192,$EG$205^A121,IF(A121='Données projet'!$A$192,'Données projet'!$B$192,EJ120+EI121-ER120)))</f>
        <v>516.6370000000004</v>
      </c>
      <c r="EK121" s="17">
        <f>EJ121*VLOOKUP('Données projet'!$B$15,Paramètres!$A$1:$I$89,3,0)*VLOOKUP('Données projet'!$B$15,Paramètres!$A$1:$I$89,5,0)</f>
        <v>499.69130640000043</v>
      </c>
      <c r="EL121" s="13">
        <f t="shared" si="99"/>
        <v>111.71846753498681</v>
      </c>
      <c r="EM121" s="20">
        <f t="shared" si="73"/>
        <v>1064.8720229367693</v>
      </c>
      <c r="EN121" s="59">
        <f t="shared" si="74"/>
        <v>1346.5803463013697</v>
      </c>
      <c r="EO121" s="59">
        <f ca="1">AVERAGE(OFFSET($EN$3,0,0,'Données projet'!$E$15+1,1))-AVERAGE(OFFSET($H$3,0,0,'Données projet'!$E$15+1,1))</f>
        <v>600.96600099541388</v>
      </c>
      <c r="EP121" s="59">
        <f t="shared" si="100"/>
        <v>315.40159257508969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118.68963182017183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118.68963182017183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475.96099200000037</v>
      </c>
      <c r="P122" s="13">
        <f t="shared" si="87"/>
        <v>107.01733197112763</v>
      </c>
      <c r="Q122" s="20">
        <f t="shared" si="107"/>
        <v>1015.3539142497146</v>
      </c>
      <c r="R122" s="59">
        <f t="shared" si="55"/>
        <v>1297.2639055476438</v>
      </c>
      <c r="S122" s="59">
        <f ca="1">AVERAGE(OFFSET($R$3,0,0,'Données projet'!$E$9+1,1))-AVERAGE(OFFSET($H$3,0,0,'Données projet'!$E$9+1,1))</f>
        <v>567.42635821336114</v>
      </c>
      <c r="T122" s="59">
        <f t="shared" si="88"/>
        <v>299.0473530693472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193.35215784190802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193.35215784190802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475.00000000000023</v>
      </c>
      <c r="AJ122" s="13">
        <f>AI122*VLOOKUP('Données projet'!$B$10,Paramètres!$A$1:$I$89,3,0)*VLOOKUP('Données projet'!$B$10,Paramètres!$A$1:$I$89,5,0)</f>
        <v>407.5500000000003</v>
      </c>
      <c r="AK122" s="13">
        <f t="shared" si="89"/>
        <v>93.305642095357683</v>
      </c>
      <c r="AL122" s="20">
        <f t="shared" si="58"/>
        <v>872.32357664941526</v>
      </c>
      <c r="AM122" s="59">
        <f t="shared" si="59"/>
        <v>1154.2335679473445</v>
      </c>
      <c r="AN122" s="59">
        <f ca="1">AVERAGE(OFFSET($AM$3,0,0,'Données projet'!$E$10+1,1))-AVERAGE(OFFSET($H$3,0,0,'Données projet'!$E$10+1,1))</f>
        <v>570.05585579662738</v>
      </c>
      <c r="AO122" s="59">
        <f t="shared" si="90"/>
        <v>331.25104323342907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124.66625666301047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124.66625666301047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16.750000000000213</v>
      </c>
      <c r="BE122" s="13">
        <f>BD122*VLOOKUP('Données projet'!$B$11,Paramètres!$A$1:$I$89,3,0)*VLOOKUP('Données projet'!$B$11,Paramètres!$A$1:$I$89,5,0)</f>
        <v>14.11020000000018</v>
      </c>
      <c r="BF122" s="13">
        <f t="shared" si="91"/>
        <v>4.7783677814795205</v>
      </c>
      <c r="BG122" s="20">
        <f t="shared" si="61"/>
        <v>32.897588886077138</v>
      </c>
      <c r="BH122" s="59">
        <f t="shared" si="62"/>
        <v>314.80758018400627</v>
      </c>
      <c r="BI122" s="59">
        <f ca="1">AVERAGE(OFFSET($BH$3,0,0,'Données projet'!$E$11+1,1))-AVERAGE(OFFSET($H$3,0,0,'Données projet'!$E$11+1,1))</f>
        <v>458.88102603650725</v>
      </c>
      <c r="BJ122" s="59">
        <f t="shared" si="92"/>
        <v>277.79020316059552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196.5289781135078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196.5289781135078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526.04</v>
      </c>
      <c r="BW122" s="12">
        <f>VLOOKUP(A122,'Données projet'!$A$113:$I$133,9,0)</f>
        <v>9.4029999999999916</v>
      </c>
      <c r="BX122" s="12">
        <f t="array" ref="BX122">INDEX(BW:BW,MIN(IF(ISNUMBER(BW122:BW318),ROW(BW122:BW318),"")))</f>
        <v>9.4029999999999916</v>
      </c>
      <c r="BY122" s="12">
        <f>IF('Données projet'!$A$114&gt;35,BY121+BX122-CG121,IF(A122&lt;'Données projet'!$A$114,$BV$205^A122,IF(A122='Données projet'!$A$114,'Données projet'!$B$114,BY121+BX122-CG121)))</f>
        <v>526.04000000000042</v>
      </c>
      <c r="BZ122" s="13">
        <f>BY122*VLOOKUP('Données projet'!$B$12,Paramètres!$A$1:$I$89,3,0)*VLOOKUP('Données projet'!$B$12,Paramètres!$A$1:$I$89,5,0)</f>
        <v>500.57966400000043</v>
      </c>
      <c r="CA122" s="13">
        <f t="shared" si="93"/>
        <v>111.89394517982277</v>
      </c>
      <c r="CB122" s="20">
        <f t="shared" si="64"/>
        <v>1066.7248693215251</v>
      </c>
      <c r="CC122" s="59">
        <f t="shared" si="65"/>
        <v>1348.6348606194542</v>
      </c>
      <c r="CD122" s="59">
        <f ca="1">AVERAGE(OFFSET($CC$3,0,0,'Données projet'!$E$12+1,1))-AVERAGE(OFFSET($H$3,0,0,'Données projet'!$E$12+1,1))</f>
        <v>592.58528888957346</v>
      </c>
      <c r="CE122" s="59">
        <f t="shared" si="94"/>
        <v>311.31528017256846</v>
      </c>
      <c r="CF122" s="15">
        <f>IF(ISNA(VLOOKUP(A122,'Données projet'!$A$113:$I$133,3,0)),0,VLOOKUP(A122,'Données projet'!$A$113:$I$133,3,0))</f>
        <v>11</v>
      </c>
      <c r="CG122" s="15">
        <f>IF(ISNA(VLOOKUP(A122,'Données projet'!$A$113:$I$133,4,0)),0,VLOOKUP(A122,'Données projet'!$A$113:$I$133,4,0))</f>
        <v>196.46</v>
      </c>
      <c r="CH122" s="16">
        <f>IF(ISNA(VLOOKUP(A122,'Données projet'!$A$113:$I$133,5,0)),0%,VLOOKUP(A122,'Données projet'!$A$113:$I$133,5,0)*VLOOKUP('Données projet'!$B$12,Paramètres!$A$1:$I$89,7,0))</f>
        <v>0.43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203.35313152338608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203.35313152338608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0.8600000000003547</v>
      </c>
      <c r="CU122" s="17">
        <f>CT122*VLOOKUP('Données projet'!$B$13,Paramètres!$A$1:$I$89,3,0)*VLOOKUP('Données projet'!$B$13,Paramètres!$A$1:$I$89,5,0)</f>
        <v>0.48074000000019829</v>
      </c>
      <c r="CV122" s="13">
        <f t="shared" si="95"/>
        <v>0.24126147010950588</v>
      </c>
      <c r="CW122" s="20">
        <f t="shared" si="67"/>
        <v>1.2574858937744013</v>
      </c>
      <c r="CX122" s="59">
        <f t="shared" si="68"/>
        <v>283.16747719170354</v>
      </c>
      <c r="CY122" s="59">
        <f ca="1">AVERAGE(OFFSET($CX$3,0,0,'Données projet'!$E$13+1,1))-AVERAGE(OFFSET($H$3,0,0,'Données projet'!$E$13+1,1))</f>
        <v>420.4890915162182</v>
      </c>
      <c r="CZ122" s="59">
        <f t="shared" si="96"/>
        <v>553.48432338023565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104.67492589979699</v>
      </c>
      <c r="DG122" s="21">
        <f>EXP(-LN(2)/25)*DG121+(1-EXP(-LN(2)/25))/(LN(2)/25)*Calculateur!DB122*Calculateur!DD122*VLOOKUP('Données projet'!$B$13,Paramètres!$A$1:$I$89,3,0)*0.475*44/12</f>
        <v>4.2878253634938535</v>
      </c>
      <c r="DH122" s="21">
        <f>EXP(-LN(2)/2)*DH121+(1-EXP(-LN(2)/2))/(LN(2)/2)*DB122*DE122*VLOOKUP('Données projet'!$B$13,Paramètres!$A$1:$I$89,3,0)*0.475*44/12</f>
        <v>2.9740637253294856E-14</v>
      </c>
      <c r="DI122" s="22">
        <f t="shared" si="69"/>
        <v>108.96275126329087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>
        <f>VLOOKUP(A122,'Données projet'!$A$165:$I$185,2,0)</f>
        <v>526.04</v>
      </c>
      <c r="DM122" s="12">
        <f>VLOOKUP(A122,'Données projet'!$A$165:$I$185,9,0)</f>
        <v>9.4029999999999916</v>
      </c>
      <c r="DN122" s="12">
        <f t="array" ref="DN122">INDEX(DM:DM,MIN(IF(ISNUMBER(DM122:DM318),ROW(DM122:DM318),"")))</f>
        <v>9.4029999999999916</v>
      </c>
      <c r="DO122" s="12">
        <f>IF('Données projet'!$A$166&gt;35,DO121+DN122-DW121,IF(A122&lt;'Données projet'!$A$166,$DL$205^A122,IF(A122='Données projet'!$A$166,'Données projet'!$B$166,DO121+DN122-DW121)))</f>
        <v>526.04000000000042</v>
      </c>
      <c r="DP122" s="17">
        <f>DO122*VLOOKUP('Données projet'!$B$14,Paramètres!$A$1:$I$89,3,0)*VLOOKUP('Données projet'!$B$14,Paramètres!$A$1:$I$89,5,0)</f>
        <v>566.22945600000048</v>
      </c>
      <c r="DQ122" s="13">
        <f t="shared" si="97"/>
        <v>124.76598537814958</v>
      </c>
      <c r="DR122" s="20">
        <f t="shared" si="70"/>
        <v>1203.4837270669448</v>
      </c>
      <c r="DS122" s="59">
        <f t="shared" si="71"/>
        <v>1485.3937183648738</v>
      </c>
      <c r="DT122" s="59">
        <f ca="1">AVERAGE(OFFSET($DS$3,0,0,'Données projet'!$E$14+1,1))-AVERAGE(OFFSET($H$3,0,0,'Données projet'!$E$14+1,1))</f>
        <v>659.55755908012691</v>
      </c>
      <c r="DU122" s="59">
        <f t="shared" si="98"/>
        <v>343.96647464823627</v>
      </c>
      <c r="DV122" s="15">
        <f>IF(ISNA(VLOOKUP(A122,'Données projet'!$A$165:$I$185,3,0)),0,VLOOKUP(A122,'Données projet'!$A$165:$I$185,3,0))</f>
        <v>11</v>
      </c>
      <c r="DW122" s="15">
        <f>IF(ISNA(VLOOKUP(A122,'Données projet'!$A$165:$I$185,4,0)),0,VLOOKUP(A122,'Données projet'!$A$165:$I$185,4,0))</f>
        <v>196.46</v>
      </c>
      <c r="DX122" s="16">
        <f>IF(ISNA(VLOOKUP(A122,'Données projet'!$A$165:$I$185,5,0)),0%,VLOOKUP(A122,'Données projet'!$A$165:$I$185,5,0)*VLOOKUP('Données projet'!$B$14,Paramètres!$A$1:$I$89,7,0))</f>
        <v>0.43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230.02239467399397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230.02239467399397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>
        <f>VLOOKUP(A122,'Données projet'!$A$191:$I$211,2,0)</f>
        <v>526.04</v>
      </c>
      <c r="EH122" s="12">
        <f>VLOOKUP(A122,'Données projet'!$A$191:$I$211,9,0)</f>
        <v>9.4029999999999916</v>
      </c>
      <c r="EI122" s="12">
        <f t="array" ref="EI122">INDEX(EH:EH,MIN(IF(ISNUMBER(EH122:EH318),ROW(EH122:EH318),"")))</f>
        <v>9.4029999999999916</v>
      </c>
      <c r="EJ122" s="12">
        <f>IF('Données projet'!$A$192&gt;35,EJ121+EI122-ER121,IF(A122&lt;'Données projet'!$A$192,$EG$205^A122,IF(A122='Données projet'!$A$192,'Données projet'!$B$192,EJ121+EI122-ER121)))</f>
        <v>526.04000000000042</v>
      </c>
      <c r="EK122" s="17">
        <f>EJ122*VLOOKUP('Données projet'!$B$15,Paramètres!$A$1:$I$89,3,0)*VLOOKUP('Données projet'!$B$15,Paramètres!$A$1:$I$89,5,0)</f>
        <v>508.7858880000004</v>
      </c>
      <c r="EL122" s="13">
        <f t="shared" si="99"/>
        <v>113.51321943020805</v>
      </c>
      <c r="EM122" s="20">
        <f t="shared" si="73"/>
        <v>1083.837612107613</v>
      </c>
      <c r="EN122" s="59">
        <f t="shared" si="74"/>
        <v>1365.7476034055421</v>
      </c>
      <c r="EO122" s="59">
        <f ca="1">AVERAGE(OFFSET($EN$3,0,0,'Données projet'!$E$15+1,1))-AVERAGE(OFFSET($H$3,0,0,'Données projet'!$E$15+1,1))</f>
        <v>600.96600099541388</v>
      </c>
      <c r="EP122" s="59">
        <f t="shared" si="100"/>
        <v>315.40159257508969</v>
      </c>
      <c r="EQ122" s="15">
        <f>IF(ISNA(VLOOKUP(A122,'Données projet'!$A$191:$I$211,3,0)),0,VLOOKUP(A122,'Données projet'!$A$191:$I$211,3,0))</f>
        <v>11</v>
      </c>
      <c r="ER122" s="15">
        <f>IF(ISNA(VLOOKUP(A122,'Données projet'!$A$191:$I$211,4,0)),0,VLOOKUP(A122,'Données projet'!$A$191:$I$211,4,0))</f>
        <v>196.46</v>
      </c>
      <c r="ES122" s="16">
        <f>IF(ISNA(VLOOKUP(A122,'Données projet'!$A$191:$I$211,5,0)),0%,VLOOKUP(A122,'Données projet'!$A$191:$I$211,5,0)*VLOOKUP('Données projet'!$B$15,Paramètres!$A$1:$I$89,7,0))</f>
        <v>0.43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206.68678941721208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206.68678941721208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297.86694600000038</v>
      </c>
      <c r="P123" s="13">
        <f t="shared" si="87"/>
        <v>70.729107889768898</v>
      </c>
      <c r="Q123" s="20">
        <f t="shared" si="107"/>
        <v>641.97146052468145</v>
      </c>
      <c r="R123" s="59">
        <f t="shared" si="55"/>
        <v>924.07962126815801</v>
      </c>
      <c r="S123" s="59">
        <f ca="1">AVERAGE(OFFSET($R$3,0,0,'Données projet'!$E$9+1,1))-AVERAGE(OFFSET($H$3,0,0,'Données projet'!$E$9+1,1))</f>
        <v>567.42635821336114</v>
      </c>
      <c r="T123" s="59">
        <f t="shared" si="88"/>
        <v>299.0473530693472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189.56063995979954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189.56063995979954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475.00000000000023</v>
      </c>
      <c r="AJ123" s="13">
        <f>AI123*VLOOKUP('Données projet'!$B$10,Paramètres!$A$1:$I$89,3,0)*VLOOKUP('Données projet'!$B$10,Paramètres!$A$1:$I$89,5,0)</f>
        <v>407.5500000000003</v>
      </c>
      <c r="AK123" s="13">
        <f t="shared" si="89"/>
        <v>93.305642095357683</v>
      </c>
      <c r="AL123" s="20">
        <f t="shared" si="58"/>
        <v>872.32357664941526</v>
      </c>
      <c r="AM123" s="59">
        <f t="shared" si="59"/>
        <v>1154.4317373928918</v>
      </c>
      <c r="AN123" s="59">
        <f ca="1">AVERAGE(OFFSET($AM$3,0,0,'Données projet'!$E$10+1,1))-AVERAGE(OFFSET($H$3,0,0,'Données projet'!$E$10+1,1))</f>
        <v>570.05585579662738</v>
      </c>
      <c r="AO123" s="59">
        <f t="shared" si="90"/>
        <v>331.25104323342907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122.22162740875719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122.22162740875719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16.750000000000213</v>
      </c>
      <c r="BE123" s="13">
        <f>BD123*VLOOKUP('Données projet'!$B$11,Paramètres!$A$1:$I$89,3,0)*VLOOKUP('Données projet'!$B$11,Paramètres!$A$1:$I$89,5,0)</f>
        <v>14.11020000000018</v>
      </c>
      <c r="BF123" s="13">
        <f t="shared" si="91"/>
        <v>4.7783677814795205</v>
      </c>
      <c r="BG123" s="20">
        <f t="shared" si="61"/>
        <v>32.897588886077138</v>
      </c>
      <c r="BH123" s="59">
        <f t="shared" si="62"/>
        <v>315.00574962955375</v>
      </c>
      <c r="BI123" s="59">
        <f ca="1">AVERAGE(OFFSET($BH$3,0,0,'Données projet'!$E$11+1,1))-AVERAGE(OFFSET($H$3,0,0,'Données projet'!$E$11+1,1))</f>
        <v>458.88102603650725</v>
      </c>
      <c r="BJ123" s="59">
        <f t="shared" si="92"/>
        <v>277.79020316059552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192.67516472354231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192.67516472354231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-0.37249999999998806</v>
      </c>
      <c r="BY123" s="12">
        <f>IF('Données projet'!$A$114&gt;35,BY122+BX123-CG122,IF(A123&lt;'Données projet'!$A$114,$BV$205^A123,IF(A123='Données projet'!$A$114,'Données projet'!$B$114,BY122+BX123-CG122)))</f>
        <v>329.20750000000044</v>
      </c>
      <c r="BZ123" s="13">
        <f>BY123*VLOOKUP('Données projet'!$B$12,Paramètres!$A$1:$I$89,3,0)*VLOOKUP('Données projet'!$B$12,Paramètres!$A$1:$I$89,5,0)</f>
        <v>313.27385700000042</v>
      </c>
      <c r="CA123" s="13">
        <f t="shared" si="93"/>
        <v>73.952123222159344</v>
      </c>
      <c r="CB123" s="20">
        <f t="shared" si="64"/>
        <v>674.41858222026156</v>
      </c>
      <c r="CC123" s="59">
        <f t="shared" si="65"/>
        <v>956.52674296373812</v>
      </c>
      <c r="CD123" s="59">
        <f ca="1">AVERAGE(OFFSET($CC$3,0,0,'Données projet'!$E$12+1,1))-AVERAGE(OFFSET($H$3,0,0,'Données projet'!$E$12+1,1))</f>
        <v>592.58528888957346</v>
      </c>
      <c r="CE123" s="59">
        <f t="shared" si="94"/>
        <v>311.31528017256846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199.36550064737546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199.36550064737546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0.8600000000003547</v>
      </c>
      <c r="CU123" s="17">
        <f>CT123*VLOOKUP('Données projet'!$B$13,Paramètres!$A$1:$I$89,3,0)*VLOOKUP('Données projet'!$B$13,Paramètres!$A$1:$I$89,5,0)</f>
        <v>0.48074000000019829</v>
      </c>
      <c r="CV123" s="13">
        <f t="shared" si="95"/>
        <v>0.24126147010950588</v>
      </c>
      <c r="CW123" s="20">
        <f t="shared" si="67"/>
        <v>1.2574858937744013</v>
      </c>
      <c r="CX123" s="59">
        <f t="shared" si="68"/>
        <v>283.36564663725102</v>
      </c>
      <c r="CY123" s="59">
        <f ca="1">AVERAGE(OFFSET($CX$3,0,0,'Données projet'!$E$13+1,1))-AVERAGE(OFFSET($H$3,0,0,'Données projet'!$E$13+1,1))</f>
        <v>420.4890915162182</v>
      </c>
      <c r="CZ123" s="59">
        <f t="shared" si="96"/>
        <v>553.48432338023565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102.62231444830256</v>
      </c>
      <c r="DG123" s="21">
        <f>EXP(-LN(2)/25)*DG122+(1-EXP(-LN(2)/25))/(LN(2)/25)*Calculateur!DB123*Calculateur!DD123*VLOOKUP('Données projet'!$B$13,Paramètres!$A$1:$I$89,3,0)*0.475*44/12</f>
        <v>4.1705745534421785</v>
      </c>
      <c r="DH123" s="21">
        <f>EXP(-LN(2)/2)*DH122+(1-EXP(-LN(2)/2))/(LN(2)/2)*DB123*DE123*VLOOKUP('Données projet'!$B$13,Paramètres!$A$1:$I$89,3,0)*0.475*44/12</f>
        <v>2.102980627861405E-14</v>
      </c>
      <c r="DI123" s="22">
        <f t="shared" si="69"/>
        <v>106.79288900174475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-0.37249999999998806</v>
      </c>
      <c r="DO123" s="12">
        <f>IF('Données projet'!$A$166&gt;35,DO122+DN123-DW122,IF(A123&lt;'Données projet'!$A$166,$DL$205^A123,IF(A123='Données projet'!$A$166,'Données projet'!$B$166,DO122+DN123-DW122)))</f>
        <v>329.20750000000044</v>
      </c>
      <c r="DP123" s="17">
        <f>DO123*VLOOKUP('Données projet'!$B$14,Paramètres!$A$1:$I$89,3,0)*VLOOKUP('Données projet'!$B$14,Paramètres!$A$1:$I$89,5,0)</f>
        <v>354.35895300000044</v>
      </c>
      <c r="DQ123" s="13">
        <f t="shared" si="97"/>
        <v>82.459417350876038</v>
      </c>
      <c r="DR123" s="20">
        <f t="shared" si="70"/>
        <v>760.79199502777647</v>
      </c>
      <c r="DS123" s="59">
        <f t="shared" si="71"/>
        <v>1042.9001557712531</v>
      </c>
      <c r="DT123" s="59">
        <f ca="1">AVERAGE(OFFSET($DS$3,0,0,'Données projet'!$E$14+1,1))-AVERAGE(OFFSET($H$3,0,0,'Données projet'!$E$14+1,1))</f>
        <v>659.55755908012691</v>
      </c>
      <c r="DU123" s="59">
        <f t="shared" si="98"/>
        <v>343.96647464823627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225.51179581424424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225.51179581424424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-0.37249999999998806</v>
      </c>
      <c r="EJ123" s="12">
        <f>IF('Données projet'!$A$192&gt;35,EJ122+EI123-ER122,IF(A123&lt;'Données projet'!$A$192,$EG$205^A123,IF(A123='Données projet'!$A$192,'Données projet'!$B$192,EJ122+EI123-ER122)))</f>
        <v>329.20750000000044</v>
      </c>
      <c r="EK123" s="17">
        <f>EJ123*VLOOKUP('Données projet'!$B$15,Paramètres!$A$1:$I$89,3,0)*VLOOKUP('Données projet'!$B$15,Paramètres!$A$1:$I$89,5,0)</f>
        <v>318.40949400000045</v>
      </c>
      <c r="EL123" s="13">
        <f t="shared" si="99"/>
        <v>75.022322049294417</v>
      </c>
      <c r="EM123" s="20">
        <f t="shared" si="73"/>
        <v>685.22707961918843</v>
      </c>
      <c r="EN123" s="59">
        <f t="shared" si="74"/>
        <v>967.33524036266499</v>
      </c>
      <c r="EO123" s="59">
        <f ca="1">AVERAGE(OFFSET($EN$3,0,0,'Données projet'!$E$15+1,1))-AVERAGE(OFFSET($H$3,0,0,'Données projet'!$E$15+1,1))</f>
        <v>600.96600099541388</v>
      </c>
      <c r="EP123" s="59">
        <f t="shared" si="100"/>
        <v>315.40159257508969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202.63378754323406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202.63378754323406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297.52990800000038</v>
      </c>
      <c r="P124" s="13">
        <f t="shared" si="87"/>
        <v>70.658388410389392</v>
      </c>
      <c r="Q124" s="20">
        <f t="shared" si="107"/>
        <v>641.26128291476209</v>
      </c>
      <c r="R124" s="59">
        <f t="shared" si="55"/>
        <v>923.56417530694648</v>
      </c>
      <c r="S124" s="59">
        <f ca="1">AVERAGE(OFFSET($R$3,0,0,'Données projet'!$E$9+1,1))-AVERAGE(OFFSET($H$3,0,0,'Données projet'!$E$9+1,1))</f>
        <v>567.42635821336114</v>
      </c>
      <c r="T124" s="59">
        <f t="shared" si="88"/>
        <v>299.0473530693472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185.84347143076167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185.84347143076167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475.00000000000023</v>
      </c>
      <c r="AJ124" s="13">
        <f>AI124*VLOOKUP('Données projet'!$B$10,Paramètres!$A$1:$I$89,3,0)*VLOOKUP('Données projet'!$B$10,Paramètres!$A$1:$I$89,5,0)</f>
        <v>407.5500000000003</v>
      </c>
      <c r="AK124" s="13">
        <f t="shared" si="89"/>
        <v>93.305642095357683</v>
      </c>
      <c r="AL124" s="20">
        <f t="shared" si="58"/>
        <v>872.32357664941526</v>
      </c>
      <c r="AM124" s="59">
        <f t="shared" si="59"/>
        <v>1154.6264690415996</v>
      </c>
      <c r="AN124" s="59">
        <f ca="1">AVERAGE(OFFSET($AM$3,0,0,'Données projet'!$E$10+1,1))-AVERAGE(OFFSET($H$3,0,0,'Données projet'!$E$10+1,1))</f>
        <v>570.05585579662738</v>
      </c>
      <c r="AO124" s="59">
        <f t="shared" si="90"/>
        <v>331.25104323342907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119.82493584310319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119.82493584310319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16.750000000000213</v>
      </c>
      <c r="BE124" s="13">
        <f>BD124*VLOOKUP('Données projet'!$B$11,Paramètres!$A$1:$I$89,3,0)*VLOOKUP('Données projet'!$B$11,Paramètres!$A$1:$I$89,5,0)</f>
        <v>14.11020000000018</v>
      </c>
      <c r="BF124" s="13">
        <f t="shared" si="91"/>
        <v>4.7783677814795205</v>
      </c>
      <c r="BG124" s="20">
        <f t="shared" si="61"/>
        <v>32.897588886077138</v>
      </c>
      <c r="BH124" s="59">
        <f t="shared" si="62"/>
        <v>315.20048127826152</v>
      </c>
      <c r="BI124" s="59">
        <f ca="1">AVERAGE(OFFSET($BH$3,0,0,'Données projet'!$E$11+1,1))-AVERAGE(OFFSET($H$3,0,0,'Données projet'!$E$11+1,1))</f>
        <v>458.88102603650725</v>
      </c>
      <c r="BJ124" s="59">
        <f t="shared" si="92"/>
        <v>277.79020316059552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188.89692226355996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188.89692226355996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-0.37249999999998806</v>
      </c>
      <c r="BY124" s="12">
        <f>IF('Données projet'!$A$114&gt;35,BY123+BX124-CG123,IF(A124&lt;'Données projet'!$A$114,$BV$205^A124,IF(A124='Données projet'!$A$114,'Données projet'!$B$114,BY123+BX124-CG123)))</f>
        <v>328.83500000000043</v>
      </c>
      <c r="BZ124" s="13">
        <f>BY124*VLOOKUP('Données projet'!$B$12,Paramètres!$A$1:$I$89,3,0)*VLOOKUP('Données projet'!$B$12,Paramètres!$A$1:$I$89,5,0)</f>
        <v>312.91938600000043</v>
      </c>
      <c r="CA124" s="13">
        <f t="shared" si="93"/>
        <v>73.878181166203746</v>
      </c>
      <c r="CB124" s="20">
        <f t="shared" si="64"/>
        <v>673.67242948113892</v>
      </c>
      <c r="CC124" s="59">
        <f t="shared" si="65"/>
        <v>955.97532187332331</v>
      </c>
      <c r="CD124" s="59">
        <f ca="1">AVERAGE(OFFSET($CC$3,0,0,'Données projet'!$E$12+1,1))-AVERAGE(OFFSET($H$3,0,0,'Données projet'!$E$12+1,1))</f>
        <v>592.58528888957346</v>
      </c>
      <c r="CE124" s="59">
        <f t="shared" si="94"/>
        <v>311.31528017256846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195.45606478062871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195.45606478062871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0.8600000000003547</v>
      </c>
      <c r="CU124" s="17">
        <f>CT124*VLOOKUP('Données projet'!$B$13,Paramètres!$A$1:$I$89,3,0)*VLOOKUP('Données projet'!$B$13,Paramètres!$A$1:$I$89,5,0)</f>
        <v>0.48074000000019829</v>
      </c>
      <c r="CV124" s="13">
        <f t="shared" si="95"/>
        <v>0.24126147010950588</v>
      </c>
      <c r="CW124" s="20">
        <f t="shared" si="67"/>
        <v>1.2574858937744013</v>
      </c>
      <c r="CX124" s="59">
        <f t="shared" si="68"/>
        <v>283.56037828595879</v>
      </c>
      <c r="CY124" s="59">
        <f ca="1">AVERAGE(OFFSET($CX$3,0,0,'Données projet'!$E$13+1,1))-AVERAGE(OFFSET($H$3,0,0,'Données projet'!$E$13+1,1))</f>
        <v>420.4890915162182</v>
      </c>
      <c r="CZ124" s="59">
        <f t="shared" si="96"/>
        <v>553.48432338023565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100.60995345540258</v>
      </c>
      <c r="DG124" s="21">
        <f>EXP(-LN(2)/25)*DG123+(1-EXP(-LN(2)/25))/(LN(2)/25)*Calculateur!DB124*Calculateur!DD124*VLOOKUP('Données projet'!$B$13,Paramètres!$A$1:$I$89,3,0)*0.475*44/12</f>
        <v>4.0565299729573185</v>
      </c>
      <c r="DH124" s="21">
        <f>EXP(-LN(2)/2)*DH123+(1-EXP(-LN(2)/2))/(LN(2)/2)*DB124*DE124*VLOOKUP('Données projet'!$B$13,Paramètres!$A$1:$I$89,3,0)*0.475*44/12</f>
        <v>1.4870318626647428E-14</v>
      </c>
      <c r="DI124" s="22">
        <f t="shared" si="69"/>
        <v>104.66648342835991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-0.37249999999998806</v>
      </c>
      <c r="DO124" s="12">
        <f>IF('Données projet'!$A$166&gt;35,DO123+DN124-DW123,IF(A124&lt;'Données projet'!$A$166,$DL$205^A124,IF(A124='Données projet'!$A$166,'Données projet'!$B$166,DO123+DN124-DW123)))</f>
        <v>328.83500000000043</v>
      </c>
      <c r="DP124" s="17">
        <f>DO124*VLOOKUP('Données projet'!$B$14,Paramètres!$A$1:$I$89,3,0)*VLOOKUP('Données projet'!$B$14,Paramètres!$A$1:$I$89,5,0)</f>
        <v>353.95799400000044</v>
      </c>
      <c r="DQ124" s="13">
        <f t="shared" si="97"/>
        <v>82.376969158908537</v>
      </c>
      <c r="DR124" s="20">
        <f t="shared" si="70"/>
        <v>759.95006083509963</v>
      </c>
      <c r="DS124" s="59">
        <f t="shared" si="71"/>
        <v>1042.252953227284</v>
      </c>
      <c r="DT124" s="59">
        <f ca="1">AVERAGE(OFFSET($DS$3,0,0,'Données projet'!$E$14+1,1))-AVERAGE(OFFSET($H$3,0,0,'Données projet'!$E$14+1,1))</f>
        <v>659.55755908012691</v>
      </c>
      <c r="DU124" s="59">
        <f t="shared" si="98"/>
        <v>343.96647464823627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221.08964704694057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221.08964704694057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-0.37249999999998806</v>
      </c>
      <c r="EJ124" s="12">
        <f>IF('Données projet'!$A$192&gt;35,EJ123+EI124-ER123,IF(A124&lt;'Données projet'!$A$192,$EG$205^A124,IF(A124='Données projet'!$A$192,'Données projet'!$B$192,EJ123+EI124-ER123)))</f>
        <v>328.83500000000043</v>
      </c>
      <c r="EK124" s="17">
        <f>EJ124*VLOOKUP('Données projet'!$B$15,Paramètres!$A$1:$I$89,3,0)*VLOOKUP('Données projet'!$B$15,Paramètres!$A$1:$I$89,5,0)</f>
        <v>318.04921200000041</v>
      </c>
      <c r="EL124" s="13">
        <f t="shared" si="99"/>
        <v>74.947309940200213</v>
      </c>
      <c r="EM124" s="20">
        <f t="shared" si="73"/>
        <v>684.46894237918275</v>
      </c>
      <c r="EN124" s="59">
        <f t="shared" si="74"/>
        <v>966.77183477136714</v>
      </c>
      <c r="EO124" s="59">
        <f ca="1">AVERAGE(OFFSET($EN$3,0,0,'Données projet'!$E$15+1,1))-AVERAGE(OFFSET($H$3,0,0,'Données projet'!$E$15+1,1))</f>
        <v>600.96600099541388</v>
      </c>
      <c r="EP124" s="59">
        <f t="shared" si="100"/>
        <v>315.40159257508969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198.66026256391771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198.66026256391771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297.19287000000037</v>
      </c>
      <c r="P125" s="13">
        <f t="shared" si="87"/>
        <v>70.587659605576917</v>
      </c>
      <c r="Q125" s="20">
        <f t="shared" si="107"/>
        <v>640.55108906304713</v>
      </c>
      <c r="R125" s="59">
        <f t="shared" si="55"/>
        <v>923.04533494518887</v>
      </c>
      <c r="S125" s="59">
        <f ca="1">AVERAGE(OFFSET($R$3,0,0,'Données projet'!$E$9+1,1))-AVERAGE(OFFSET($H$3,0,0,'Données projet'!$E$9+1,1))</f>
        <v>567.42635821336114</v>
      </c>
      <c r="T125" s="59">
        <f t="shared" si="88"/>
        <v>299.0473530693472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182.1991943093293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182.1991943093293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475.00000000000023</v>
      </c>
      <c r="AJ125" s="13">
        <f>AI125*VLOOKUP('Données projet'!$B$10,Paramètres!$A$1:$I$89,3,0)*VLOOKUP('Données projet'!$B$10,Paramètres!$A$1:$I$89,5,0)</f>
        <v>407.5500000000003</v>
      </c>
      <c r="AK125" s="13">
        <f t="shared" si="89"/>
        <v>93.305642095357683</v>
      </c>
      <c r="AL125" s="20">
        <f t="shared" si="58"/>
        <v>872.32357664941526</v>
      </c>
      <c r="AM125" s="59">
        <f t="shared" si="59"/>
        <v>1154.8178225315571</v>
      </c>
      <c r="AN125" s="59">
        <f ca="1">AVERAGE(OFFSET($AM$3,0,0,'Données projet'!$E$10+1,1))-AVERAGE(OFFSET($H$3,0,0,'Données projet'!$E$10+1,1))</f>
        <v>570.05585579662738</v>
      </c>
      <c r="AO125" s="59">
        <f t="shared" si="90"/>
        <v>331.25104323342907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117.47524193721416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117.47524193721416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16.750000000000213</v>
      </c>
      <c r="BE125" s="13">
        <f>BD125*VLOOKUP('Données projet'!$B$11,Paramètres!$A$1:$I$89,3,0)*VLOOKUP('Données projet'!$B$11,Paramètres!$A$1:$I$89,5,0)</f>
        <v>14.11020000000018</v>
      </c>
      <c r="BF125" s="13">
        <f t="shared" si="91"/>
        <v>4.7783677814795205</v>
      </c>
      <c r="BG125" s="20">
        <f t="shared" si="61"/>
        <v>32.897588886077138</v>
      </c>
      <c r="BH125" s="59">
        <f t="shared" si="62"/>
        <v>315.39183476821893</v>
      </c>
      <c r="BI125" s="59">
        <f ca="1">AVERAGE(OFFSET($BH$3,0,0,'Données projet'!$E$11+1,1))-AVERAGE(OFFSET($H$3,0,0,'Données projet'!$E$11+1,1))</f>
        <v>458.88102603650725</v>
      </c>
      <c r="BJ125" s="59">
        <f t="shared" si="92"/>
        <v>277.79020316059552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185.19276883371751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185.19276883371751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-0.37249999999998806</v>
      </c>
      <c r="BY125" s="12">
        <f>IF('Données projet'!$A$114&gt;35,BY124+BX125-CG124,IF(A125&lt;'Données projet'!$A$114,$BV$205^A125,IF(A125='Données projet'!$A$114,'Données projet'!$B$114,BY124+BX125-CG124)))</f>
        <v>328.46250000000043</v>
      </c>
      <c r="BZ125" s="13">
        <f>BY125*VLOOKUP('Données projet'!$B$12,Paramètres!$A$1:$I$89,3,0)*VLOOKUP('Données projet'!$B$12,Paramètres!$A$1:$I$89,5,0)</f>
        <v>312.56491500000038</v>
      </c>
      <c r="CA125" s="13">
        <f t="shared" si="93"/>
        <v>73.804229359869638</v>
      </c>
      <c r="CB125" s="20">
        <f t="shared" si="64"/>
        <v>672.92625976010697</v>
      </c>
      <c r="CC125" s="59">
        <f t="shared" si="65"/>
        <v>955.42050564224883</v>
      </c>
      <c r="CD125" s="59">
        <f ca="1">AVERAGE(OFFSET($CC$3,0,0,'Données projet'!$E$12+1,1))-AVERAGE(OFFSET($H$3,0,0,'Données projet'!$E$12+1,1))</f>
        <v>592.58528888957346</v>
      </c>
      <c r="CE125" s="59">
        <f t="shared" si="94"/>
        <v>311.31528017256846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191.62329056670845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191.62329056670845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0.8600000000003547</v>
      </c>
      <c r="CU125" s="17">
        <f>CT125*VLOOKUP('Données projet'!$B$13,Paramètres!$A$1:$I$89,3,0)*VLOOKUP('Données projet'!$B$13,Paramètres!$A$1:$I$89,5,0)</f>
        <v>0.48074000000019829</v>
      </c>
      <c r="CV125" s="13">
        <f t="shared" si="95"/>
        <v>0.24126147010950588</v>
      </c>
      <c r="CW125" s="20">
        <f t="shared" si="67"/>
        <v>1.2574858937744013</v>
      </c>
      <c r="CX125" s="59">
        <f t="shared" si="68"/>
        <v>283.7517317759162</v>
      </c>
      <c r="CY125" s="59">
        <f ca="1">AVERAGE(OFFSET($CX$3,0,0,'Données projet'!$E$13+1,1))-AVERAGE(OFFSET($H$3,0,0,'Données projet'!$E$13+1,1))</f>
        <v>420.4890915162182</v>
      </c>
      <c r="CZ125" s="59">
        <f t="shared" si="96"/>
        <v>553.48432338023565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98.637053634154341</v>
      </c>
      <c r="DG125" s="21">
        <f>EXP(-LN(2)/25)*DG124+(1-EXP(-LN(2)/25))/(LN(2)/25)*Calculateur!DB125*Calculateur!DD125*VLOOKUP('Données projet'!$B$13,Paramètres!$A$1:$I$89,3,0)*0.475*44/12</f>
        <v>3.9456039475231606</v>
      </c>
      <c r="DH125" s="21">
        <f>EXP(-LN(2)/2)*DH124+(1-EXP(-LN(2)/2))/(LN(2)/2)*DB125*DE125*VLOOKUP('Données projet'!$B$13,Paramètres!$A$1:$I$89,3,0)*0.475*44/12</f>
        <v>1.0514903139307025E-14</v>
      </c>
      <c r="DI125" s="22">
        <f t="shared" si="69"/>
        <v>102.58265758167751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-0.37249999999998806</v>
      </c>
      <c r="DO125" s="12">
        <f>IF('Données projet'!$A$166&gt;35,DO124+DN125-DW124,IF(A125&lt;'Données projet'!$A$166,$DL$205^A125,IF(A125='Données projet'!$A$166,'Données projet'!$B$166,DO124+DN125-DW124)))</f>
        <v>328.46250000000043</v>
      </c>
      <c r="DP125" s="17">
        <f>DO125*VLOOKUP('Données projet'!$B$14,Paramètres!$A$1:$I$89,3,0)*VLOOKUP('Données projet'!$B$14,Paramètres!$A$1:$I$89,5,0)</f>
        <v>353.55703500000044</v>
      </c>
      <c r="DQ125" s="13">
        <f t="shared" si="97"/>
        <v>82.294510094899834</v>
      </c>
      <c r="DR125" s="20">
        <f t="shared" si="70"/>
        <v>759.10810770695127</v>
      </c>
      <c r="DS125" s="59">
        <f t="shared" si="71"/>
        <v>1041.6023535890931</v>
      </c>
      <c r="DT125" s="59">
        <f ca="1">AVERAGE(OFFSET($DS$3,0,0,'Données projet'!$E$14+1,1))-AVERAGE(OFFSET($H$3,0,0,'Données projet'!$E$14+1,1))</f>
        <v>659.55755908012691</v>
      </c>
      <c r="DU125" s="59">
        <f t="shared" si="98"/>
        <v>343.96647464823627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216.75421391971929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216.75421391971929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-0.37249999999998806</v>
      </c>
      <c r="EJ125" s="12">
        <f>IF('Données projet'!$A$192&gt;35,EJ124+EI125-ER124,IF(A125&lt;'Données projet'!$A$192,$EG$205^A125,IF(A125='Données projet'!$A$192,'Données projet'!$B$192,EJ124+EI125-ER124)))</f>
        <v>328.46250000000043</v>
      </c>
      <c r="EK125" s="17">
        <f>EJ125*VLOOKUP('Données projet'!$B$15,Paramètres!$A$1:$I$89,3,0)*VLOOKUP('Données projet'!$B$15,Paramètres!$A$1:$I$89,5,0)</f>
        <v>317.68893000000043</v>
      </c>
      <c r="EL125" s="13">
        <f t="shared" si="99"/>
        <v>74.872287939624826</v>
      </c>
      <c r="EM125" s="20">
        <f t="shared" si="73"/>
        <v>683.71078791151388</v>
      </c>
      <c r="EN125" s="59">
        <f t="shared" si="74"/>
        <v>966.20503379365573</v>
      </c>
      <c r="EO125" s="59">
        <f ca="1">AVERAGE(OFFSET($EN$3,0,0,'Données projet'!$E$15+1,1))-AVERAGE(OFFSET($H$3,0,0,'Données projet'!$E$15+1,1))</f>
        <v>600.96600099541388</v>
      </c>
      <c r="EP125" s="59">
        <f t="shared" si="100"/>
        <v>315.40159257508969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194.76465598583482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194.76465598583482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296.85583200000036</v>
      </c>
      <c r="P126" s="13">
        <f t="shared" si="87"/>
        <v>70.516921463523971</v>
      </c>
      <c r="Q126" s="20">
        <f t="shared" si="107"/>
        <v>639.84087894897141</v>
      </c>
      <c r="R126" s="59">
        <f t="shared" si="55"/>
        <v>922.52315876582202</v>
      </c>
      <c r="S126" s="59">
        <f ca="1">AVERAGE(OFFSET($R$3,0,0,'Données projet'!$E$9+1,1))-AVERAGE(OFFSET($H$3,0,0,'Données projet'!$E$9+1,1))</f>
        <v>567.42635821336114</v>
      </c>
      <c r="T126" s="59">
        <f t="shared" si="88"/>
        <v>299.0473530693472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221.89431125036498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221.89431125036498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475.00000000000023</v>
      </c>
      <c r="AJ126" s="13">
        <f>AI126*VLOOKUP('Données projet'!$B$10,Paramètres!$A$1:$I$89,3,0)*VLOOKUP('Données projet'!$B$10,Paramètres!$A$1:$I$89,5,0)</f>
        <v>407.5500000000003</v>
      </c>
      <c r="AK126" s="13">
        <f t="shared" si="89"/>
        <v>93.305642095357683</v>
      </c>
      <c r="AL126" s="20">
        <f t="shared" si="58"/>
        <v>872.32357664941526</v>
      </c>
      <c r="AM126" s="59">
        <f t="shared" si="59"/>
        <v>1155.0058564662659</v>
      </c>
      <c r="AN126" s="59">
        <f ca="1">AVERAGE(OFFSET($AM$3,0,0,'Données projet'!$E$10+1,1))-AVERAGE(OFFSET($H$3,0,0,'Données projet'!$E$10+1,1))</f>
        <v>570.05585579662738</v>
      </c>
      <c r="AO126" s="59">
        <f t="shared" si="90"/>
        <v>331.25104323342907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115.17162409564784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115.17162409564784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16.750000000000213</v>
      </c>
      <c r="BE126" s="13">
        <f>BD126*VLOOKUP('Données projet'!$B$11,Paramètres!$A$1:$I$89,3,0)*VLOOKUP('Données projet'!$B$11,Paramètres!$A$1:$I$89,5,0)</f>
        <v>14.11020000000018</v>
      </c>
      <c r="BF126" s="13">
        <f t="shared" si="91"/>
        <v>4.7783677814795205</v>
      </c>
      <c r="BG126" s="20">
        <f t="shared" si="61"/>
        <v>32.897588886077138</v>
      </c>
      <c r="BH126" s="59">
        <f t="shared" si="62"/>
        <v>315.5798687029278</v>
      </c>
      <c r="BI126" s="59">
        <f ca="1">AVERAGE(OFFSET($BH$3,0,0,'Données projet'!$E$11+1,1))-AVERAGE(OFFSET($H$3,0,0,'Données projet'!$E$11+1,1))</f>
        <v>458.88102603650725</v>
      </c>
      <c r="BJ126" s="59">
        <f t="shared" si="92"/>
        <v>277.79020316059552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181.56125159332379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181.56125159332379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328.09</v>
      </c>
      <c r="BW126" s="12">
        <f>VLOOKUP(A126,'Données projet'!$A$113:$I$133,9,0)</f>
        <v>-0.37249999999998806</v>
      </c>
      <c r="BX126" s="12">
        <f t="array" ref="BX126">INDEX(BW:BW,MIN(IF(ISNUMBER(BW126:BW322),ROW(BW126:BW322),"")))</f>
        <v>-0.37249999999998806</v>
      </c>
      <c r="BY126" s="12">
        <f>IF('Données projet'!$A$114&gt;35,BY125+BX126-CG125,IF(A126&lt;'Données projet'!$A$114,$BV$205^A126,IF(A126='Données projet'!$A$114,'Données projet'!$B$114,BY125+BX126-CG125)))</f>
        <v>328.09000000000043</v>
      </c>
      <c r="BZ126" s="13">
        <f>BY126*VLOOKUP('Données projet'!$B$12,Paramètres!$A$1:$I$89,3,0)*VLOOKUP('Données projet'!$B$12,Paramètres!$A$1:$I$89,5,0)</f>
        <v>312.21044400000045</v>
      </c>
      <c r="CA126" s="13">
        <f t="shared" si="93"/>
        <v>73.730267790811482</v>
      </c>
      <c r="CB126" s="20">
        <f t="shared" si="64"/>
        <v>672.18007303566412</v>
      </c>
      <c r="CC126" s="59">
        <f t="shared" si="65"/>
        <v>954.86235285251473</v>
      </c>
      <c r="CD126" s="59">
        <f ca="1">AVERAGE(OFFSET($CC$3,0,0,'Données projet'!$E$12+1,1))-AVERAGE(OFFSET($H$3,0,0,'Données projet'!$E$12+1,1))</f>
        <v>592.58528888957346</v>
      </c>
      <c r="CE126" s="59">
        <f t="shared" si="94"/>
        <v>311.31528017256846</v>
      </c>
      <c r="CF126" s="15">
        <f>IF(ISNA(VLOOKUP(A126,'Données projet'!$A$113:$I$133,3,0)),0,VLOOKUP(A126,'Données projet'!$A$113:$I$133,3,0))</f>
        <v>12</v>
      </c>
      <c r="CG126" s="15">
        <f>IF(ISNA(VLOOKUP(A126,'Données projet'!$A$113:$I$133,4,0)),0,VLOOKUP(A126,'Données projet'!$A$113:$I$133,4,0))</f>
        <v>100.6</v>
      </c>
      <c r="CH126" s="16">
        <f>IF(ISNA(VLOOKUP(A126,'Données projet'!$A$113:$I$133,5,0)),0%,VLOOKUP(A126,'Données projet'!$A$113:$I$133,5,0)*VLOOKUP('Données projet'!$B$12,Paramètres!$A$1:$I$89,7,0))</f>
        <v>0.43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233.37160321159081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233.37160321159081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0.8600000000003547</v>
      </c>
      <c r="CU126" s="17">
        <f>CT126*VLOOKUP('Données projet'!$B$13,Paramètres!$A$1:$I$89,3,0)*VLOOKUP('Données projet'!$B$13,Paramètres!$A$1:$I$89,5,0)</f>
        <v>0.48074000000019829</v>
      </c>
      <c r="CV126" s="13">
        <f t="shared" si="95"/>
        <v>0.24126147010950588</v>
      </c>
      <c r="CW126" s="20">
        <f t="shared" si="67"/>
        <v>1.2574858937744013</v>
      </c>
      <c r="CX126" s="59">
        <f t="shared" si="68"/>
        <v>283.93976571062507</v>
      </c>
      <c r="CY126" s="59">
        <f ca="1">AVERAGE(OFFSET($CX$3,0,0,'Données projet'!$E$13+1,1))-AVERAGE(OFFSET($H$3,0,0,'Données projet'!$E$13+1,1))</f>
        <v>420.4890915162182</v>
      </c>
      <c r="CZ126" s="59">
        <f t="shared" si="96"/>
        <v>553.48432338023565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96.702841175050722</v>
      </c>
      <c r="DG126" s="21">
        <f>EXP(-LN(2)/25)*DG125+(1-EXP(-LN(2)/25))/(LN(2)/25)*Calculateur!DB126*Calculateur!DD126*VLOOKUP('Données projet'!$B$13,Paramètres!$A$1:$I$89,3,0)*0.475*44/12</f>
        <v>3.8377112000878459</v>
      </c>
      <c r="DH126" s="21">
        <f>EXP(-LN(2)/2)*DH125+(1-EXP(-LN(2)/2))/(LN(2)/2)*DB126*DE126*VLOOKUP('Données projet'!$B$13,Paramètres!$A$1:$I$89,3,0)*0.475*44/12</f>
        <v>7.435159313323714E-15</v>
      </c>
      <c r="DI126" s="22">
        <f t="shared" si="69"/>
        <v>100.54055237513859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328.09</v>
      </c>
      <c r="DM126" s="12">
        <f>VLOOKUP(A126,'Données projet'!$A$165:$I$185,9,0)</f>
        <v>-0.37249999999998806</v>
      </c>
      <c r="DN126" s="12">
        <f t="array" ref="DN126">INDEX(DM:DM,MIN(IF(ISNUMBER(DM126:DM322),ROW(DM126:DM322),"")))</f>
        <v>-0.37249999999998806</v>
      </c>
      <c r="DO126" s="12">
        <f>IF('Données projet'!$A$166&gt;35,DO125+DN126-DW125,IF(A126&lt;'Données projet'!$A$166,$DL$205^A126,IF(A126='Données projet'!$A$166,'Données projet'!$B$166,DO125+DN126-DW125)))</f>
        <v>328.09000000000043</v>
      </c>
      <c r="DP126" s="17">
        <f>DO126*VLOOKUP('Données projet'!$B$14,Paramètres!$A$1:$I$89,3,0)*VLOOKUP('Données projet'!$B$14,Paramètres!$A$1:$I$89,5,0)</f>
        <v>353.1560760000005</v>
      </c>
      <c r="DQ126" s="13">
        <f t="shared" si="97"/>
        <v>82.212040145084188</v>
      </c>
      <c r="DR126" s="20">
        <f t="shared" si="70"/>
        <v>758.26613561935585</v>
      </c>
      <c r="DS126" s="59">
        <f t="shared" si="71"/>
        <v>1040.9484154362065</v>
      </c>
      <c r="DT126" s="59">
        <f ca="1">AVERAGE(OFFSET($DS$3,0,0,'Données projet'!$E$14+1,1))-AVERAGE(OFFSET($H$3,0,0,'Données projet'!$E$14+1,1))</f>
        <v>659.55755908012691</v>
      </c>
      <c r="DU126" s="59">
        <f t="shared" si="98"/>
        <v>343.96647464823627</v>
      </c>
      <c r="DV126" s="15">
        <f>IF(ISNA(VLOOKUP(A126,'Données projet'!$A$165:$I$185,3,0)),0,VLOOKUP(A126,'Données projet'!$A$165:$I$185,3,0))</f>
        <v>12</v>
      </c>
      <c r="DW126" s="15">
        <f>IF(ISNA(VLOOKUP(A126,'Données projet'!$A$165:$I$185,4,0)),0,VLOOKUP(A126,'Données projet'!$A$165:$I$185,4,0))</f>
        <v>100.6</v>
      </c>
      <c r="DX126" s="16">
        <f>IF(ISNA(VLOOKUP(A126,'Données projet'!$A$165:$I$185,5,0)),0%,VLOOKUP(A126,'Données projet'!$A$165:$I$185,5,0)*VLOOKUP('Données projet'!$B$14,Paramètres!$A$1:$I$89,7,0))</f>
        <v>0.43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263.9777151081928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263.9777151081928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>
        <f>VLOOKUP(A126,'Données projet'!$A$191:$I$211,2,0)</f>
        <v>328.09</v>
      </c>
      <c r="EH126" s="12">
        <f>VLOOKUP(A126,'Données projet'!$A$191:$I$211,9,0)</f>
        <v>-0.37249999999998806</v>
      </c>
      <c r="EI126" s="12">
        <f t="array" ref="EI126">INDEX(EH:EH,MIN(IF(ISNUMBER(EH126:EH322),ROW(EH126:EH322),"")))</f>
        <v>-0.37249999999998806</v>
      </c>
      <c r="EJ126" s="12">
        <f>IF('Données projet'!$A$192&gt;35,EJ125+EI126-ER125,IF(A126&lt;'Données projet'!$A$192,$EG$205^A126,IF(A126='Données projet'!$A$192,'Données projet'!$B$192,EJ125+EI126-ER125)))</f>
        <v>328.09000000000043</v>
      </c>
      <c r="EK126" s="17">
        <f>EJ126*VLOOKUP('Données projet'!$B$15,Paramètres!$A$1:$I$89,3,0)*VLOOKUP('Données projet'!$B$15,Paramètres!$A$1:$I$89,5,0)</f>
        <v>317.32864800000044</v>
      </c>
      <c r="EL126" s="13">
        <f t="shared" si="99"/>
        <v>74.797256035044029</v>
      </c>
      <c r="EM126" s="20">
        <f t="shared" si="73"/>
        <v>682.95261619436906</v>
      </c>
      <c r="EN126" s="59">
        <f t="shared" si="74"/>
        <v>965.63489601121978</v>
      </c>
      <c r="EO126" s="59">
        <f ca="1">AVERAGE(OFFSET($EN$3,0,0,'Données projet'!$E$15+1,1))-AVERAGE(OFFSET($H$3,0,0,'Données projet'!$E$15+1,1))</f>
        <v>600.96600099541388</v>
      </c>
      <c r="EP126" s="59">
        <f t="shared" si="100"/>
        <v>315.40159257508969</v>
      </c>
      <c r="EQ126" s="15">
        <f>IF(ISNA(VLOOKUP(A126,'Données projet'!$A$191:$I$211,3,0)),0,VLOOKUP(A126,'Données projet'!$A$191:$I$211,3,0))</f>
        <v>12</v>
      </c>
      <c r="ER126" s="15">
        <f>IF(ISNA(VLOOKUP(A126,'Données projet'!$A$191:$I$211,4,0)),0,VLOOKUP(A126,'Données projet'!$A$191:$I$211,4,0))</f>
        <v>100.6</v>
      </c>
      <c r="ES126" s="16">
        <f>IF(ISNA(VLOOKUP(A126,'Données projet'!$A$191:$I$211,5,0)),0%,VLOOKUP(A126,'Données projet'!$A$191:$I$211,5,0)*VLOOKUP('Données projet'!$B$15,Paramètres!$A$1:$I$89,7,0))</f>
        <v>0.43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237.19736719866609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237.19736719866609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206.01165000000037</v>
      </c>
      <c r="P127" s="13">
        <f t="shared" si="87"/>
        <v>51.063060633166664</v>
      </c>
      <c r="Q127" s="20">
        <f t="shared" si="107"/>
        <v>447.73845435276593</v>
      </c>
      <c r="R127" s="59">
        <f t="shared" si="55"/>
        <v>730.60550613593932</v>
      </c>
      <c r="S127" s="59">
        <f ca="1">AVERAGE(OFFSET($R$3,0,0,'Données projet'!$E$9+1,1))-AVERAGE(OFFSET($H$3,0,0,'Données projet'!$E$9+1,1))</f>
        <v>567.42635821336114</v>
      </c>
      <c r="T127" s="59">
        <f t="shared" si="88"/>
        <v>299.0473530693472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217.54309914891127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217.54309914891127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475.00000000000023</v>
      </c>
      <c r="AJ127" s="13">
        <f>AI127*VLOOKUP('Données projet'!$B$10,Paramètres!$A$1:$I$89,3,0)*VLOOKUP('Données projet'!$B$10,Paramètres!$A$1:$I$89,5,0)</f>
        <v>407.5500000000003</v>
      </c>
      <c r="AK127" s="13">
        <f t="shared" si="89"/>
        <v>93.305642095357683</v>
      </c>
      <c r="AL127" s="20">
        <f t="shared" si="58"/>
        <v>872.32357664941526</v>
      </c>
      <c r="AM127" s="59">
        <f t="shared" si="59"/>
        <v>1155.1906284325887</v>
      </c>
      <c r="AN127" s="59">
        <f ca="1">AVERAGE(OFFSET($AM$3,0,0,'Données projet'!$E$10+1,1))-AVERAGE(OFFSET($H$3,0,0,'Données projet'!$E$10+1,1))</f>
        <v>570.05585579662738</v>
      </c>
      <c r="AO127" s="59">
        <f t="shared" si="90"/>
        <v>331.25104323342907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112.91317879488649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112.91317879488649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16.750000000000213</v>
      </c>
      <c r="BE127" s="13">
        <f>BD127*VLOOKUP('Données projet'!$B$11,Paramètres!$A$1:$I$89,3,0)*VLOOKUP('Données projet'!$B$11,Paramètres!$A$1:$I$89,5,0)</f>
        <v>14.11020000000018</v>
      </c>
      <c r="BF127" s="13">
        <f t="shared" si="91"/>
        <v>4.7783677814795205</v>
      </c>
      <c r="BG127" s="20">
        <f t="shared" si="61"/>
        <v>32.897588886077138</v>
      </c>
      <c r="BH127" s="59">
        <f t="shared" si="62"/>
        <v>315.76464066925047</v>
      </c>
      <c r="BI127" s="59">
        <f ca="1">AVERAGE(OFFSET($BH$3,0,0,'Données projet'!$E$11+1,1))-AVERAGE(OFFSET($H$3,0,0,'Données projet'!$E$11+1,1))</f>
        <v>458.88102603650725</v>
      </c>
      <c r="BJ127" s="59">
        <f t="shared" si="92"/>
        <v>277.79020316059552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178.00094619100739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178.00094619100739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0.19750000000000512</v>
      </c>
      <c r="BY127" s="12">
        <f>IF('Données projet'!$A$114&gt;35,BY126+BX127-CG126,IF(A127&lt;'Données projet'!$A$114,$BV$205^A127,IF(A127='Données projet'!$A$114,'Données projet'!$B$114,BY126+BX127-CG126)))</f>
        <v>227.68750000000043</v>
      </c>
      <c r="BZ127" s="13">
        <f>BY127*VLOOKUP('Données projet'!$B$12,Paramètres!$A$1:$I$89,3,0)*VLOOKUP('Données projet'!$B$12,Paramètres!$A$1:$I$89,5,0)</f>
        <v>216.66742500000041</v>
      </c>
      <c r="CA127" s="13">
        <f t="shared" si="93"/>
        <v>53.389924809030042</v>
      </c>
      <c r="CB127" s="20">
        <f t="shared" si="64"/>
        <v>470.34988425072794</v>
      </c>
      <c r="CC127" s="59">
        <f t="shared" si="65"/>
        <v>753.21693603390122</v>
      </c>
      <c r="CD127" s="59">
        <f ca="1">AVERAGE(OFFSET($CC$3,0,0,'Données projet'!$E$12+1,1))-AVERAGE(OFFSET($H$3,0,0,'Données projet'!$E$12+1,1))</f>
        <v>592.58528888957346</v>
      </c>
      <c r="CE127" s="59">
        <f t="shared" si="94"/>
        <v>311.31528017256846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228.79532841523431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228.79532841523431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0.8600000000003547</v>
      </c>
      <c r="CU127" s="17">
        <f>CT127*VLOOKUP('Données projet'!$B$13,Paramètres!$A$1:$I$89,3,0)*VLOOKUP('Données projet'!$B$13,Paramètres!$A$1:$I$89,5,0)</f>
        <v>0.48074000000019829</v>
      </c>
      <c r="CV127" s="13">
        <f t="shared" si="95"/>
        <v>0.24126147010950588</v>
      </c>
      <c r="CW127" s="20">
        <f t="shared" si="67"/>
        <v>1.2574858937744013</v>
      </c>
      <c r="CX127" s="59">
        <f t="shared" si="68"/>
        <v>284.12453767694774</v>
      </c>
      <c r="CY127" s="59">
        <f ca="1">AVERAGE(OFFSET($CX$3,0,0,'Données projet'!$E$13+1,1))-AVERAGE(OFFSET($H$3,0,0,'Données projet'!$E$13+1,1))</f>
        <v>420.4890915162182</v>
      </c>
      <c r="CZ127" s="59">
        <f t="shared" si="96"/>
        <v>553.48432338023565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94.806557442517018</v>
      </c>
      <c r="DG127" s="21">
        <f>EXP(-LN(2)/25)*DG126+(1-EXP(-LN(2)/25))/(LN(2)/25)*Calculateur!DB127*Calculateur!DD127*VLOOKUP('Données projet'!$B$13,Paramètres!$A$1:$I$89,3,0)*0.475*44/12</f>
        <v>3.7327687855049829</v>
      </c>
      <c r="DH127" s="21">
        <f>EXP(-LN(2)/2)*DH126+(1-EXP(-LN(2)/2))/(LN(2)/2)*DB127*DE127*VLOOKUP('Données projet'!$B$13,Paramètres!$A$1:$I$89,3,0)*0.475*44/12</f>
        <v>5.2574515696535125E-15</v>
      </c>
      <c r="DI127" s="22">
        <f t="shared" si="69"/>
        <v>98.539326228022006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0.19750000000000512</v>
      </c>
      <c r="DO127" s="12">
        <f>IF('Données projet'!$A$166&gt;35,DO126+DN127-DW126,IF(A127&lt;'Données projet'!$A$166,$DL$205^A127,IF(A127='Données projet'!$A$166,'Données projet'!$B$166,DO126+DN127-DW126)))</f>
        <v>227.68750000000043</v>
      </c>
      <c r="DP127" s="17">
        <f>DO127*VLOOKUP('Données projet'!$B$14,Paramètres!$A$1:$I$89,3,0)*VLOOKUP('Données projet'!$B$14,Paramètres!$A$1:$I$89,5,0)</f>
        <v>245.08282500000047</v>
      </c>
      <c r="DQ127" s="13">
        <f t="shared" si="97"/>
        <v>59.531787599041017</v>
      </c>
      <c r="DR127" s="20">
        <f t="shared" si="70"/>
        <v>530.5371169433306</v>
      </c>
      <c r="DS127" s="59">
        <f t="shared" si="71"/>
        <v>813.40416872650394</v>
      </c>
      <c r="DT127" s="59">
        <f ca="1">AVERAGE(OFFSET($DS$3,0,0,'Données projet'!$E$14+1,1))-AVERAGE(OFFSET($H$3,0,0,'Données projet'!$E$14+1,1))</f>
        <v>659.55755908012691</v>
      </c>
      <c r="DU127" s="59">
        <f t="shared" si="98"/>
        <v>343.96647464823627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258.80127312542891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258.80127312542891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0.19750000000000512</v>
      </c>
      <c r="EJ127" s="12">
        <f>IF('Données projet'!$A$192&gt;35,EJ126+EI127-ER126,IF(A127&lt;'Données projet'!$A$192,$EG$205^A127,IF(A127='Données projet'!$A$192,'Données projet'!$B$192,EJ126+EI127-ER126)))</f>
        <v>227.68750000000043</v>
      </c>
      <c r="EK127" s="17">
        <f>EJ127*VLOOKUP('Données projet'!$B$15,Paramètres!$A$1:$I$89,3,0)*VLOOKUP('Données projet'!$B$15,Paramètres!$A$1:$I$89,5,0)</f>
        <v>220.21935000000045</v>
      </c>
      <c r="EL127" s="13">
        <f t="shared" si="99"/>
        <v>54.162557593890185</v>
      </c>
      <c r="EM127" s="20">
        <f t="shared" si="73"/>
        <v>477.88182239269281</v>
      </c>
      <c r="EN127" s="59">
        <f t="shared" si="74"/>
        <v>760.74887417586615</v>
      </c>
      <c r="EO127" s="59">
        <f ca="1">AVERAGE(OFFSET($EN$3,0,0,'Données projet'!$E$15+1,1))-AVERAGE(OFFSET($H$3,0,0,'Données projet'!$E$15+1,1))</f>
        <v>600.96600099541388</v>
      </c>
      <c r="EP127" s="59">
        <f t="shared" si="100"/>
        <v>315.40159257508969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232.54607150400867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232.54607150400867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206.19034800000037</v>
      </c>
      <c r="P128" s="13">
        <f t="shared" si="87"/>
        <v>51.102195921911175</v>
      </c>
      <c r="Q128" s="20">
        <f t="shared" si="107"/>
        <v>448.11784733066253</v>
      </c>
      <c r="R128" s="59">
        <f t="shared" si="55"/>
        <v>731.16646569963109</v>
      </c>
      <c r="S128" s="59">
        <f ca="1">AVERAGE(OFFSET($R$3,0,0,'Données projet'!$E$9+1,1))-AVERAGE(OFFSET($H$3,0,0,'Données projet'!$E$9+1,1))</f>
        <v>567.42635821336114</v>
      </c>
      <c r="T128" s="59">
        <f t="shared" si="88"/>
        <v>299.0473530693472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213.27721166278974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213.27721166278974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475.00000000000023</v>
      </c>
      <c r="AJ128" s="13">
        <f>AI128*VLOOKUP('Données projet'!$B$10,Paramètres!$A$1:$I$89,3,0)*VLOOKUP('Données projet'!$B$10,Paramètres!$A$1:$I$89,5,0)</f>
        <v>407.5500000000003</v>
      </c>
      <c r="AK128" s="13">
        <f t="shared" si="89"/>
        <v>93.305642095357683</v>
      </c>
      <c r="AL128" s="20">
        <f t="shared" si="58"/>
        <v>872.32357664941526</v>
      </c>
      <c r="AM128" s="59">
        <f t="shared" si="59"/>
        <v>1155.3721950183838</v>
      </c>
      <c r="AN128" s="59">
        <f ca="1">AVERAGE(OFFSET($AM$3,0,0,'Données projet'!$E$10+1,1))-AVERAGE(OFFSET($H$3,0,0,'Données projet'!$E$10+1,1))</f>
        <v>570.05585579662738</v>
      </c>
      <c r="AO128" s="59">
        <f t="shared" si="90"/>
        <v>331.25104323342907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110.69902022895747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110.69902022895747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16.750000000000213</v>
      </c>
      <c r="BE128" s="13">
        <f>BD128*VLOOKUP('Données projet'!$B$11,Paramètres!$A$1:$I$89,3,0)*VLOOKUP('Données projet'!$B$11,Paramètres!$A$1:$I$89,5,0)</f>
        <v>14.11020000000018</v>
      </c>
      <c r="BF128" s="13">
        <f t="shared" si="91"/>
        <v>4.7783677814795205</v>
      </c>
      <c r="BG128" s="20">
        <f t="shared" si="61"/>
        <v>32.897588886077138</v>
      </c>
      <c r="BH128" s="59">
        <f t="shared" si="62"/>
        <v>315.94620725504564</v>
      </c>
      <c r="BI128" s="59">
        <f ca="1">AVERAGE(OFFSET($BH$3,0,0,'Données projet'!$E$11+1,1))-AVERAGE(OFFSET($H$3,0,0,'Données projet'!$E$11+1,1))</f>
        <v>458.88102603650725</v>
      </c>
      <c r="BJ128" s="59">
        <f t="shared" si="92"/>
        <v>277.79020316059552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174.51045620605854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174.51045620605854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0.19750000000000512</v>
      </c>
      <c r="BY128" s="12">
        <f>IF('Données projet'!$A$114&gt;35,BY127+BX128-CG127,IF(A128&lt;'Données projet'!$A$114,$BV$205^A128,IF(A128='Données projet'!$A$114,'Données projet'!$B$114,BY127+BX128-CG127)))</f>
        <v>227.88500000000045</v>
      </c>
      <c r="BZ128" s="13">
        <f>BY128*VLOOKUP('Données projet'!$B$12,Paramètres!$A$1:$I$89,3,0)*VLOOKUP('Données projet'!$B$12,Paramètres!$A$1:$I$89,5,0)</f>
        <v>216.8553660000004</v>
      </c>
      <c r="CA128" s="13">
        <f t="shared" si="93"/>
        <v>53.430843431955175</v>
      </c>
      <c r="CB128" s="20">
        <f t="shared" si="64"/>
        <v>470.74848142732253</v>
      </c>
      <c r="CC128" s="59">
        <f t="shared" si="65"/>
        <v>753.79709979629104</v>
      </c>
      <c r="CD128" s="59">
        <f ca="1">AVERAGE(OFFSET($CC$3,0,0,'Données projet'!$E$12+1,1))-AVERAGE(OFFSET($H$3,0,0,'Données projet'!$E$12+1,1))</f>
        <v>592.58528888957346</v>
      </c>
      <c r="CE128" s="59">
        <f t="shared" si="94"/>
        <v>311.31528017256846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224.30879157638233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224.30879157638233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0.8600000000003547</v>
      </c>
      <c r="CU128" s="17">
        <f>CT128*VLOOKUP('Données projet'!$B$13,Paramètres!$A$1:$I$89,3,0)*VLOOKUP('Données projet'!$B$13,Paramètres!$A$1:$I$89,5,0)</f>
        <v>0.48074000000019829</v>
      </c>
      <c r="CV128" s="13">
        <f t="shared" si="95"/>
        <v>0.24126147010950588</v>
      </c>
      <c r="CW128" s="20">
        <f t="shared" si="67"/>
        <v>1.2574858937744013</v>
      </c>
      <c r="CX128" s="59">
        <f t="shared" si="68"/>
        <v>284.30610426274291</v>
      </c>
      <c r="CY128" s="59">
        <f ca="1">AVERAGE(OFFSET($CX$3,0,0,'Données projet'!$E$13+1,1))-AVERAGE(OFFSET($H$3,0,0,'Données projet'!$E$13+1,1))</f>
        <v>420.4890915162182</v>
      </c>
      <c r="CZ128" s="59">
        <f t="shared" si="96"/>
        <v>553.48432338023565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92.947458677359421</v>
      </c>
      <c r="DG128" s="21">
        <f>EXP(-LN(2)/25)*DG127+(1-EXP(-LN(2)/25))/(LN(2)/25)*Calculateur!DB128*Calculateur!DD128*VLOOKUP('Données projet'!$B$13,Paramètres!$A$1:$I$89,3,0)*0.475*44/12</f>
        <v>3.6306960267675703</v>
      </c>
      <c r="DH128" s="21">
        <f>EXP(-LN(2)/2)*DH127+(1-EXP(-LN(2)/2))/(LN(2)/2)*DB128*DE128*VLOOKUP('Données projet'!$B$13,Paramètres!$A$1:$I$89,3,0)*0.475*44/12</f>
        <v>3.717579656661857E-15</v>
      </c>
      <c r="DI128" s="22">
        <f t="shared" si="69"/>
        <v>96.578154704126987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0.19750000000000512</v>
      </c>
      <c r="DO128" s="12">
        <f>IF('Données projet'!$A$166&gt;35,DO127+DN128-DW127,IF(A128&lt;'Données projet'!$A$166,$DL$205^A128,IF(A128='Données projet'!$A$166,'Données projet'!$B$166,DO127+DN128-DW127)))</f>
        <v>227.88500000000045</v>
      </c>
      <c r="DP128" s="17">
        <f>DO128*VLOOKUP('Données projet'!$B$14,Paramètres!$A$1:$I$89,3,0)*VLOOKUP('Données projet'!$B$14,Paramètres!$A$1:$I$89,5,0)</f>
        <v>245.29541400000048</v>
      </c>
      <c r="DQ128" s="13">
        <f t="shared" si="97"/>
        <v>59.577413412853964</v>
      </c>
      <c r="DR128" s="20">
        <f t="shared" si="70"/>
        <v>530.98684107738814</v>
      </c>
      <c r="DS128" s="59">
        <f t="shared" si="71"/>
        <v>814.03545944635664</v>
      </c>
      <c r="DT128" s="59">
        <f ca="1">AVERAGE(OFFSET($DS$3,0,0,'Données projet'!$E$14+1,1))-AVERAGE(OFFSET($H$3,0,0,'Données projet'!$E$14+1,1))</f>
        <v>659.55755908012691</v>
      </c>
      <c r="DU128" s="59">
        <f t="shared" si="98"/>
        <v>343.96647464823627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253.72633801262916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253.72633801262916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0.19750000000000512</v>
      </c>
      <c r="EJ128" s="12">
        <f>IF('Données projet'!$A$192&gt;35,EJ127+EI128-ER127,IF(A128&lt;'Données projet'!$A$192,$EG$205^A128,IF(A128='Données projet'!$A$192,'Données projet'!$B$192,EJ127+EI128-ER127)))</f>
        <v>227.88500000000045</v>
      </c>
      <c r="EK128" s="17">
        <f>EJ128*VLOOKUP('Données projet'!$B$15,Paramètres!$A$1:$I$89,3,0)*VLOOKUP('Données projet'!$B$15,Paramètres!$A$1:$I$89,5,0)</f>
        <v>220.41037200000042</v>
      </c>
      <c r="EL128" s="13">
        <f t="shared" si="99"/>
        <v>54.204068371040925</v>
      </c>
      <c r="EM128" s="20">
        <f t="shared" si="73"/>
        <v>478.28681697956364</v>
      </c>
      <c r="EN128" s="59">
        <f t="shared" si="74"/>
        <v>761.3354353485322</v>
      </c>
      <c r="EO128" s="59">
        <f ca="1">AVERAGE(OFFSET($EN$3,0,0,'Données projet'!$E$15+1,1))-AVERAGE(OFFSET($H$3,0,0,'Données projet'!$E$15+1,1))</f>
        <v>600.96600099541388</v>
      </c>
      <c r="EP128" s="59">
        <f t="shared" si="100"/>
        <v>315.40159257508969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227.98598488091324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227.98598488091324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206.3690460000004</v>
      </c>
      <c r="P129" s="13">
        <f t="shared" si="87"/>
        <v>51.141327262893078</v>
      </c>
      <c r="Q129" s="20">
        <f t="shared" si="107"/>
        <v>448.49723343287286</v>
      </c>
      <c r="R129" s="59">
        <f t="shared" si="55"/>
        <v>731.72426861329507</v>
      </c>
      <c r="S129" s="59">
        <f ca="1">AVERAGE(OFFSET($R$3,0,0,'Données projet'!$E$9+1,1))-AVERAGE(OFFSET($H$3,0,0,'Données projet'!$E$9+1,1))</f>
        <v>567.42635821336114</v>
      </c>
      <c r="T129" s="59">
        <f t="shared" si="88"/>
        <v>299.0473530693472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209.09497562833658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209.09497562833658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475.00000000000023</v>
      </c>
      <c r="AJ129" s="13">
        <f>AI129*VLOOKUP('Données projet'!$B$10,Paramètres!$A$1:$I$89,3,0)*VLOOKUP('Données projet'!$B$10,Paramètres!$A$1:$I$89,5,0)</f>
        <v>407.5500000000003</v>
      </c>
      <c r="AK129" s="13">
        <f t="shared" si="89"/>
        <v>93.305642095357683</v>
      </c>
      <c r="AL129" s="20">
        <f t="shared" si="58"/>
        <v>872.32357664941526</v>
      </c>
      <c r="AM129" s="59">
        <f t="shared" si="59"/>
        <v>1155.5506118298374</v>
      </c>
      <c r="AN129" s="59">
        <f ca="1">AVERAGE(OFFSET($AM$3,0,0,'Données projet'!$E$10+1,1))-AVERAGE(OFFSET($H$3,0,0,'Données projet'!$E$10+1,1))</f>
        <v>570.05585579662738</v>
      </c>
      <c r="AO129" s="59">
        <f t="shared" si="90"/>
        <v>331.25104323342907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108.52827996200293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108.52827996200293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16.750000000000213</v>
      </c>
      <c r="BE129" s="13">
        <f>BD129*VLOOKUP('Données projet'!$B$11,Paramètres!$A$1:$I$89,3,0)*VLOOKUP('Données projet'!$B$11,Paramètres!$A$1:$I$89,5,0)</f>
        <v>14.11020000000018</v>
      </c>
      <c r="BF129" s="13">
        <f t="shared" si="91"/>
        <v>4.7783677814795205</v>
      </c>
      <c r="BG129" s="20">
        <f t="shared" si="61"/>
        <v>32.897588886077138</v>
      </c>
      <c r="BH129" s="59">
        <f t="shared" si="62"/>
        <v>316.12462406649934</v>
      </c>
      <c r="BI129" s="59">
        <f ca="1">AVERAGE(OFFSET($BH$3,0,0,'Données projet'!$E$11+1,1))-AVERAGE(OFFSET($H$3,0,0,'Données projet'!$E$11+1,1))</f>
        <v>458.88102603650725</v>
      </c>
      <c r="BJ129" s="59">
        <f t="shared" si="92"/>
        <v>277.79020316059552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171.08841260072586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171.08841260072586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0.19750000000000512</v>
      </c>
      <c r="BY129" s="12">
        <f>IF('Données projet'!$A$114&gt;35,BY128+BX129-CG128,IF(A129&lt;'Données projet'!$A$114,$BV$205^A129,IF(A129='Données projet'!$A$114,'Données projet'!$B$114,BY128+BX129-CG128)))</f>
        <v>228.08250000000044</v>
      </c>
      <c r="BZ129" s="13">
        <f>BY129*VLOOKUP('Données projet'!$B$12,Paramètres!$A$1:$I$89,3,0)*VLOOKUP('Données projet'!$B$12,Paramètres!$A$1:$I$89,5,0)</f>
        <v>217.0433070000004</v>
      </c>
      <c r="CA129" s="13">
        <f t="shared" si="93"/>
        <v>53.471757927224203</v>
      </c>
      <c r="CB129" s="20">
        <f t="shared" si="64"/>
        <v>471.14707141491613</v>
      </c>
      <c r="CC129" s="59">
        <f t="shared" si="65"/>
        <v>754.37410659533839</v>
      </c>
      <c r="CD129" s="59">
        <f ca="1">AVERAGE(OFFSET($CC$3,0,0,'Données projet'!$E$12+1,1))-AVERAGE(OFFSET($H$3,0,0,'Données projet'!$E$12+1,1))</f>
        <v>592.58528888957346</v>
      </c>
      <c r="CE129" s="59">
        <f t="shared" si="94"/>
        <v>311.31528017256846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219.91023298842299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219.91023298842299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0.8600000000003547</v>
      </c>
      <c r="CU129" s="17">
        <f>CT129*VLOOKUP('Données projet'!$B$13,Paramètres!$A$1:$I$89,3,0)*VLOOKUP('Données projet'!$B$13,Paramètres!$A$1:$I$89,5,0)</f>
        <v>0.48074000000019829</v>
      </c>
      <c r="CV129" s="13">
        <f t="shared" si="95"/>
        <v>0.24126147010950588</v>
      </c>
      <c r="CW129" s="20">
        <f t="shared" si="67"/>
        <v>1.2574858937744013</v>
      </c>
      <c r="CX129" s="59">
        <f t="shared" si="68"/>
        <v>284.48452107419661</v>
      </c>
      <c r="CY129" s="59">
        <f ca="1">AVERAGE(OFFSET($CX$3,0,0,'Données projet'!$E$13+1,1))-AVERAGE(OFFSET($H$3,0,0,'Données projet'!$E$13+1,1))</f>
        <v>420.4890915162182</v>
      </c>
      <c r="CZ129" s="59">
        <f t="shared" si="96"/>
        <v>553.48432338023565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91.124815705048292</v>
      </c>
      <c r="DG129" s="21">
        <f>EXP(-LN(2)/25)*DG128+(1-EXP(-LN(2)/25))/(LN(2)/25)*Calculateur!DB129*Calculateur!DD129*VLOOKUP('Données projet'!$B$13,Paramètres!$A$1:$I$89,3,0)*0.475*44/12</f>
        <v>3.5314144529856053</v>
      </c>
      <c r="DH129" s="21">
        <f>EXP(-LN(2)/2)*DH128+(1-EXP(-LN(2)/2))/(LN(2)/2)*DB129*DE129*VLOOKUP('Données projet'!$B$13,Paramètres!$A$1:$I$89,3,0)*0.475*44/12</f>
        <v>2.6287257848267563E-15</v>
      </c>
      <c r="DI129" s="22">
        <f t="shared" si="69"/>
        <v>94.656230158033893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0.19750000000000512</v>
      </c>
      <c r="DO129" s="12">
        <f>IF('Données projet'!$A$166&gt;35,DO128+DN129-DW128,IF(A129&lt;'Données projet'!$A$166,$DL$205^A129,IF(A129='Données projet'!$A$166,'Données projet'!$B$166,DO128+DN129-DW128)))</f>
        <v>228.08250000000044</v>
      </c>
      <c r="DP129" s="17">
        <f>DO129*VLOOKUP('Données projet'!$B$14,Paramètres!$A$1:$I$89,3,0)*VLOOKUP('Données projet'!$B$14,Paramètres!$A$1:$I$89,5,0)</f>
        <v>245.50800300000046</v>
      </c>
      <c r="DQ129" s="13">
        <f t="shared" si="97"/>
        <v>59.623034624174132</v>
      </c>
      <c r="DR129" s="20">
        <f t="shared" si="70"/>
        <v>531.43655719543744</v>
      </c>
      <c r="DS129" s="59">
        <f t="shared" si="71"/>
        <v>814.66359237585971</v>
      </c>
      <c r="DT129" s="59">
        <f ca="1">AVERAGE(OFFSET($DS$3,0,0,'Données projet'!$E$14+1,1))-AVERAGE(OFFSET($H$3,0,0,'Données projet'!$E$14+1,1))</f>
        <v>659.55755908012691</v>
      </c>
      <c r="DU129" s="59">
        <f t="shared" si="98"/>
        <v>343.96647464823627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248.75091928198663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248.75091928198663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0.19750000000000512</v>
      </c>
      <c r="EJ129" s="12">
        <f>IF('Données projet'!$A$192&gt;35,EJ128+EI129-ER128,IF(A129&lt;'Données projet'!$A$192,$EG$205^A129,IF(A129='Données projet'!$A$192,'Données projet'!$B$192,EJ128+EI129-ER128)))</f>
        <v>228.08250000000044</v>
      </c>
      <c r="EK129" s="17">
        <f>EJ129*VLOOKUP('Données projet'!$B$15,Paramètres!$A$1:$I$89,3,0)*VLOOKUP('Données projet'!$B$15,Paramètres!$A$1:$I$89,5,0)</f>
        <v>220.60139400000043</v>
      </c>
      <c r="EL129" s="13">
        <f t="shared" si="99"/>
        <v>54.245574960802195</v>
      </c>
      <c r="EM129" s="20">
        <f t="shared" si="73"/>
        <v>478.69180427339779</v>
      </c>
      <c r="EN129" s="59">
        <f t="shared" si="74"/>
        <v>761.91883945382006</v>
      </c>
      <c r="EO129" s="59">
        <f ca="1">AVERAGE(OFFSET($EN$3,0,0,'Données projet'!$E$15+1,1))-AVERAGE(OFFSET($H$3,0,0,'Données projet'!$E$15+1,1))</f>
        <v>600.96600099541388</v>
      </c>
      <c r="EP129" s="59">
        <f t="shared" si="100"/>
        <v>315.40159257508969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223.51531877511849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223.51531877511849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206.54774400000036</v>
      </c>
      <c r="P130" s="13">
        <f t="shared" si="87"/>
        <v>51.180454659928444</v>
      </c>
      <c r="Q130" s="20">
        <f t="shared" si="107"/>
        <v>448.8766126660426</v>
      </c>
      <c r="R130" s="59">
        <f t="shared" si="55"/>
        <v>732.27896952512003</v>
      </c>
      <c r="S130" s="59">
        <f ca="1">AVERAGE(OFFSET($R$3,0,0,'Données projet'!$E$9+1,1))-AVERAGE(OFFSET($H$3,0,0,'Données projet'!$E$9+1,1))</f>
        <v>567.42635821336114</v>
      </c>
      <c r="T130" s="59">
        <f t="shared" si="88"/>
        <v>299.0473530693472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232.95976996943133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232.95976996943133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475.00000000000023</v>
      </c>
      <c r="AJ130" s="13">
        <f>AI130*VLOOKUP('Données projet'!$B$10,Paramètres!$A$1:$I$89,3,0)*VLOOKUP('Données projet'!$B$10,Paramètres!$A$1:$I$89,5,0)</f>
        <v>407.5500000000003</v>
      </c>
      <c r="AK130" s="13">
        <f t="shared" si="89"/>
        <v>93.305642095357683</v>
      </c>
      <c r="AL130" s="20">
        <f t="shared" si="58"/>
        <v>872.32357664941526</v>
      </c>
      <c r="AM130" s="59">
        <f t="shared" si="59"/>
        <v>1155.7259335084927</v>
      </c>
      <c r="AN130" s="59">
        <f ca="1">AVERAGE(OFFSET($AM$3,0,0,'Données projet'!$E$10+1,1))-AVERAGE(OFFSET($H$3,0,0,'Données projet'!$E$10+1,1))</f>
        <v>570.05585579662738</v>
      </c>
      <c r="AO130" s="59">
        <f t="shared" si="90"/>
        <v>331.25104323342907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106.40010658766255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106.40010658766255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16.750000000000213</v>
      </c>
      <c r="BE130" s="13">
        <f>BD130*VLOOKUP('Données projet'!$B$11,Paramètres!$A$1:$I$89,3,0)*VLOOKUP('Données projet'!$B$11,Paramètres!$A$1:$I$89,5,0)</f>
        <v>14.11020000000018</v>
      </c>
      <c r="BF130" s="13">
        <f t="shared" si="91"/>
        <v>4.7783677814795205</v>
      </c>
      <c r="BG130" s="20">
        <f t="shared" si="61"/>
        <v>32.897588886077138</v>
      </c>
      <c r="BH130" s="59">
        <f t="shared" si="62"/>
        <v>316.29994574515456</v>
      </c>
      <c r="BI130" s="59">
        <f ca="1">AVERAGE(OFFSET($BH$3,0,0,'Données projet'!$E$11+1,1))-AVERAGE(OFFSET($H$3,0,0,'Données projet'!$E$11+1,1))</f>
        <v>458.88102603650725</v>
      </c>
      <c r="BJ130" s="59">
        <f t="shared" si="92"/>
        <v>277.79020316059552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167.73347318325324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167.73347318325324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228.28</v>
      </c>
      <c r="BW130" s="12">
        <f>VLOOKUP(A130,'Données projet'!$A$113:$I$133,9,0)</f>
        <v>0.19750000000000512</v>
      </c>
      <c r="BX130" s="12">
        <f t="array" ref="BX130">INDEX(BW:BW,MIN(IF(ISNUMBER(BW130:BW326),ROW(BW130:BW326),"")))</f>
        <v>0.19750000000000512</v>
      </c>
      <c r="BY130" s="12">
        <f>IF('Données projet'!$A$114&gt;35,BY129+BX130-CG129,IF(A130&lt;'Données projet'!$A$114,$BV$205^A130,IF(A130='Données projet'!$A$114,'Données projet'!$B$114,BY129+BX130-CG129)))</f>
        <v>228.28000000000043</v>
      </c>
      <c r="BZ130" s="13">
        <f>BY130*VLOOKUP('Données projet'!$B$12,Paramètres!$A$1:$I$89,3,0)*VLOOKUP('Données projet'!$B$12,Paramètres!$A$1:$I$89,5,0)</f>
        <v>217.23124800000039</v>
      </c>
      <c r="CA130" s="13">
        <f t="shared" si="93"/>
        <v>53.512668298827201</v>
      </c>
      <c r="CB130" s="20">
        <f t="shared" si="64"/>
        <v>471.54565422045795</v>
      </c>
      <c r="CC130" s="59">
        <f t="shared" si="65"/>
        <v>754.94801107953538</v>
      </c>
      <c r="CD130" s="59">
        <f ca="1">AVERAGE(OFFSET($CC$3,0,0,'Données projet'!$E$12+1,1))-AVERAGE(OFFSET($H$3,0,0,'Données projet'!$E$12+1,1))</f>
        <v>592.58528888957346</v>
      </c>
      <c r="CE130" s="59">
        <f t="shared" si="94"/>
        <v>311.31528017256846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65.02</v>
      </c>
      <c r="CH130" s="16">
        <f>IF(ISNA(VLOOKUP(A130,'Données projet'!$A$113:$I$133,5,0)),0%,VLOOKUP(A130,'Données projet'!$A$113:$I$133,5,0)*VLOOKUP('Données projet'!$B$12,Paramètres!$A$1:$I$89,7,0))</f>
        <v>0.43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245.00941324371229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245.00941324371229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0.8600000000003547</v>
      </c>
      <c r="CU130" s="17">
        <f>CT130*VLOOKUP('Données projet'!$B$13,Paramètres!$A$1:$I$89,3,0)*VLOOKUP('Données projet'!$B$13,Paramètres!$A$1:$I$89,5,0)</f>
        <v>0.48074000000019829</v>
      </c>
      <c r="CV130" s="13">
        <f t="shared" si="95"/>
        <v>0.24126147010950588</v>
      </c>
      <c r="CW130" s="20">
        <f t="shared" si="67"/>
        <v>1.2574858937744013</v>
      </c>
      <c r="CX130" s="59">
        <f t="shared" si="68"/>
        <v>284.65984275285183</v>
      </c>
      <c r="CY130" s="59">
        <f ca="1">AVERAGE(OFFSET($CX$3,0,0,'Données projet'!$E$13+1,1))-AVERAGE(OFFSET($H$3,0,0,'Données projet'!$E$13+1,1))</f>
        <v>420.4890915162182</v>
      </c>
      <c r="CZ130" s="59">
        <f t="shared" si="96"/>
        <v>553.48432338023565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89.337913649721742</v>
      </c>
      <c r="DG130" s="21">
        <f>EXP(-LN(2)/25)*DG129+(1-EXP(-LN(2)/25))/(LN(2)/25)*Calculateur!DB130*Calculateur!DD130*VLOOKUP('Données projet'!$B$13,Paramètres!$A$1:$I$89,3,0)*0.475*44/12</f>
        <v>3.4348477390596992</v>
      </c>
      <c r="DH130" s="21">
        <f>EXP(-LN(2)/2)*DH129+(1-EXP(-LN(2)/2))/(LN(2)/2)*DB130*DE130*VLOOKUP('Données projet'!$B$13,Paramètres!$A$1:$I$89,3,0)*0.475*44/12</f>
        <v>1.8587898283309285E-15</v>
      </c>
      <c r="DI130" s="22">
        <f t="shared" si="69"/>
        <v>92.772761388781447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>
        <f>VLOOKUP(A130,'Données projet'!$A$165:$I$185,2,0)</f>
        <v>228.28</v>
      </c>
      <c r="DM130" s="12">
        <f>VLOOKUP(A130,'Données projet'!$A$165:$I$185,9,0)</f>
        <v>0.19750000000000512</v>
      </c>
      <c r="DN130" s="12">
        <f t="array" ref="DN130">INDEX(DM:DM,MIN(IF(ISNUMBER(DM130:DM326),ROW(DM130:DM326),"")))</f>
        <v>0.19750000000000512</v>
      </c>
      <c r="DO130" s="12">
        <f>IF('Données projet'!$A$166&gt;35,DO129+DN130-DW129,IF(A130&lt;'Données projet'!$A$166,$DL$205^A130,IF(A130='Données projet'!$A$166,'Données projet'!$B$166,DO129+DN130-DW129)))</f>
        <v>228.28000000000043</v>
      </c>
      <c r="DP130" s="17">
        <f>DO130*VLOOKUP('Données projet'!$B$14,Paramètres!$A$1:$I$89,3,0)*VLOOKUP('Données projet'!$B$14,Paramètres!$A$1:$I$89,5,0)</f>
        <v>245.72059200000047</v>
      </c>
      <c r="DQ130" s="13">
        <f t="shared" si="97"/>
        <v>59.66865123745049</v>
      </c>
      <c r="DR130" s="20">
        <f t="shared" si="70"/>
        <v>531.88626530522708</v>
      </c>
      <c r="DS130" s="59">
        <f t="shared" si="71"/>
        <v>815.28862216430457</v>
      </c>
      <c r="DT130" s="59">
        <f ca="1">AVERAGE(OFFSET($DS$3,0,0,'Données projet'!$E$14+1,1))-AVERAGE(OFFSET($H$3,0,0,'Données projet'!$E$14+1,1))</f>
        <v>659.55755908012691</v>
      </c>
      <c r="DU130" s="59">
        <f t="shared" si="98"/>
        <v>343.96647464823627</v>
      </c>
      <c r="DV130" s="15">
        <f>IF(ISNA(VLOOKUP(A130,'Données projet'!$A$165:$I$185,3,0)),0,VLOOKUP(A130,'Données projet'!$A$165:$I$185,3,0))</f>
        <v>13</v>
      </c>
      <c r="DW130" s="15">
        <f>IF(ISNA(VLOOKUP(A130,'Données projet'!$A$165:$I$185,4,0)),0,VLOOKUP(A130,'Données projet'!$A$165:$I$185,4,0))</f>
        <v>65.02</v>
      </c>
      <c r="DX130" s="16">
        <f>IF(ISNA(VLOOKUP(A130,'Données projet'!$A$165:$I$185,5,0)),0%,VLOOKUP(A130,'Données projet'!$A$165:$I$185,5,0)*VLOOKUP('Données projet'!$B$14,Paramètres!$A$1:$I$89,7,0))</f>
        <v>0.43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277.14179530846138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277.14179530846138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>
        <f>VLOOKUP(A130,'Données projet'!$A$191:$I$211,2,0)</f>
        <v>228.28</v>
      </c>
      <c r="EH130" s="12">
        <f>VLOOKUP(A130,'Données projet'!$A$191:$I$211,9,0)</f>
        <v>0.19750000000000512</v>
      </c>
      <c r="EI130" s="12">
        <f t="array" ref="EI130">INDEX(EH:EH,MIN(IF(ISNUMBER(EH130:EH326),ROW(EH130:EH326),"")))</f>
        <v>0.19750000000000512</v>
      </c>
      <c r="EJ130" s="12">
        <f>IF('Données projet'!$A$192&gt;35,EJ129+EI130-ER129,IF(A130&lt;'Données projet'!$A$192,$EG$205^A130,IF(A130='Données projet'!$A$192,'Données projet'!$B$192,EJ129+EI130-ER129)))</f>
        <v>228.28000000000043</v>
      </c>
      <c r="EK130" s="17">
        <f>EJ130*VLOOKUP('Données projet'!$B$15,Paramètres!$A$1:$I$89,3,0)*VLOOKUP('Données projet'!$B$15,Paramètres!$A$1:$I$89,5,0)</f>
        <v>220.79241600000043</v>
      </c>
      <c r="EL130" s="13">
        <f t="shared" si="99"/>
        <v>54.287077367221812</v>
      </c>
      <c r="EM130" s="20">
        <f t="shared" si="73"/>
        <v>479.09678428124539</v>
      </c>
      <c r="EN130" s="59">
        <f t="shared" si="74"/>
        <v>762.49914114032276</v>
      </c>
      <c r="EO130" s="59">
        <f ca="1">AVERAGE(OFFSET($EN$3,0,0,'Données projet'!$E$15+1,1))-AVERAGE(OFFSET($H$3,0,0,'Données projet'!$E$15+1,1))</f>
        <v>600.96600099541388</v>
      </c>
      <c r="EP130" s="59">
        <f t="shared" si="100"/>
        <v>315.40159257508969</v>
      </c>
      <c r="EQ130" s="15">
        <f>IF(ISNA(VLOOKUP(A130,'Données projet'!$A$191:$I$211,3,0)),0,VLOOKUP(A130,'Données projet'!$A$191:$I$211,3,0))</f>
        <v>13</v>
      </c>
      <c r="ER130" s="15">
        <f>IF(ISNA(VLOOKUP(A130,'Données projet'!$A$191:$I$211,4,0)),0,VLOOKUP(A130,'Données projet'!$A$191:$I$211,4,0))</f>
        <v>65.02</v>
      </c>
      <c r="ES130" s="16">
        <f>IF(ISNA(VLOOKUP(A130,'Données projet'!$A$191:$I$211,5,0)),0%,VLOOKUP(A130,'Données projet'!$A$191:$I$211,5,0)*VLOOKUP('Données projet'!$B$15,Paramètres!$A$1:$I$89,7,0))</f>
        <v>0.43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249.02596100180597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249.02596100180597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147.80586600000038</v>
      </c>
      <c r="P131" s="13">
        <f t="shared" si="87"/>
        <v>38.079533976001102</v>
      </c>
      <c r="Q131" s="20">
        <f t="shared" ref="Q131:Q153" si="108">(O131+P131)*0.475*44/12</f>
        <v>323.75040495820258</v>
      </c>
      <c r="R131" s="59">
        <f t="shared" ref="R131:R194" si="109">Q131+(I131+J131)*44/12</f>
        <v>607.32504205677105</v>
      </c>
      <c r="S131" s="59">
        <f ca="1">AVERAGE(OFFSET($R$3,0,0,'Données projet'!$E$9+1,1))-AVERAGE(OFFSET($H$3,0,0,'Données projet'!$E$9+1,1))</f>
        <v>567.42635821336114</v>
      </c>
      <c r="T131" s="59">
        <f t="shared" si="88"/>
        <v>299.0473530693472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228.3915709717601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228.3915709717601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475.00000000000023</v>
      </c>
      <c r="AJ131" s="13">
        <f>AI131*VLOOKUP('Données projet'!$B$10,Paramètres!$A$1:$I$89,3,0)*VLOOKUP('Données projet'!$B$10,Paramètres!$A$1:$I$89,5,0)</f>
        <v>407.5500000000003</v>
      </c>
      <c r="AK131" s="13">
        <f t="shared" si="89"/>
        <v>93.305642095357683</v>
      </c>
      <c r="AL131" s="20">
        <f t="shared" si="58"/>
        <v>872.32357664941526</v>
      </c>
      <c r="AM131" s="59">
        <f t="shared" si="59"/>
        <v>1155.8982137479838</v>
      </c>
      <c r="AN131" s="59">
        <f ca="1">AVERAGE(OFFSET($AM$3,0,0,'Données projet'!$E$10+1,1))-AVERAGE(OFFSET($H$3,0,0,'Données projet'!$E$10+1,1))</f>
        <v>570.05585579662738</v>
      </c>
      <c r="AO131" s="59">
        <f t="shared" si="90"/>
        <v>331.25104323342907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104.31366539513539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104.31366539513539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16.750000000000213</v>
      </c>
      <c r="BE131" s="13">
        <f>BD131*VLOOKUP('Données projet'!$B$11,Paramètres!$A$1:$I$89,3,0)*VLOOKUP('Données projet'!$B$11,Paramètres!$A$1:$I$89,5,0)</f>
        <v>14.11020000000018</v>
      </c>
      <c r="BF131" s="13">
        <f t="shared" si="91"/>
        <v>4.7783677814795205</v>
      </c>
      <c r="BG131" s="20">
        <f t="shared" si="61"/>
        <v>32.897588886077138</v>
      </c>
      <c r="BH131" s="59">
        <f t="shared" si="62"/>
        <v>316.47222598464566</v>
      </c>
      <c r="BI131" s="59">
        <f ca="1">AVERAGE(OFFSET($BH$3,0,0,'Données projet'!$E$11+1,1))-AVERAGE(OFFSET($H$3,0,0,'Données projet'!$E$11+1,1))</f>
        <v>458.88102603650725</v>
      </c>
      <c r="BJ131" s="59">
        <f t="shared" si="92"/>
        <v>277.79020316059552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164.44432208144627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164.44432208144627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9.7500000000003695E-2</v>
      </c>
      <c r="BY131" s="12">
        <f>IF('Données projet'!$A$114&gt;35,BY130+BX131-CG130,IF(A131&lt;'Données projet'!$A$114,$BV$205^A131,IF(A131='Données projet'!$A$114,'Données projet'!$B$114,BY130+BX131-CG130)))</f>
        <v>163.35750000000041</v>
      </c>
      <c r="BZ131" s="13">
        <f>BY131*VLOOKUP('Données projet'!$B$12,Paramètres!$A$1:$I$89,3,0)*VLOOKUP('Données projet'!$B$12,Paramètres!$A$1:$I$89,5,0)</f>
        <v>155.4509970000004</v>
      </c>
      <c r="CA131" s="13">
        <f t="shared" si="93"/>
        <v>39.81475905541555</v>
      </c>
      <c r="CB131" s="20">
        <f t="shared" si="64"/>
        <v>340.08785846318278</v>
      </c>
      <c r="CC131" s="59">
        <f t="shared" si="65"/>
        <v>623.66249556175126</v>
      </c>
      <c r="CD131" s="59">
        <f ca="1">AVERAGE(OFFSET($CC$3,0,0,'Données projet'!$E$12+1,1))-AVERAGE(OFFSET($H$3,0,0,'Données projet'!$E$12+1,1))</f>
        <v>592.58528888957346</v>
      </c>
      <c r="CE131" s="59">
        <f t="shared" si="94"/>
        <v>311.31528017256846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240.20492809098909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240.20492809098909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0.8600000000003547</v>
      </c>
      <c r="CU131" s="17">
        <f>CT131*VLOOKUP('Données projet'!$B$13,Paramètres!$A$1:$I$89,3,0)*VLOOKUP('Données projet'!$B$13,Paramètres!$A$1:$I$89,5,0)</f>
        <v>0.48074000000019829</v>
      </c>
      <c r="CV131" s="13">
        <f t="shared" si="95"/>
        <v>0.24126147010950588</v>
      </c>
      <c r="CW131" s="20">
        <f t="shared" si="67"/>
        <v>1.2574858937744013</v>
      </c>
      <c r="CX131" s="59">
        <f t="shared" si="68"/>
        <v>284.83212299234293</v>
      </c>
      <c r="CY131" s="59">
        <f ca="1">AVERAGE(OFFSET($CX$3,0,0,'Données projet'!$E$13+1,1))-AVERAGE(OFFSET($H$3,0,0,'Données projet'!$E$13+1,1))</f>
        <v>420.4890915162182</v>
      </c>
      <c r="CZ131" s="59">
        <f t="shared" si="96"/>
        <v>553.48432338023565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87.586051653797512</v>
      </c>
      <c r="DG131" s="21">
        <f>EXP(-LN(2)/25)*DG130+(1-EXP(-LN(2)/25))/(LN(2)/25)*Calculateur!DB131*Calculateur!DD131*VLOOKUP('Données projet'!$B$13,Paramètres!$A$1:$I$89,3,0)*0.475*44/12</f>
        <v>3.3409216470043197</v>
      </c>
      <c r="DH131" s="21">
        <f>EXP(-LN(2)/2)*DH130+(1-EXP(-LN(2)/2))/(LN(2)/2)*DB131*DE131*VLOOKUP('Données projet'!$B$13,Paramètres!$A$1:$I$89,3,0)*0.475*44/12</f>
        <v>1.3143628924133781E-15</v>
      </c>
      <c r="DI131" s="22">
        <f t="shared" si="69"/>
        <v>90.926973300801833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9.7500000000003695E-2</v>
      </c>
      <c r="DO131" s="12">
        <f>IF('Données projet'!$A$166&gt;35,DO130+DN131-DW130,IF(A131&lt;'Données projet'!$A$166,$DL$205^A131,IF(A131='Données projet'!$A$166,'Données projet'!$B$166,DO130+DN131-DW130)))</f>
        <v>163.35750000000041</v>
      </c>
      <c r="DP131" s="17">
        <f>DO131*VLOOKUP('Données projet'!$B$14,Paramètres!$A$1:$I$89,3,0)*VLOOKUP('Données projet'!$B$14,Paramètres!$A$1:$I$89,5,0)</f>
        <v>175.83801300000044</v>
      </c>
      <c r="DQ131" s="13">
        <f t="shared" si="97"/>
        <v>44.394963803977951</v>
      </c>
      <c r="DR131" s="20">
        <f t="shared" si="70"/>
        <v>383.5724346002624</v>
      </c>
      <c r="DS131" s="59">
        <f t="shared" si="71"/>
        <v>667.14707169883093</v>
      </c>
      <c r="DT131" s="59">
        <f ca="1">AVERAGE(OFFSET($DS$3,0,0,'Données projet'!$E$14+1,1))-AVERAGE(OFFSET($H$3,0,0,'Données projet'!$E$14+1,1))</f>
        <v>659.55755908012691</v>
      </c>
      <c r="DU131" s="59">
        <f t="shared" si="98"/>
        <v>343.96647464823627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271.70721374226628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271.70721374226628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9.7500000000003695E-2</v>
      </c>
      <c r="EJ131" s="12">
        <f>IF('Données projet'!$A$192&gt;35,EJ130+EI131-ER130,IF(A131&lt;'Données projet'!$A$192,$EG$205^A131,IF(A131='Données projet'!$A$192,'Données projet'!$B$192,EJ130+EI131-ER130)))</f>
        <v>163.35750000000041</v>
      </c>
      <c r="EK131" s="17">
        <f>EJ131*VLOOKUP('Données projet'!$B$15,Paramètres!$A$1:$I$89,3,0)*VLOOKUP('Données projet'!$B$15,Paramètres!$A$1:$I$89,5,0)</f>
        <v>157.99937400000042</v>
      </c>
      <c r="EL131" s="13">
        <f t="shared" si="99"/>
        <v>40.390938704994603</v>
      </c>
      <c r="EM131" s="20">
        <f t="shared" si="73"/>
        <v>345.52979462786629</v>
      </c>
      <c r="EN131" s="59">
        <f t="shared" si="74"/>
        <v>629.10443172643477</v>
      </c>
      <c r="EO131" s="59">
        <f ca="1">AVERAGE(OFFSET($EN$3,0,0,'Données projet'!$E$15+1,1))-AVERAGE(OFFSET($H$3,0,0,'Données projet'!$E$15+1,1))</f>
        <v>600.96600099541388</v>
      </c>
      <c r="EP131" s="59">
        <f t="shared" si="100"/>
        <v>315.40159257508969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244.14271379739878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244.14271379739878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147.89408400000036</v>
      </c>
      <c r="P132" s="13">
        <f t="shared" si="87"/>
        <v>38.099615551686391</v>
      </c>
      <c r="Q132" s="20">
        <f t="shared" si="108"/>
        <v>323.93902671918772</v>
      </c>
      <c r="R132" s="59">
        <f t="shared" si="109"/>
        <v>607.68295538025313</v>
      </c>
      <c r="S132" s="59">
        <f ca="1">AVERAGE(OFFSET($R$3,0,0,'Données projet'!$E$9+1,1))-AVERAGE(OFFSET($H$3,0,0,'Données projet'!$E$9+1,1))</f>
        <v>567.42635821336114</v>
      </c>
      <c r="T132" s="59">
        <f t="shared" si="88"/>
        <v>299.0473530693472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223.91295157010694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223.91295157010694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475.00000000000023</v>
      </c>
      <c r="AJ132" s="13">
        <f>AI132*VLOOKUP('Données projet'!$B$10,Paramètres!$A$1:$I$89,3,0)*VLOOKUP('Données projet'!$B$10,Paramètres!$A$1:$I$89,5,0)</f>
        <v>407.5500000000003</v>
      </c>
      <c r="AK132" s="13">
        <f t="shared" si="89"/>
        <v>93.305642095357683</v>
      </c>
      <c r="AL132" s="20">
        <f t="shared" ref="AL132:AL153" si="112">(AJ132+AK132)*0.475*44/12</f>
        <v>872.32357664941526</v>
      </c>
      <c r="AM132" s="59">
        <f t="shared" ref="AM132:AM195" si="113">AL132+(AD132+AE132)*44/12</f>
        <v>1156.0675053104806</v>
      </c>
      <c r="AN132" s="59">
        <f ca="1">AVERAGE(OFFSET($AM$3,0,0,'Données projet'!$E$10+1,1))-AVERAGE(OFFSET($H$3,0,0,'Données projet'!$E$10+1,1))</f>
        <v>570.05585579662738</v>
      </c>
      <c r="AO132" s="59">
        <f t="shared" si="90"/>
        <v>331.25104323342907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102.26813804179022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102.26813804179022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16.750000000000213</v>
      </c>
      <c r="BE132" s="13">
        <f>BD132*VLOOKUP('Données projet'!$B$11,Paramètres!$A$1:$I$89,3,0)*VLOOKUP('Données projet'!$B$11,Paramètres!$A$1:$I$89,5,0)</f>
        <v>14.11020000000018</v>
      </c>
      <c r="BF132" s="13">
        <f t="shared" si="91"/>
        <v>4.7783677814795205</v>
      </c>
      <c r="BG132" s="20">
        <f t="shared" ref="BG132:BG153" si="115">(BE132+BF132)*0.475*44/12</f>
        <v>32.897588886077138</v>
      </c>
      <c r="BH132" s="59">
        <f t="shared" ref="BH132:BH195" si="116">BG132+(AY132+AZ132)*44/12</f>
        <v>316.64151754714248</v>
      </c>
      <c r="BI132" s="59">
        <f ca="1">AVERAGE(OFFSET($BH$3,0,0,'Données projet'!$E$11+1,1))-AVERAGE(OFFSET($H$3,0,0,'Données projet'!$E$11+1,1))</f>
        <v>458.88102603650725</v>
      </c>
      <c r="BJ132" s="59">
        <f t="shared" si="92"/>
        <v>277.79020316059552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161.21966922656168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161.21966922656168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9.7500000000003695E-2</v>
      </c>
      <c r="BY132" s="12">
        <f>IF('Données projet'!$A$114&gt;35,BY131+BX132-CG131,IF(A132&lt;'Données projet'!$A$114,$BV$205^A132,IF(A132='Données projet'!$A$114,'Données projet'!$B$114,BY131+BX132-CG131)))</f>
        <v>163.45500000000041</v>
      </c>
      <c r="BZ132" s="13">
        <f>BY132*VLOOKUP('Données projet'!$B$12,Paramètres!$A$1:$I$89,3,0)*VLOOKUP('Données projet'!$B$12,Paramètres!$A$1:$I$89,5,0)</f>
        <v>155.5437780000004</v>
      </c>
      <c r="CA132" s="13">
        <f t="shared" si="93"/>
        <v>39.83575571724095</v>
      </c>
      <c r="CB132" s="20">
        <f t="shared" ref="CB132:CB153" si="118">(BZ132+CA132)*0.475*44/12</f>
        <v>340.28602122419534</v>
      </c>
      <c r="CC132" s="59">
        <f t="shared" ref="CC132:CC195" si="119">CB132+(BT132+BU132)*44/12</f>
        <v>624.02994988526075</v>
      </c>
      <c r="CD132" s="59">
        <f ca="1">AVERAGE(OFFSET($CC$3,0,0,'Données projet'!$E$12+1,1))-AVERAGE(OFFSET($H$3,0,0,'Données projet'!$E$12+1,1))</f>
        <v>592.58528888957346</v>
      </c>
      <c r="CE132" s="59">
        <f t="shared" si="94"/>
        <v>311.31528017256846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235.49465596166422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235.49465596166422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0.8600000000003547</v>
      </c>
      <c r="CU132" s="17">
        <f>CT132*VLOOKUP('Données projet'!$B$13,Paramètres!$A$1:$I$89,3,0)*VLOOKUP('Données projet'!$B$13,Paramètres!$A$1:$I$89,5,0)</f>
        <v>0.48074000000019829</v>
      </c>
      <c r="CV132" s="13">
        <f t="shared" si="95"/>
        <v>0.24126147010950588</v>
      </c>
      <c r="CW132" s="20">
        <f t="shared" ref="CW132:CW153" si="121">(CU132+CV132)*0.475*44/12</f>
        <v>1.2574858937744013</v>
      </c>
      <c r="CX132" s="59">
        <f t="shared" ref="CX132:CX195" si="122">CW132+(CO132+CP132)*44/12</f>
        <v>285.00141455483976</v>
      </c>
      <c r="CY132" s="59">
        <f ca="1">AVERAGE(OFFSET($CX$3,0,0,'Données projet'!$E$13+1,1))-AVERAGE(OFFSET($H$3,0,0,'Données projet'!$E$13+1,1))</f>
        <v>420.4890915162182</v>
      </c>
      <c r="CZ132" s="59">
        <f t="shared" si="96"/>
        <v>553.48432338023565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85.868542603083043</v>
      </c>
      <c r="DG132" s="21">
        <f>EXP(-LN(2)/25)*DG131+(1-EXP(-LN(2)/25))/(LN(2)/25)*Calculateur!DB132*Calculateur!DD132*VLOOKUP('Données projet'!$B$13,Paramètres!$A$1:$I$89,3,0)*0.475*44/12</f>
        <v>3.2495639688755529</v>
      </c>
      <c r="DH132" s="21">
        <f>EXP(-LN(2)/2)*DH131+(1-EXP(-LN(2)/2))/(LN(2)/2)*DB132*DE132*VLOOKUP('Données projet'!$B$13,Paramètres!$A$1:$I$89,3,0)*0.475*44/12</f>
        <v>9.2939491416546425E-16</v>
      </c>
      <c r="DI132" s="22">
        <f t="shared" ref="DI132:DI153" si="123">SUM(DF132:DH132)</f>
        <v>89.118106571958592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9.7500000000003695E-2</v>
      </c>
      <c r="DO132" s="12">
        <f>IF('Données projet'!$A$166&gt;35,DO131+DN132-DW131,IF(A132&lt;'Données projet'!$A$166,$DL$205^A132,IF(A132='Données projet'!$A$166,'Données projet'!$B$166,DO131+DN132-DW131)))</f>
        <v>163.45500000000041</v>
      </c>
      <c r="DP132" s="17">
        <f>DO132*VLOOKUP('Données projet'!$B$14,Paramètres!$A$1:$I$89,3,0)*VLOOKUP('Données projet'!$B$14,Paramètres!$A$1:$I$89,5,0)</f>
        <v>175.94296200000042</v>
      </c>
      <c r="DQ132" s="13">
        <f t="shared" si="97"/>
        <v>44.418375876884021</v>
      </c>
      <c r="DR132" s="20">
        <f t="shared" ref="DR132:DR153" si="124">(DP132+DQ132)*0.475*44/12</f>
        <v>383.79599680224038</v>
      </c>
      <c r="DS132" s="59">
        <f t="shared" ref="DS132:DS195" si="125">DR132+(DJ132+DK132)*44/12</f>
        <v>667.53992546330574</v>
      </c>
      <c r="DT132" s="59">
        <f ca="1">AVERAGE(OFFSET($DS$3,0,0,'Données projet'!$E$14+1,1))-AVERAGE(OFFSET($H$3,0,0,'Données projet'!$E$14+1,1))</f>
        <v>659.55755908012691</v>
      </c>
      <c r="DU132" s="59">
        <f t="shared" si="98"/>
        <v>343.96647464823627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266.37920100581681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266.37920100581681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9.7500000000003695E-2</v>
      </c>
      <c r="EJ132" s="12">
        <f>IF('Données projet'!$A$192&gt;35,EJ131+EI132-ER131,IF(A132&lt;'Données projet'!$A$192,$EG$205^A132,IF(A132='Données projet'!$A$192,'Données projet'!$B$192,EJ131+EI132-ER131)))</f>
        <v>163.45500000000041</v>
      </c>
      <c r="EK132" s="17">
        <f>EJ132*VLOOKUP('Données projet'!$B$15,Paramètres!$A$1:$I$89,3,0)*VLOOKUP('Données projet'!$B$15,Paramètres!$A$1:$I$89,5,0)</f>
        <v>158.09367600000041</v>
      </c>
      <c r="EL132" s="13">
        <f t="shared" si="99"/>
        <v>40.412239220203517</v>
      </c>
      <c r="EM132" s="20">
        <f t="shared" ref="EM132:EM153" si="127">(EK132+EL132)*0.475*44/12</f>
        <v>345.73113567518845</v>
      </c>
      <c r="EN132" s="59">
        <f t="shared" ref="EN132:EN195" si="128">EM132+(EE132+EF132)*44/12</f>
        <v>629.47506433625381</v>
      </c>
      <c r="EO132" s="59">
        <f ca="1">AVERAGE(OFFSET($EN$3,0,0,'Données projet'!$E$15+1,1))-AVERAGE(OFFSET($H$3,0,0,'Données projet'!$E$15+1,1))</f>
        <v>600.96600099541388</v>
      </c>
      <c r="EP132" s="59">
        <f t="shared" si="100"/>
        <v>315.40159257508969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239.35522409218333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239.35522409218333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147.98230200000037</v>
      </c>
      <c r="P133" s="13">
        <f t="shared" ref="P133:P196" si="141">EXP(-1.0587+0.8836*LN(O133)+0.284)</f>
        <v>38.119695733116984</v>
      </c>
      <c r="Q133" s="20">
        <f t="shared" si="108"/>
        <v>324.127646051846</v>
      </c>
      <c r="R133" s="59">
        <f t="shared" si="109"/>
        <v>608.03792944527811</v>
      </c>
      <c r="S133" s="59">
        <f ca="1">AVERAGE(OFFSET($R$3,0,0,'Données projet'!$E$9+1,1))-AVERAGE(OFFSET($H$3,0,0,'Données projet'!$E$9+1,1))</f>
        <v>567.42635821336114</v>
      </c>
      <c r="T133" s="59">
        <f t="shared" ref="T133:T196" si="142">$T$3</f>
        <v>299.0473530693472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219.5221551632321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219.5221551632321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475.00000000000023</v>
      </c>
      <c r="AJ133" s="13">
        <f>AI133*VLOOKUP('Données projet'!$B$10,Paramètres!$A$1:$I$89,3,0)*VLOOKUP('Données projet'!$B$10,Paramètres!$A$1:$I$89,5,0)</f>
        <v>407.5500000000003</v>
      </c>
      <c r="AK133" s="13">
        <f t="shared" ref="AK133:AK153" si="143">EXP(-1.0587+0.8836*LN(AJ133)+0.284)</f>
        <v>93.305642095357683</v>
      </c>
      <c r="AL133" s="20">
        <f t="shared" si="112"/>
        <v>872.32357664941526</v>
      </c>
      <c r="AM133" s="59">
        <f t="shared" si="113"/>
        <v>1156.2338600428475</v>
      </c>
      <c r="AN133" s="59">
        <f ca="1">AVERAGE(OFFSET($AM$3,0,0,'Données projet'!$E$10+1,1))-AVERAGE(OFFSET($H$3,0,0,'Données projet'!$E$10+1,1))</f>
        <v>570.05585579662738</v>
      </c>
      <c r="AO133" s="59">
        <f t="shared" ref="AO133:AO196" si="144">$AO$3</f>
        <v>331.25104323342907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100.26272223219567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100.26272223219567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16.750000000000213</v>
      </c>
      <c r="BE133" s="13">
        <f>BD133*VLOOKUP('Données projet'!$B$11,Paramètres!$A$1:$I$89,3,0)*VLOOKUP('Données projet'!$B$11,Paramètres!$A$1:$I$89,5,0)</f>
        <v>14.11020000000018</v>
      </c>
      <c r="BF133" s="13">
        <f t="shared" ref="BF133:BF153" si="145">EXP(-1.0587+0.8836*LN(BE133)+0.284)</f>
        <v>4.7783677814795205</v>
      </c>
      <c r="BG133" s="20">
        <f t="shared" si="115"/>
        <v>32.897588886077138</v>
      </c>
      <c r="BH133" s="59">
        <f t="shared" si="116"/>
        <v>316.80787227950924</v>
      </c>
      <c r="BI133" s="59">
        <f ca="1">AVERAGE(OFFSET($BH$3,0,0,'Données projet'!$E$11+1,1))-AVERAGE(OFFSET($H$3,0,0,'Données projet'!$E$11+1,1))</f>
        <v>458.88102603650725</v>
      </c>
      <c r="BJ133" s="59">
        <f t="shared" ref="BJ133:BJ196" si="146">$BJ$3</f>
        <v>277.79020316059552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158.05824984731731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158.05824984731731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9.7500000000003695E-2</v>
      </c>
      <c r="BY133" s="12">
        <f>IF('Données projet'!$A$114&gt;35,BY132+BX133-CG132,IF(A133&lt;'Données projet'!$A$114,$BV$205^A133,IF(A133='Données projet'!$A$114,'Données projet'!$B$114,BY132+BX133-CG132)))</f>
        <v>163.55250000000041</v>
      </c>
      <c r="BZ133" s="13">
        <f>BY133*VLOOKUP('Données projet'!$B$12,Paramètres!$A$1:$I$89,3,0)*VLOOKUP('Données projet'!$B$12,Paramètres!$A$1:$I$89,5,0)</f>
        <v>155.63655900000037</v>
      </c>
      <c r="CA133" s="13">
        <f t="shared" ref="CA133:CA153" si="147">EXP(-1.0587+0.8836*LN(BZ133)+0.284)</f>
        <v>39.856750921277595</v>
      </c>
      <c r="CB133" s="20">
        <f t="shared" si="118"/>
        <v>340.48418144622576</v>
      </c>
      <c r="CC133" s="59">
        <f t="shared" si="119"/>
        <v>624.39446483965787</v>
      </c>
      <c r="CD133" s="59">
        <f ca="1">AVERAGE(OFFSET($CC$3,0,0,'Données projet'!$E$12+1,1))-AVERAGE(OFFSET($H$3,0,0,'Données projet'!$E$12+1,1))</f>
        <v>592.58528888957346</v>
      </c>
      <c r="CE133" s="59">
        <f t="shared" ref="CE133:CE196" si="148">$CE$3</f>
        <v>311.31528017256846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230.87674939581308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230.87674939581308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0.8600000000003547</v>
      </c>
      <c r="CU133" s="17">
        <f>CT133*VLOOKUP('Données projet'!$B$13,Paramètres!$A$1:$I$89,3,0)*VLOOKUP('Données projet'!$B$13,Paramètres!$A$1:$I$89,5,0)</f>
        <v>0.48074000000019829</v>
      </c>
      <c r="CV133" s="13">
        <f t="shared" ref="CV133:CV153" si="149">EXP(-1.0587+0.8836*LN(CU133)+0.284)</f>
        <v>0.24126147010950588</v>
      </c>
      <c r="CW133" s="20">
        <f t="shared" si="121"/>
        <v>1.2574858937744013</v>
      </c>
      <c r="CX133" s="59">
        <f t="shared" si="122"/>
        <v>285.16776928720651</v>
      </c>
      <c r="CY133" s="59">
        <f ca="1">AVERAGE(OFFSET($CX$3,0,0,'Données projet'!$E$13+1,1))-AVERAGE(OFFSET($H$3,0,0,'Données projet'!$E$13+1,1))</f>
        <v>420.4890915162182</v>
      </c>
      <c r="CZ133" s="59">
        <f t="shared" ref="CZ133:CZ196" si="150">$CZ$3</f>
        <v>553.48432338023565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84.184712857276011</v>
      </c>
      <c r="DG133" s="21">
        <f>EXP(-LN(2)/25)*DG132+(1-EXP(-LN(2)/25))/(LN(2)/25)*Calculateur!DB133*Calculateur!DD133*VLOOKUP('Données projet'!$B$13,Paramètres!$A$1:$I$89,3,0)*0.475*44/12</f>
        <v>3.1607044712595087</v>
      </c>
      <c r="DH133" s="21">
        <f>EXP(-LN(2)/2)*DH132+(1-EXP(-LN(2)/2))/(LN(2)/2)*DB133*DE133*VLOOKUP('Données projet'!$B$13,Paramètres!$A$1:$I$89,3,0)*0.475*44/12</f>
        <v>6.5718144620668907E-16</v>
      </c>
      <c r="DI133" s="22">
        <f t="shared" si="123"/>
        <v>87.345417328535518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9.7500000000003695E-2</v>
      </c>
      <c r="DO133" s="12">
        <f>IF('Données projet'!$A$166&gt;35,DO132+DN133-DW132,IF(A133&lt;'Données projet'!$A$166,$DL$205^A133,IF(A133='Données projet'!$A$166,'Données projet'!$B$166,DO132+DN133-DW132)))</f>
        <v>163.55250000000041</v>
      </c>
      <c r="DP133" s="17">
        <f>DO133*VLOOKUP('Données projet'!$B$14,Paramètres!$A$1:$I$89,3,0)*VLOOKUP('Données projet'!$B$14,Paramètres!$A$1:$I$89,5,0)</f>
        <v>176.04791100000043</v>
      </c>
      <c r="DQ133" s="13">
        <f t="shared" ref="DQ133:DQ153" si="151">EXP(-1.0587+0.8836*LN(DP133)+0.284)</f>
        <v>44.44178632430048</v>
      </c>
      <c r="DR133" s="20">
        <f t="shared" si="124"/>
        <v>384.01955617315735</v>
      </c>
      <c r="DS133" s="59">
        <f t="shared" si="125"/>
        <v>667.92983956658941</v>
      </c>
      <c r="DT133" s="59">
        <f ca="1">AVERAGE(OFFSET($DS$3,0,0,'Données projet'!$E$14+1,1))-AVERAGE(OFFSET($H$3,0,0,'Données projet'!$E$14+1,1))</f>
        <v>659.55755908012691</v>
      </c>
      <c r="DU133" s="59">
        <f t="shared" ref="DU133:DU196" si="152">$DU$3</f>
        <v>343.96647464823627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261.15566734936226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261.15566734936226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9.7500000000003695E-2</v>
      </c>
      <c r="EJ133" s="12">
        <f>IF('Données projet'!$A$192&gt;35,EJ132+EI133-ER132,IF(A133&lt;'Données projet'!$A$192,$EG$205^A133,IF(A133='Données projet'!$A$192,'Données projet'!$B$192,EJ132+EI133-ER132)))</f>
        <v>163.55250000000041</v>
      </c>
      <c r="EK133" s="17">
        <f>EJ133*VLOOKUP('Données projet'!$B$15,Paramètres!$A$1:$I$89,3,0)*VLOOKUP('Données projet'!$B$15,Paramètres!$A$1:$I$89,5,0)</f>
        <v>158.18797800000038</v>
      </c>
      <c r="EL133" s="13">
        <f t="shared" ref="EL133:EL153" si="153">EXP(-1.0587+0.8836*LN(EK133)+0.284)</f>
        <v>40.433538256527285</v>
      </c>
      <c r="EM133" s="20">
        <f t="shared" si="127"/>
        <v>345.93247414678564</v>
      </c>
      <c r="EN133" s="59">
        <f t="shared" si="128"/>
        <v>629.84275754021769</v>
      </c>
      <c r="EO133" s="59">
        <f ca="1">AVERAGE(OFFSET($EN$3,0,0,'Données projet'!$E$15+1,1))-AVERAGE(OFFSET($H$3,0,0,'Données projet'!$E$15+1,1))</f>
        <v>600.96600099541388</v>
      </c>
      <c r="EP133" s="59">
        <f t="shared" ref="EP133:EP196" si="154">$EP$3</f>
        <v>315.40159257508969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234.66161414000678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234.66161414000678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148.07052000000036</v>
      </c>
      <c r="P134" s="13">
        <f t="shared" si="141"/>
        <v>38.139774521220701</v>
      </c>
      <c r="Q134" s="20">
        <f t="shared" si="108"/>
        <v>324.3162629577933</v>
      </c>
      <c r="R134" s="59">
        <f t="shared" si="109"/>
        <v>608.39001520089903</v>
      </c>
      <c r="S134" s="59">
        <f ca="1">AVERAGE(OFFSET($R$3,0,0,'Données projet'!$E$9+1,1))-AVERAGE(OFFSET($H$3,0,0,'Données projet'!$E$9+1,1))</f>
        <v>567.42635821336114</v>
      </c>
      <c r="T134" s="59">
        <f t="shared" si="142"/>
        <v>299.0473530693472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277.08286059427138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277.08286059427138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475.00000000000023</v>
      </c>
      <c r="AJ134" s="13">
        <f>AI134*VLOOKUP('Données projet'!$B$10,Paramètres!$A$1:$I$89,3,0)*VLOOKUP('Données projet'!$B$10,Paramètres!$A$1:$I$89,5,0)</f>
        <v>407.5500000000003</v>
      </c>
      <c r="AK134" s="13">
        <f t="shared" si="143"/>
        <v>93.305642095357683</v>
      </c>
      <c r="AL134" s="20">
        <f t="shared" si="112"/>
        <v>872.32357664941526</v>
      </c>
      <c r="AM134" s="59">
        <f t="shared" si="113"/>
        <v>1156.397328892521</v>
      </c>
      <c r="AN134" s="59">
        <f ca="1">AVERAGE(OFFSET($AM$3,0,0,'Données projet'!$E$10+1,1))-AVERAGE(OFFSET($H$3,0,0,'Données projet'!$E$10+1,1))</f>
        <v>570.05585579662738</v>
      </c>
      <c r="AO134" s="59">
        <f t="shared" si="144"/>
        <v>331.25104323342907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98.296631403444394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98.296631403444394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16.750000000000213</v>
      </c>
      <c r="BE134" s="13">
        <f>BD134*VLOOKUP('Données projet'!$B$11,Paramètres!$A$1:$I$89,3,0)*VLOOKUP('Données projet'!$B$11,Paramètres!$A$1:$I$89,5,0)</f>
        <v>14.11020000000018</v>
      </c>
      <c r="BF134" s="13">
        <f t="shared" si="145"/>
        <v>4.7783677814795205</v>
      </c>
      <c r="BG134" s="20">
        <f t="shared" si="115"/>
        <v>32.897588886077138</v>
      </c>
      <c r="BH134" s="59">
        <f t="shared" si="116"/>
        <v>316.97134112918286</v>
      </c>
      <c r="BI134" s="59">
        <f ca="1">AVERAGE(OFFSET($BH$3,0,0,'Données projet'!$E$11+1,1))-AVERAGE(OFFSET($H$3,0,0,'Données projet'!$E$11+1,1))</f>
        <v>458.88102603650725</v>
      </c>
      <c r="BJ134" s="59">
        <f t="shared" si="146"/>
        <v>277.79020316059552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154.95882397382454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154.95882397382454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163.65</v>
      </c>
      <c r="BW134" s="12">
        <f>VLOOKUP(A134,'Données projet'!$A$113:$I$133,9,0)</f>
        <v>9.7500000000003695E-2</v>
      </c>
      <c r="BX134" s="12">
        <f t="array" ref="BX134">INDEX(BW:BW,MIN(IF(ISNUMBER(BW134:BW330),ROW(BW134:BW330),"")))</f>
        <v>9.7500000000003695E-2</v>
      </c>
      <c r="BY134" s="12">
        <f>IF('Données projet'!$A$114&gt;35,BY133+BX134-CG133,IF(A134&lt;'Données projet'!$A$114,$BV$205^A134,IF(A134='Données projet'!$A$114,'Données projet'!$B$114,BY133+BX134-CG133)))</f>
        <v>163.6500000000004</v>
      </c>
      <c r="BZ134" s="13">
        <f>BY134*VLOOKUP('Données projet'!$B$12,Paramètres!$A$1:$I$89,3,0)*VLOOKUP('Données projet'!$B$12,Paramètres!$A$1:$I$89,5,0)</f>
        <v>155.72934000000038</v>
      </c>
      <c r="CA134" s="13">
        <f t="shared" si="147"/>
        <v>39.877744668495708</v>
      </c>
      <c r="CB134" s="20">
        <f t="shared" si="118"/>
        <v>340.68233913096401</v>
      </c>
      <c r="CC134" s="59">
        <f t="shared" si="119"/>
        <v>624.75609137406968</v>
      </c>
      <c r="CD134" s="59">
        <f ca="1">AVERAGE(OFFSET($CC$3,0,0,'Données projet'!$E$12+1,1))-AVERAGE(OFFSET($H$3,0,0,'Données projet'!$E$12+1,1))</f>
        <v>592.58528888957346</v>
      </c>
      <c r="CE134" s="59">
        <f t="shared" si="148"/>
        <v>311.31528017256846</v>
      </c>
      <c r="CF134" s="15">
        <f>IF(ISNA(VLOOKUP(A134,'Données projet'!$A$113:$I$133,3,0)),0,VLOOKUP(A134,'Données projet'!$A$113:$I$133,3,0))</f>
        <v>14</v>
      </c>
      <c r="CG134" s="15">
        <f>IF(ISNA(VLOOKUP(A134,'Données projet'!$A$113:$I$133,4,0)),0,VLOOKUP(A134,'Données projet'!$A$113:$I$133,4,0))</f>
        <v>143.84</v>
      </c>
      <c r="CH134" s="16">
        <f>IF(ISNA(VLOOKUP(A134,'Données projet'!$A$113:$I$133,5,0)),0%,VLOOKUP(A134,'Données projet'!$A$113:$I$133,5,0)*VLOOKUP('Données projet'!$B$12,Paramètres!$A$1:$I$89,7,0))</f>
        <v>0.43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291.41473269397511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291.41473269397511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0.8600000000003547</v>
      </c>
      <c r="CU134" s="17">
        <f>CT134*VLOOKUP('Données projet'!$B$13,Paramètres!$A$1:$I$89,3,0)*VLOOKUP('Données projet'!$B$13,Paramètres!$A$1:$I$89,5,0)</f>
        <v>0.48074000000019829</v>
      </c>
      <c r="CV134" s="13">
        <f t="shared" si="149"/>
        <v>0.24126147010950588</v>
      </c>
      <c r="CW134" s="20">
        <f t="shared" si="121"/>
        <v>1.2574858937744013</v>
      </c>
      <c r="CX134" s="59">
        <f t="shared" si="122"/>
        <v>285.33123813688013</v>
      </c>
      <c r="CY134" s="59">
        <f ca="1">AVERAGE(OFFSET($CX$3,0,0,'Données projet'!$E$13+1,1))-AVERAGE(OFFSET($H$3,0,0,'Données projet'!$E$13+1,1))</f>
        <v>420.4890915162182</v>
      </c>
      <c r="CZ134" s="59">
        <f t="shared" si="150"/>
        <v>553.48432338023565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82.533901985749523</v>
      </c>
      <c r="DG134" s="21">
        <f>EXP(-LN(2)/25)*DG133+(1-EXP(-LN(2)/25))/(LN(2)/25)*Calculateur!DB134*Calculateur!DD134*VLOOKUP('Données projet'!$B$13,Paramètres!$A$1:$I$89,3,0)*0.475*44/12</f>
        <v>3.0742748412786933</v>
      </c>
      <c r="DH134" s="21">
        <f>EXP(-LN(2)/2)*DH133+(1-EXP(-LN(2)/2))/(LN(2)/2)*DB134*DE134*VLOOKUP('Données projet'!$B$13,Paramètres!$A$1:$I$89,3,0)*0.475*44/12</f>
        <v>4.6469745708273212E-16</v>
      </c>
      <c r="DI134" s="22">
        <f t="shared" si="123"/>
        <v>85.608176827028217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>
        <f>VLOOKUP(A134,'Données projet'!$A$165:$I$185,2,0)</f>
        <v>163.65</v>
      </c>
      <c r="DM134" s="12">
        <f>VLOOKUP(A134,'Données projet'!$A$165:$I$185,9,0)</f>
        <v>9.7500000000003695E-2</v>
      </c>
      <c r="DN134" s="12">
        <f t="array" ref="DN134">INDEX(DM:DM,MIN(IF(ISNUMBER(DM134:DM330),ROW(DM134:DM330),"")))</f>
        <v>9.7500000000003695E-2</v>
      </c>
      <c r="DO134" s="12">
        <f>IF('Données projet'!$A$166&gt;35,DO133+DN134-DW133,IF(A134&lt;'Données projet'!$A$166,$DL$205^A134,IF(A134='Données projet'!$A$166,'Données projet'!$B$166,DO133+DN134-DW133)))</f>
        <v>163.6500000000004</v>
      </c>
      <c r="DP134" s="17">
        <f>DO134*VLOOKUP('Données projet'!$B$14,Paramètres!$A$1:$I$89,3,0)*VLOOKUP('Données projet'!$B$14,Paramètres!$A$1:$I$89,5,0)</f>
        <v>176.15286000000043</v>
      </c>
      <c r="DQ134" s="13">
        <f t="shared" si="151"/>
        <v>44.465195147309032</v>
      </c>
      <c r="DR134" s="20">
        <f t="shared" si="124"/>
        <v>384.24311271489728</v>
      </c>
      <c r="DS134" s="59">
        <f t="shared" si="125"/>
        <v>668.31686495800295</v>
      </c>
      <c r="DT134" s="59">
        <f ca="1">AVERAGE(OFFSET($DS$3,0,0,'Données projet'!$E$14+1,1))-AVERAGE(OFFSET($H$3,0,0,'Données projet'!$E$14+1,1))</f>
        <v>659.55755908012691</v>
      </c>
      <c r="DU134" s="59">
        <f t="shared" si="152"/>
        <v>343.96647464823627</v>
      </c>
      <c r="DV134" s="15">
        <f>IF(ISNA(VLOOKUP(A134,'Données projet'!$A$165:$I$185,3,0)),0,VLOOKUP(A134,'Données projet'!$A$165:$I$185,3,0))</f>
        <v>14</v>
      </c>
      <c r="DW134" s="15">
        <f>IF(ISNA(VLOOKUP(A134,'Données projet'!$A$165:$I$185,4,0)),0,VLOOKUP(A134,'Données projet'!$A$165:$I$185,4,0))</f>
        <v>143.84</v>
      </c>
      <c r="DX134" s="16">
        <f>IF(ISNA(VLOOKUP(A134,'Données projet'!$A$165:$I$185,5,0)),0%,VLOOKUP(A134,'Données projet'!$A$165:$I$185,5,0)*VLOOKUP('Données projet'!$B$14,Paramètres!$A$1:$I$89,7,0))</f>
        <v>0.43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329.63305829318489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329.63305829318489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>
        <f>VLOOKUP(A134,'Données projet'!$A$191:$I$211,2,0)</f>
        <v>163.65</v>
      </c>
      <c r="EH134" s="12">
        <f>VLOOKUP(A134,'Données projet'!$A$191:$I$211,9,0)</f>
        <v>9.7500000000003695E-2</v>
      </c>
      <c r="EI134" s="12">
        <f t="array" ref="EI134">INDEX(EH:EH,MIN(IF(ISNUMBER(EH134:EH330),ROW(EH134:EH330),"")))</f>
        <v>9.7500000000003695E-2</v>
      </c>
      <c r="EJ134" s="12">
        <f>IF('Données projet'!$A$192&gt;35,EJ133+EI134-ER133,IF(A134&lt;'Données projet'!$A$192,$EG$205^A134,IF(A134='Données projet'!$A$192,'Données projet'!$B$192,EJ133+EI134-ER133)))</f>
        <v>163.6500000000004</v>
      </c>
      <c r="EK134" s="17">
        <f>EJ134*VLOOKUP('Données projet'!$B$15,Paramètres!$A$1:$I$89,3,0)*VLOOKUP('Données projet'!$B$15,Paramètres!$A$1:$I$89,5,0)</f>
        <v>158.28228000000038</v>
      </c>
      <c r="EL134" s="13">
        <f t="shared" si="153"/>
        <v>40.454835814950151</v>
      </c>
      <c r="EM134" s="20">
        <f t="shared" si="127"/>
        <v>346.13381004437218</v>
      </c>
      <c r="EN134" s="59">
        <f t="shared" si="128"/>
        <v>630.20756228747791</v>
      </c>
      <c r="EO134" s="59">
        <f ca="1">AVERAGE(OFFSET($EN$3,0,0,'Données projet'!$E$15+1,1))-AVERAGE(OFFSET($H$3,0,0,'Données projet'!$E$15+1,1))</f>
        <v>600.96600099541388</v>
      </c>
      <c r="EP134" s="59">
        <f t="shared" si="154"/>
        <v>315.40159257508969</v>
      </c>
      <c r="EQ134" s="15">
        <f>IF(ISNA(VLOOKUP(A134,'Données projet'!$A$191:$I$211,3,0)),0,VLOOKUP(A134,'Données projet'!$A$191:$I$211,3,0))</f>
        <v>14</v>
      </c>
      <c r="ER134" s="15">
        <f>IF(ISNA(VLOOKUP(A134,'Données projet'!$A$191:$I$211,4,0)),0,VLOOKUP(A134,'Données projet'!$A$191:$I$211,4,0))</f>
        <v>143.84</v>
      </c>
      <c r="ES134" s="16">
        <f>IF(ISNA(VLOOKUP(A134,'Données projet'!$A$191:$I$211,5,0)),0%,VLOOKUP(A134,'Données projet'!$A$191:$I$211,5,0)*VLOOKUP('Données projet'!$B$15,Paramètres!$A$1:$I$89,7,0))</f>
        <v>0.43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296.19202339387635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296.19202339387635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17.924088000000364</v>
      </c>
      <c r="P135" s="13">
        <f t="shared" si="141"/>
        <v>5.9032212091029486</v>
      </c>
      <c r="Q135" s="20">
        <f t="shared" si="108"/>
        <v>41.499230205854936</v>
      </c>
      <c r="R135" s="59">
        <f t="shared" si="109"/>
        <v>325.73361547955409</v>
      </c>
      <c r="S135" s="59">
        <f ca="1">AVERAGE(OFFSET($R$3,0,0,'Données projet'!$E$9+1,1))-AVERAGE(OFFSET($H$3,0,0,'Données projet'!$E$9+1,1))</f>
        <v>567.42635821336114</v>
      </c>
      <c r="T135" s="59">
        <f t="shared" si="142"/>
        <v>299.0473530693472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271.64943470187495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271.64943470187495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475.00000000000023</v>
      </c>
      <c r="AJ135" s="13">
        <f>AI135*VLOOKUP('Données projet'!$B$10,Paramètres!$A$1:$I$89,3,0)*VLOOKUP('Données projet'!$B$10,Paramètres!$A$1:$I$89,5,0)</f>
        <v>407.5500000000003</v>
      </c>
      <c r="AK135" s="13">
        <f t="shared" si="143"/>
        <v>93.305642095357683</v>
      </c>
      <c r="AL135" s="20">
        <f t="shared" si="112"/>
        <v>872.32357664941526</v>
      </c>
      <c r="AM135" s="59">
        <f t="shared" si="113"/>
        <v>1156.5579619231144</v>
      </c>
      <c r="AN135" s="59">
        <f ca="1">AVERAGE(OFFSET($AM$3,0,0,'Données projet'!$E$10+1,1))-AVERAGE(OFFSET($H$3,0,0,'Données projet'!$E$10+1,1))</f>
        <v>570.05585579662738</v>
      </c>
      <c r="AO135" s="59">
        <f t="shared" si="144"/>
        <v>331.25104323342907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96.36909441664794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96.36909441664794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16.750000000000213</v>
      </c>
      <c r="BE135" s="13">
        <f>BD135*VLOOKUP('Données projet'!$B$11,Paramètres!$A$1:$I$89,3,0)*VLOOKUP('Données projet'!$B$11,Paramètres!$A$1:$I$89,5,0)</f>
        <v>14.11020000000018</v>
      </c>
      <c r="BF135" s="13">
        <f t="shared" si="145"/>
        <v>4.7783677814795205</v>
      </c>
      <c r="BG135" s="20">
        <f t="shared" si="115"/>
        <v>32.897588886077138</v>
      </c>
      <c r="BH135" s="59">
        <f t="shared" si="116"/>
        <v>317.13197415977629</v>
      </c>
      <c r="BI135" s="59">
        <f ca="1">AVERAGE(OFFSET($BH$3,0,0,'Données projet'!$E$11+1,1))-AVERAGE(OFFSET($H$3,0,0,'Données projet'!$E$11+1,1))</f>
        <v>458.88102603650725</v>
      </c>
      <c r="BJ135" s="59">
        <f t="shared" si="146"/>
        <v>277.79020316059552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151.92017595124781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151.92017595124781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19.8100000000004</v>
      </c>
      <c r="BZ135" s="13">
        <f>BY135*VLOOKUP('Données projet'!$B$12,Paramètres!$A$1:$I$89,3,0)*VLOOKUP('Données projet'!$B$12,Paramètres!$A$1:$I$89,5,0)</f>
        <v>18.851196000000382</v>
      </c>
      <c r="CA135" s="13">
        <f t="shared" si="147"/>
        <v>6.172221809210666</v>
      </c>
      <c r="CB135" s="20">
        <f t="shared" si="118"/>
        <v>43.582452684375909</v>
      </c>
      <c r="CC135" s="59">
        <f t="shared" si="119"/>
        <v>327.8168379580751</v>
      </c>
      <c r="CD135" s="59">
        <f ca="1">AVERAGE(OFFSET($CC$3,0,0,'Données projet'!$E$12+1,1))-AVERAGE(OFFSET($H$3,0,0,'Données projet'!$E$12+1,1))</f>
        <v>592.58528888957346</v>
      </c>
      <c r="CE135" s="59">
        <f t="shared" si="148"/>
        <v>311.31528017256846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285.70026753128229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285.70026753128229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0.8600000000003547</v>
      </c>
      <c r="CU135" s="17">
        <f>CT135*VLOOKUP('Données projet'!$B$13,Paramètres!$A$1:$I$89,3,0)*VLOOKUP('Données projet'!$B$13,Paramètres!$A$1:$I$89,5,0)</f>
        <v>0.48074000000019829</v>
      </c>
      <c r="CV135" s="13">
        <f t="shared" si="149"/>
        <v>0.24126147010950588</v>
      </c>
      <c r="CW135" s="20">
        <f t="shared" si="121"/>
        <v>1.2574858937744013</v>
      </c>
      <c r="CX135" s="59">
        <f t="shared" si="122"/>
        <v>285.49187116747356</v>
      </c>
      <c r="CY135" s="59">
        <f ca="1">AVERAGE(OFFSET($CX$3,0,0,'Données projet'!$E$13+1,1))-AVERAGE(OFFSET($H$3,0,0,'Données projet'!$E$13+1,1))</f>
        <v>420.4890915162182</v>
      </c>
      <c r="CZ135" s="59">
        <f t="shared" si="150"/>
        <v>553.48432338023565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80.915462508518459</v>
      </c>
      <c r="DG135" s="21">
        <f>EXP(-LN(2)/25)*DG134+(1-EXP(-LN(2)/25))/(LN(2)/25)*Calculateur!DB135*Calculateur!DD135*VLOOKUP('Données projet'!$B$13,Paramètres!$A$1:$I$89,3,0)*0.475*44/12</f>
        <v>2.9902086340748397</v>
      </c>
      <c r="DH135" s="21">
        <f>EXP(-LN(2)/2)*DH134+(1-EXP(-LN(2)/2))/(LN(2)/2)*DB135*DE135*VLOOKUP('Données projet'!$B$13,Paramètres!$A$1:$I$89,3,0)*0.475*44/12</f>
        <v>3.2859072310334453E-16</v>
      </c>
      <c r="DI135" s="22">
        <f t="shared" si="123"/>
        <v>83.905671142593292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19.8100000000004</v>
      </c>
      <c r="DP135" s="17">
        <f>DO135*VLOOKUP('Données projet'!$B$14,Paramètres!$A$1:$I$89,3,0)*VLOOKUP('Données projet'!$B$14,Paramètres!$A$1:$I$89,5,0)</f>
        <v>21.323484000000427</v>
      </c>
      <c r="DQ135" s="13">
        <f t="shared" si="151"/>
        <v>6.88226100850307</v>
      </c>
      <c r="DR135" s="20">
        <f t="shared" si="124"/>
        <v>49.125005889810261</v>
      </c>
      <c r="DS135" s="59">
        <f t="shared" si="125"/>
        <v>333.35939116350943</v>
      </c>
      <c r="DT135" s="59">
        <f ca="1">AVERAGE(OFFSET($DS$3,0,0,'Données projet'!$E$14+1,1))-AVERAGE(OFFSET($H$3,0,0,'Données projet'!$E$14+1,1))</f>
        <v>659.55755908012691</v>
      </c>
      <c r="DU135" s="59">
        <f t="shared" si="152"/>
        <v>343.96647464823627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323.16915507636844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323.16915507636844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19.8100000000004</v>
      </c>
      <c r="EK135" s="17">
        <f>EJ135*VLOOKUP('Données projet'!$B$15,Paramètres!$A$1:$I$89,3,0)*VLOOKUP('Données projet'!$B$15,Paramètres!$A$1:$I$89,5,0)</f>
        <v>19.160232000000388</v>
      </c>
      <c r="EL135" s="13">
        <f t="shared" si="153"/>
        <v>6.2615431735370342</v>
      </c>
      <c r="EM135" s="20">
        <f t="shared" si="127"/>
        <v>44.27625842724435</v>
      </c>
      <c r="EN135" s="59">
        <f t="shared" si="128"/>
        <v>328.51064370094349</v>
      </c>
      <c r="EO135" s="59">
        <f ca="1">AVERAGE(OFFSET($EN$3,0,0,'Données projet'!$E$15+1,1))-AVERAGE(OFFSET($H$3,0,0,'Données projet'!$E$15+1,1))</f>
        <v>600.96600099541388</v>
      </c>
      <c r="EP135" s="59">
        <f t="shared" si="154"/>
        <v>315.40159257508969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290.38387847441811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290.38387847441811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17.924088000000364</v>
      </c>
      <c r="P136" s="13">
        <f t="shared" si="141"/>
        <v>5.9032212091029486</v>
      </c>
      <c r="Q136" s="20">
        <f t="shared" si="108"/>
        <v>41.499230205854936</v>
      </c>
      <c r="R136" s="59">
        <f t="shared" si="109"/>
        <v>325.89146188618832</v>
      </c>
      <c r="S136" s="59">
        <f ca="1">AVERAGE(OFFSET($R$3,0,0,'Données projet'!$E$9+1,1))-AVERAGE(OFFSET($H$3,0,0,'Données projet'!$E$9+1,1))</f>
        <v>567.42635821336114</v>
      </c>
      <c r="T136" s="59">
        <f t="shared" si="142"/>
        <v>299.0473530693472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266.32255497716585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266.32255497716585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475.00000000000023</v>
      </c>
      <c r="AJ136" s="13">
        <f>AI136*VLOOKUP('Données projet'!$B$10,Paramètres!$A$1:$I$89,3,0)*VLOOKUP('Données projet'!$B$10,Paramètres!$A$1:$I$89,5,0)</f>
        <v>407.5500000000003</v>
      </c>
      <c r="AK136" s="13">
        <f t="shared" si="143"/>
        <v>93.305642095357683</v>
      </c>
      <c r="AL136" s="20">
        <f t="shared" si="112"/>
        <v>872.32357664941526</v>
      </c>
      <c r="AM136" s="59">
        <f t="shared" si="113"/>
        <v>1156.7158083297486</v>
      </c>
      <c r="AN136" s="59">
        <f ca="1">AVERAGE(OFFSET($AM$3,0,0,'Données projet'!$E$10+1,1))-AVERAGE(OFFSET($H$3,0,0,'Données projet'!$E$10+1,1))</f>
        <v>570.05585579662738</v>
      </c>
      <c r="AO136" s="59">
        <f t="shared" si="144"/>
        <v>331.25104323342907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94.479355254481092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94.479355254481092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16.750000000000213</v>
      </c>
      <c r="BE136" s="13">
        <f>BD136*VLOOKUP('Données projet'!$B$11,Paramètres!$A$1:$I$89,3,0)*VLOOKUP('Données projet'!$B$11,Paramètres!$A$1:$I$89,5,0)</f>
        <v>14.11020000000018</v>
      </c>
      <c r="BF136" s="13">
        <f t="shared" si="145"/>
        <v>4.7783677814795205</v>
      </c>
      <c r="BG136" s="20">
        <f t="shared" si="115"/>
        <v>32.897588886077138</v>
      </c>
      <c r="BH136" s="59">
        <f t="shared" si="116"/>
        <v>317.28982056641053</v>
      </c>
      <c r="BI136" s="59">
        <f ca="1">AVERAGE(OFFSET($BH$3,0,0,'Données projet'!$E$11+1,1))-AVERAGE(OFFSET($H$3,0,0,'Données projet'!$E$11+1,1))</f>
        <v>458.88102603650725</v>
      </c>
      <c r="BJ136" s="59">
        <f t="shared" si="146"/>
        <v>277.79020316059552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148.94111396300156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148.94111396300156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19.8100000000004</v>
      </c>
      <c r="BZ136" s="13">
        <f>BY136*VLOOKUP('Données projet'!$B$12,Paramètres!$A$1:$I$89,3,0)*VLOOKUP('Données projet'!$B$12,Paramètres!$A$1:$I$89,5,0)</f>
        <v>18.851196000000382</v>
      </c>
      <c r="CA136" s="13">
        <f t="shared" si="147"/>
        <v>6.172221809210666</v>
      </c>
      <c r="CB136" s="20">
        <f t="shared" si="118"/>
        <v>43.582452684375909</v>
      </c>
      <c r="CC136" s="59">
        <f t="shared" si="119"/>
        <v>327.97468436470933</v>
      </c>
      <c r="CD136" s="59">
        <f ca="1">AVERAGE(OFFSET($CC$3,0,0,'Données projet'!$E$12+1,1))-AVERAGE(OFFSET($H$3,0,0,'Données projet'!$E$12+1,1))</f>
        <v>592.58528888957346</v>
      </c>
      <c r="CE136" s="59">
        <f t="shared" si="148"/>
        <v>311.31528017256846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280.09785954495032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280.09785954495032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0.8600000000003547</v>
      </c>
      <c r="CU136" s="17">
        <f>CT136*VLOOKUP('Données projet'!$B$13,Paramètres!$A$1:$I$89,3,0)*VLOOKUP('Données projet'!$B$13,Paramètres!$A$1:$I$89,5,0)</f>
        <v>0.48074000000019829</v>
      </c>
      <c r="CV136" s="13">
        <f t="shared" si="149"/>
        <v>0.24126147010950588</v>
      </c>
      <c r="CW136" s="20">
        <f t="shared" si="121"/>
        <v>1.2574858937744013</v>
      </c>
      <c r="CX136" s="59">
        <f t="shared" si="122"/>
        <v>285.6497175741078</v>
      </c>
      <c r="CY136" s="59">
        <f ca="1">AVERAGE(OFFSET($CX$3,0,0,'Données projet'!$E$13+1,1))-AVERAGE(OFFSET($H$3,0,0,'Données projet'!$E$13+1,1))</f>
        <v>420.4890915162182</v>
      </c>
      <c r="CZ136" s="59">
        <f t="shared" si="150"/>
        <v>553.48432338023565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79.328759642285277</v>
      </c>
      <c r="DG136" s="21">
        <f>EXP(-LN(2)/25)*DG135+(1-EXP(-LN(2)/25))/(LN(2)/25)*Calculateur!DB136*Calculateur!DD136*VLOOKUP('Données projet'!$B$13,Paramètres!$A$1:$I$89,3,0)*0.475*44/12</f>
        <v>2.9084412217278253</v>
      </c>
      <c r="DH136" s="21">
        <f>EXP(-LN(2)/2)*DH135+(1-EXP(-LN(2)/2))/(LN(2)/2)*DB136*DE136*VLOOKUP('Données projet'!$B$13,Paramètres!$A$1:$I$89,3,0)*0.475*44/12</f>
        <v>2.3234872854136606E-16</v>
      </c>
      <c r="DI136" s="22">
        <f t="shared" si="123"/>
        <v>82.237200864013104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19.8100000000004</v>
      </c>
      <c r="DP136" s="17">
        <f>DO136*VLOOKUP('Données projet'!$B$14,Paramètres!$A$1:$I$89,3,0)*VLOOKUP('Données projet'!$B$14,Paramètres!$A$1:$I$89,5,0)</f>
        <v>21.323484000000427</v>
      </c>
      <c r="DQ136" s="13">
        <f t="shared" si="151"/>
        <v>6.88226100850307</v>
      </c>
      <c r="DR136" s="20">
        <f t="shared" si="124"/>
        <v>49.125005889810261</v>
      </c>
      <c r="DS136" s="59">
        <f t="shared" si="125"/>
        <v>333.51723757014366</v>
      </c>
      <c r="DT136" s="59">
        <f ca="1">AVERAGE(OFFSET($DS$3,0,0,'Données projet'!$E$14+1,1))-AVERAGE(OFFSET($H$3,0,0,'Données projet'!$E$14+1,1))</f>
        <v>659.55755908012691</v>
      </c>
      <c r="DU136" s="59">
        <f t="shared" si="152"/>
        <v>343.96647464823627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316.8320050590421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316.8320050590421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19.8100000000004</v>
      </c>
      <c r="EK136" s="17">
        <f>EJ136*VLOOKUP('Données projet'!$B$15,Paramètres!$A$1:$I$89,3,0)*VLOOKUP('Données projet'!$B$15,Paramètres!$A$1:$I$89,5,0)</f>
        <v>19.160232000000388</v>
      </c>
      <c r="EL136" s="13">
        <f t="shared" si="153"/>
        <v>6.2615431735370342</v>
      </c>
      <c r="EM136" s="20">
        <f t="shared" si="127"/>
        <v>44.27625842724435</v>
      </c>
      <c r="EN136" s="59">
        <f t="shared" si="128"/>
        <v>328.66849010757772</v>
      </c>
      <c r="EO136" s="59">
        <f ca="1">AVERAGE(OFFSET($EN$3,0,0,'Données projet'!$E$15+1,1))-AVERAGE(OFFSET($H$3,0,0,'Données projet'!$E$15+1,1))</f>
        <v>600.96600099541388</v>
      </c>
      <c r="EP136" s="59">
        <f t="shared" si="154"/>
        <v>315.40159257508969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284.6896277342118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284.6896277342118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17.924088000000364</v>
      </c>
      <c r="P137" s="13">
        <f t="shared" si="141"/>
        <v>5.9032212091029486</v>
      </c>
      <c r="Q137" s="20">
        <f t="shared" si="108"/>
        <v>41.499230205854936</v>
      </c>
      <c r="R137" s="59">
        <f t="shared" si="109"/>
        <v>326.04657001055921</v>
      </c>
      <c r="S137" s="59">
        <f ca="1">AVERAGE(OFFSET($R$3,0,0,'Données projet'!$E$9+1,1))-AVERAGE(OFFSET($H$3,0,0,'Données projet'!$E$9+1,1))</f>
        <v>567.42635821336114</v>
      </c>
      <c r="T137" s="59">
        <f t="shared" si="142"/>
        <v>299.0473530693472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261.10013211478247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261.10013211478247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475.00000000000023</v>
      </c>
      <c r="AJ137" s="13">
        <f>AI137*VLOOKUP('Données projet'!$B$10,Paramètres!$A$1:$I$89,3,0)*VLOOKUP('Données projet'!$B$10,Paramètres!$A$1:$I$89,5,0)</f>
        <v>407.5500000000003</v>
      </c>
      <c r="AK137" s="13">
        <f t="shared" si="143"/>
        <v>93.305642095357683</v>
      </c>
      <c r="AL137" s="20">
        <f t="shared" si="112"/>
        <v>872.32357664941526</v>
      </c>
      <c r="AM137" s="59">
        <f t="shared" si="113"/>
        <v>1156.8709164541197</v>
      </c>
      <c r="AN137" s="59">
        <f ca="1">AVERAGE(OFFSET($AM$3,0,0,'Données projet'!$E$10+1,1))-AVERAGE(OFFSET($H$3,0,0,'Données projet'!$E$10+1,1))</f>
        <v>570.05585579662738</v>
      </c>
      <c r="AO137" s="59">
        <f t="shared" si="144"/>
        <v>331.25104323342907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92.626672724657254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92.626672724657254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16.750000000000213</v>
      </c>
      <c r="BE137" s="13">
        <f>BD137*VLOOKUP('Données projet'!$B$11,Paramètres!$A$1:$I$89,3,0)*VLOOKUP('Données projet'!$B$11,Paramètres!$A$1:$I$89,5,0)</f>
        <v>14.11020000000018</v>
      </c>
      <c r="BF137" s="13">
        <f t="shared" si="145"/>
        <v>4.7783677814795205</v>
      </c>
      <c r="BG137" s="20">
        <f t="shared" si="115"/>
        <v>32.897588886077138</v>
      </c>
      <c r="BH137" s="59">
        <f t="shared" si="116"/>
        <v>317.44492869078141</v>
      </c>
      <c r="BI137" s="59">
        <f ca="1">AVERAGE(OFFSET($BH$3,0,0,'Données projet'!$E$11+1,1))-AVERAGE(OFFSET($H$3,0,0,'Données projet'!$E$11+1,1))</f>
        <v>458.88102603650725</v>
      </c>
      <c r="BJ137" s="59">
        <f t="shared" si="146"/>
        <v>277.79020316059552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146.02046956329642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146.02046956329642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19.8100000000004</v>
      </c>
      <c r="BZ137" s="13">
        <f>BY137*VLOOKUP('Données projet'!$B$12,Paramètres!$A$1:$I$89,3,0)*VLOOKUP('Données projet'!$B$12,Paramètres!$A$1:$I$89,5,0)</f>
        <v>18.851196000000382</v>
      </c>
      <c r="CA137" s="13">
        <f t="shared" si="147"/>
        <v>6.172221809210666</v>
      </c>
      <c r="CB137" s="20">
        <f t="shared" si="118"/>
        <v>43.582452684375909</v>
      </c>
      <c r="CC137" s="59">
        <f t="shared" si="119"/>
        <v>328.12979248908016</v>
      </c>
      <c r="CD137" s="59">
        <f ca="1">AVERAGE(OFFSET($CC$3,0,0,'Données projet'!$E$12+1,1))-AVERAGE(OFFSET($H$3,0,0,'Données projet'!$E$12+1,1))</f>
        <v>592.58528888957346</v>
      </c>
      <c r="CE137" s="59">
        <f t="shared" si="148"/>
        <v>311.31528017256846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274.60531136209886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274.60531136209886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0.8600000000003547</v>
      </c>
      <c r="CU137" s="17">
        <f>CT137*VLOOKUP('Données projet'!$B$13,Paramètres!$A$1:$I$89,3,0)*VLOOKUP('Données projet'!$B$13,Paramètres!$A$1:$I$89,5,0)</f>
        <v>0.48074000000019829</v>
      </c>
      <c r="CV137" s="13">
        <f t="shared" si="149"/>
        <v>0.24126147010950588</v>
      </c>
      <c r="CW137" s="20">
        <f t="shared" si="121"/>
        <v>1.2574858937744013</v>
      </c>
      <c r="CX137" s="59">
        <f t="shared" si="122"/>
        <v>285.80482569847868</v>
      </c>
      <c r="CY137" s="59">
        <f ca="1">AVERAGE(OFFSET($CX$3,0,0,'Données projet'!$E$13+1,1))-AVERAGE(OFFSET($H$3,0,0,'Données projet'!$E$13+1,1))</f>
        <v>420.4890915162182</v>
      </c>
      <c r="CZ137" s="59">
        <f t="shared" si="150"/>
        <v>553.48432338023565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77.773171051465752</v>
      </c>
      <c r="DG137" s="21">
        <f>EXP(-LN(2)/25)*DG136+(1-EXP(-LN(2)/25))/(LN(2)/25)*Calculateur!DB137*Calculateur!DD137*VLOOKUP('Données projet'!$B$13,Paramètres!$A$1:$I$89,3,0)*0.475*44/12</f>
        <v>2.8289097435714012</v>
      </c>
      <c r="DH137" s="21">
        <f>EXP(-LN(2)/2)*DH136+(1-EXP(-LN(2)/2))/(LN(2)/2)*DB137*DE137*VLOOKUP('Données projet'!$B$13,Paramètres!$A$1:$I$89,3,0)*0.475*44/12</f>
        <v>1.6429536155167227E-16</v>
      </c>
      <c r="DI137" s="22">
        <f t="shared" si="123"/>
        <v>80.602080795037153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19.8100000000004</v>
      </c>
      <c r="DP137" s="17">
        <f>DO137*VLOOKUP('Données projet'!$B$14,Paramètres!$A$1:$I$89,3,0)*VLOOKUP('Données projet'!$B$14,Paramètres!$A$1:$I$89,5,0)</f>
        <v>21.323484000000427</v>
      </c>
      <c r="DQ137" s="13">
        <f t="shared" si="151"/>
        <v>6.88226100850307</v>
      </c>
      <c r="DR137" s="20">
        <f t="shared" si="124"/>
        <v>49.125005889810261</v>
      </c>
      <c r="DS137" s="59">
        <f t="shared" si="125"/>
        <v>333.67234569451455</v>
      </c>
      <c r="DT137" s="59">
        <f ca="1">AVERAGE(OFFSET($DS$3,0,0,'Données projet'!$E$14+1,1))-AVERAGE(OFFSET($H$3,0,0,'Données projet'!$E$14+1,1))</f>
        <v>659.55755908012691</v>
      </c>
      <c r="DU137" s="59">
        <f t="shared" si="152"/>
        <v>343.96647464823627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310.6191226882757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310.6191226882757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19.8100000000004</v>
      </c>
      <c r="EK137" s="17">
        <f>EJ137*VLOOKUP('Données projet'!$B$15,Paramètres!$A$1:$I$89,3,0)*VLOOKUP('Données projet'!$B$15,Paramètres!$A$1:$I$89,5,0)</f>
        <v>19.160232000000388</v>
      </c>
      <c r="EL137" s="13">
        <f t="shared" si="153"/>
        <v>6.2615431735370342</v>
      </c>
      <c r="EM137" s="20">
        <f t="shared" si="127"/>
        <v>44.27625842724435</v>
      </c>
      <c r="EN137" s="59">
        <f t="shared" si="128"/>
        <v>328.82359823194861</v>
      </c>
      <c r="EO137" s="59">
        <f ca="1">AVERAGE(OFFSET($EN$3,0,0,'Données projet'!$E$15+1,1))-AVERAGE(OFFSET($H$3,0,0,'Données projet'!$E$15+1,1))</f>
        <v>600.96600099541388</v>
      </c>
      <c r="EP137" s="59">
        <f t="shared" si="154"/>
        <v>315.40159257508969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279.10703777787097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279.10703777787097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17.924088000000364</v>
      </c>
      <c r="P138" s="13">
        <f t="shared" si="141"/>
        <v>5.9032212091029486</v>
      </c>
      <c r="Q138" s="20">
        <f t="shared" si="108"/>
        <v>41.499230205854936</v>
      </c>
      <c r="R138" s="59">
        <f t="shared" si="109"/>
        <v>326.19898735574208</v>
      </c>
      <c r="S138" s="59">
        <f ca="1">AVERAGE(OFFSET($R$3,0,0,'Données projet'!$E$9+1,1))-AVERAGE(OFFSET($H$3,0,0,'Données projet'!$E$9+1,1))</f>
        <v>567.42635821336114</v>
      </c>
      <c r="T138" s="59">
        <f t="shared" si="142"/>
        <v>299.0473530693472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255.98011777936702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255.98011777936702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475.00000000000023</v>
      </c>
      <c r="AJ138" s="13">
        <f>AI138*VLOOKUP('Données projet'!$B$10,Paramètres!$A$1:$I$89,3,0)*VLOOKUP('Données projet'!$B$10,Paramètres!$A$1:$I$89,5,0)</f>
        <v>407.5500000000003</v>
      </c>
      <c r="AK138" s="13">
        <f t="shared" si="143"/>
        <v>93.305642095357683</v>
      </c>
      <c r="AL138" s="20">
        <f t="shared" si="112"/>
        <v>872.32357664941526</v>
      </c>
      <c r="AM138" s="59">
        <f t="shared" si="113"/>
        <v>1157.0233337993025</v>
      </c>
      <c r="AN138" s="59">
        <f ca="1">AVERAGE(OFFSET($AM$3,0,0,'Données projet'!$E$10+1,1))-AVERAGE(OFFSET($H$3,0,0,'Données projet'!$E$10+1,1))</f>
        <v>570.05585579662738</v>
      </c>
      <c r="AO138" s="59">
        <f t="shared" si="144"/>
        <v>331.25104323342907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90.8103201692185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90.8103201692185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16.750000000000213</v>
      </c>
      <c r="BE138" s="13">
        <f>BD138*VLOOKUP('Données projet'!$B$11,Paramètres!$A$1:$I$89,3,0)*VLOOKUP('Données projet'!$B$11,Paramètres!$A$1:$I$89,5,0)</f>
        <v>14.11020000000018</v>
      </c>
      <c r="BF138" s="13">
        <f t="shared" si="145"/>
        <v>4.7783677814795205</v>
      </c>
      <c r="BG138" s="20">
        <f t="shared" si="115"/>
        <v>32.897588886077138</v>
      </c>
      <c r="BH138" s="59">
        <f t="shared" si="116"/>
        <v>317.59734603596428</v>
      </c>
      <c r="BI138" s="59">
        <f ca="1">AVERAGE(OFFSET($BH$3,0,0,'Données projet'!$E$11+1,1))-AVERAGE(OFFSET($H$3,0,0,'Données projet'!$E$11+1,1))</f>
        <v>458.88102603650725</v>
      </c>
      <c r="BJ138" s="59">
        <f t="shared" si="146"/>
        <v>277.79020316059552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143.1570972188523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143.1570972188523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19.8100000000004</v>
      </c>
      <c r="BZ138" s="13">
        <f>BY138*VLOOKUP('Données projet'!$B$12,Paramètres!$A$1:$I$89,3,0)*VLOOKUP('Données projet'!$B$12,Paramètres!$A$1:$I$89,5,0)</f>
        <v>18.851196000000382</v>
      </c>
      <c r="CA138" s="13">
        <f t="shared" si="147"/>
        <v>6.172221809210666</v>
      </c>
      <c r="CB138" s="20">
        <f t="shared" si="118"/>
        <v>43.582452684375909</v>
      </c>
      <c r="CC138" s="59">
        <f t="shared" si="119"/>
        <v>328.28220983426309</v>
      </c>
      <c r="CD138" s="59">
        <f ca="1">AVERAGE(OFFSET($CC$3,0,0,'Données projet'!$E$12+1,1))-AVERAGE(OFFSET($H$3,0,0,'Données projet'!$E$12+1,1))</f>
        <v>592.58528888957346</v>
      </c>
      <c r="CE138" s="59">
        <f t="shared" si="148"/>
        <v>311.31528017256846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269.22046869898952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269.22046869898952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0.8600000000003547</v>
      </c>
      <c r="CU138" s="17">
        <f>CT138*VLOOKUP('Données projet'!$B$13,Paramètres!$A$1:$I$89,3,0)*VLOOKUP('Données projet'!$B$13,Paramètres!$A$1:$I$89,5,0)</f>
        <v>0.48074000000019829</v>
      </c>
      <c r="CV138" s="13">
        <f t="shared" si="149"/>
        <v>0.24126147010950588</v>
      </c>
      <c r="CW138" s="20">
        <f t="shared" si="121"/>
        <v>1.2574858937744013</v>
      </c>
      <c r="CX138" s="59">
        <f t="shared" si="122"/>
        <v>285.95724304366155</v>
      </c>
      <c r="CY138" s="59">
        <f ca="1">AVERAGE(OFFSET($CX$3,0,0,'Données projet'!$E$13+1,1))-AVERAGE(OFFSET($H$3,0,0,'Données projet'!$E$13+1,1))</f>
        <v>420.4890915162182</v>
      </c>
      <c r="CZ138" s="59">
        <f t="shared" si="150"/>
        <v>553.48432338023565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76.248086604096841</v>
      </c>
      <c r="DG138" s="21">
        <f>EXP(-LN(2)/25)*DG137+(1-EXP(-LN(2)/25))/(LN(2)/25)*Calculateur!DB138*Calculateur!DD138*VLOOKUP('Données projet'!$B$13,Paramètres!$A$1:$I$89,3,0)*0.475*44/12</f>
        <v>2.7515530578675436</v>
      </c>
      <c r="DH138" s="21">
        <f>EXP(-LN(2)/2)*DH137+(1-EXP(-LN(2)/2))/(LN(2)/2)*DB138*DE138*VLOOKUP('Données projet'!$B$13,Paramètres!$A$1:$I$89,3,0)*0.475*44/12</f>
        <v>1.1617436427068303E-16</v>
      </c>
      <c r="DI138" s="22">
        <f t="shared" si="123"/>
        <v>78.99963966196438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19.8100000000004</v>
      </c>
      <c r="DP138" s="17">
        <f>DO138*VLOOKUP('Données projet'!$B$14,Paramètres!$A$1:$I$89,3,0)*VLOOKUP('Données projet'!$B$14,Paramètres!$A$1:$I$89,5,0)</f>
        <v>21.323484000000427</v>
      </c>
      <c r="DQ138" s="13">
        <f t="shared" si="151"/>
        <v>6.88226100850307</v>
      </c>
      <c r="DR138" s="20">
        <f t="shared" si="124"/>
        <v>49.125005889810261</v>
      </c>
      <c r="DS138" s="59">
        <f t="shared" si="125"/>
        <v>333.82476303969742</v>
      </c>
      <c r="DT138" s="59">
        <f ca="1">AVERAGE(OFFSET($DS$3,0,0,'Données projet'!$E$14+1,1))-AVERAGE(OFFSET($H$3,0,0,'Données projet'!$E$14+1,1))</f>
        <v>659.55755908012691</v>
      </c>
      <c r="DU138" s="59">
        <f t="shared" si="152"/>
        <v>343.96647464823627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304.52807115131594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304.52807115131594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19.8100000000004</v>
      </c>
      <c r="EK138" s="17">
        <f>EJ138*VLOOKUP('Données projet'!$B$15,Paramètres!$A$1:$I$89,3,0)*VLOOKUP('Données projet'!$B$15,Paramètres!$A$1:$I$89,5,0)</f>
        <v>19.160232000000388</v>
      </c>
      <c r="EL138" s="13">
        <f t="shared" si="153"/>
        <v>6.2615431735370342</v>
      </c>
      <c r="EM138" s="20">
        <f t="shared" si="127"/>
        <v>44.27625842724435</v>
      </c>
      <c r="EN138" s="59">
        <f t="shared" si="128"/>
        <v>328.97601557713148</v>
      </c>
      <c r="EO138" s="59">
        <f ca="1">AVERAGE(OFFSET($EN$3,0,0,'Données projet'!$E$15+1,1))-AVERAGE(OFFSET($H$3,0,0,'Données projet'!$E$15+1,1))</f>
        <v>600.96600099541388</v>
      </c>
      <c r="EP138" s="59">
        <f t="shared" si="154"/>
        <v>315.40159257508969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273.63391900553029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273.63391900553029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17.924088000000364</v>
      </c>
      <c r="P139" s="13">
        <f t="shared" si="141"/>
        <v>5.9032212091029486</v>
      </c>
      <c r="Q139" s="20">
        <f t="shared" si="108"/>
        <v>41.499230205854936</v>
      </c>
      <c r="R139" s="59">
        <f t="shared" si="109"/>
        <v>326.34876060074015</v>
      </c>
      <c r="S139" s="59">
        <f ca="1">AVERAGE(OFFSET($R$3,0,0,'Données projet'!$E$9+1,1))-AVERAGE(OFFSET($H$3,0,0,'Données projet'!$E$9+1,1))</f>
        <v>567.42635821336114</v>
      </c>
      <c r="T139" s="59">
        <f t="shared" si="142"/>
        <v>299.0473530693472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250.96050380216869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250.96050380216869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475.00000000000023</v>
      </c>
      <c r="AJ139" s="13">
        <f>AI139*VLOOKUP('Données projet'!$B$10,Paramètres!$A$1:$I$89,3,0)*VLOOKUP('Données projet'!$B$10,Paramètres!$A$1:$I$89,5,0)</f>
        <v>407.5500000000003</v>
      </c>
      <c r="AK139" s="13">
        <f t="shared" si="143"/>
        <v>93.305642095357683</v>
      </c>
      <c r="AL139" s="20">
        <f t="shared" si="112"/>
        <v>872.32357664941526</v>
      </c>
      <c r="AM139" s="59">
        <f t="shared" si="113"/>
        <v>1157.1731070443004</v>
      </c>
      <c r="AN139" s="59">
        <f ca="1">AVERAGE(OFFSET($AM$3,0,0,'Données projet'!$E$10+1,1))-AVERAGE(OFFSET($H$3,0,0,'Données projet'!$E$10+1,1))</f>
        <v>570.05585579662738</v>
      </c>
      <c r="AO139" s="59">
        <f t="shared" si="144"/>
        <v>331.25104323342907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89.029585179526237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89.029585179526237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16.750000000000213</v>
      </c>
      <c r="BE139" s="13">
        <f>BD139*VLOOKUP('Données projet'!$B$11,Paramètres!$A$1:$I$89,3,0)*VLOOKUP('Données projet'!$B$11,Paramètres!$A$1:$I$89,5,0)</f>
        <v>14.11020000000018</v>
      </c>
      <c r="BF139" s="13">
        <f t="shared" si="145"/>
        <v>4.7783677814795205</v>
      </c>
      <c r="BG139" s="20">
        <f t="shared" si="115"/>
        <v>32.897588886077138</v>
      </c>
      <c r="BH139" s="59">
        <f t="shared" si="116"/>
        <v>317.74711928096235</v>
      </c>
      <c r="BI139" s="59">
        <f ca="1">AVERAGE(OFFSET($BH$3,0,0,'Données projet'!$E$11+1,1))-AVERAGE(OFFSET($H$3,0,0,'Données projet'!$E$11+1,1))</f>
        <v>458.88102603650725</v>
      </c>
      <c r="BJ139" s="59">
        <f t="shared" si="146"/>
        <v>277.79020316059552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140.34987385959806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140.34987385959806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19.8100000000004</v>
      </c>
      <c r="BZ139" s="13">
        <f>BY139*VLOOKUP('Données projet'!$B$12,Paramètres!$A$1:$I$89,3,0)*VLOOKUP('Données projet'!$B$12,Paramètres!$A$1:$I$89,5,0)</f>
        <v>18.851196000000382</v>
      </c>
      <c r="CA139" s="13">
        <f t="shared" si="147"/>
        <v>6.172221809210666</v>
      </c>
      <c r="CB139" s="20">
        <f t="shared" si="118"/>
        <v>43.582452684375909</v>
      </c>
      <c r="CC139" s="59">
        <f t="shared" si="119"/>
        <v>328.43198307926116</v>
      </c>
      <c r="CD139" s="59">
        <f ca="1">AVERAGE(OFFSET($CC$3,0,0,'Données projet'!$E$12+1,1))-AVERAGE(OFFSET($H$3,0,0,'Données projet'!$E$12+1,1))</f>
        <v>592.58528888957346</v>
      </c>
      <c r="CE139" s="59">
        <f t="shared" si="148"/>
        <v>311.31528017256846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263.941219516074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263.941219516074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0.8600000000003547</v>
      </c>
      <c r="CU139" s="17">
        <f>CT139*VLOOKUP('Données projet'!$B$13,Paramètres!$A$1:$I$89,3,0)*VLOOKUP('Données projet'!$B$13,Paramètres!$A$1:$I$89,5,0)</f>
        <v>0.48074000000019829</v>
      </c>
      <c r="CV139" s="13">
        <f t="shared" si="149"/>
        <v>0.24126147010950588</v>
      </c>
      <c r="CW139" s="20">
        <f t="shared" si="121"/>
        <v>1.2574858937744013</v>
      </c>
      <c r="CX139" s="59">
        <f t="shared" si="122"/>
        <v>286.10701628865962</v>
      </c>
      <c r="CY139" s="59">
        <f ca="1">AVERAGE(OFFSET($CX$3,0,0,'Données projet'!$E$13+1,1))-AVERAGE(OFFSET($H$3,0,0,'Données projet'!$E$13+1,1))</f>
        <v>420.4890915162182</v>
      </c>
      <c r="CZ139" s="59">
        <f t="shared" si="150"/>
        <v>553.48432338023565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74.752908132531175</v>
      </c>
      <c r="DG139" s="21">
        <f>EXP(-LN(2)/25)*DG138+(1-EXP(-LN(2)/25))/(LN(2)/25)*Calculateur!DB139*Calculateur!DD139*VLOOKUP('Données projet'!$B$13,Paramètres!$A$1:$I$89,3,0)*0.475*44/12</f>
        <v>2.6763116948022692</v>
      </c>
      <c r="DH139" s="21">
        <f>EXP(-LN(2)/2)*DH138+(1-EXP(-LN(2)/2))/(LN(2)/2)*DB139*DE139*VLOOKUP('Données projet'!$B$13,Paramètres!$A$1:$I$89,3,0)*0.475*44/12</f>
        <v>8.2147680775836134E-17</v>
      </c>
      <c r="DI139" s="22">
        <f t="shared" si="123"/>
        <v>77.429219827333441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19.8100000000004</v>
      </c>
      <c r="DP139" s="17">
        <f>DO139*VLOOKUP('Données projet'!$B$14,Paramètres!$A$1:$I$89,3,0)*VLOOKUP('Données projet'!$B$14,Paramètres!$A$1:$I$89,5,0)</f>
        <v>21.323484000000427</v>
      </c>
      <c r="DQ139" s="13">
        <f t="shared" si="151"/>
        <v>6.88226100850307</v>
      </c>
      <c r="DR139" s="20">
        <f t="shared" si="124"/>
        <v>49.125005889810261</v>
      </c>
      <c r="DS139" s="59">
        <f t="shared" si="125"/>
        <v>333.97453628469549</v>
      </c>
      <c r="DT139" s="59">
        <f ca="1">AVERAGE(OFFSET($DS$3,0,0,'Données projet'!$E$14+1,1))-AVERAGE(OFFSET($H$3,0,0,'Données projet'!$E$14+1,1))</f>
        <v>659.55755908012691</v>
      </c>
      <c r="DU139" s="59">
        <f t="shared" si="152"/>
        <v>343.96647464823627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298.55646141982135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298.55646141982135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19.8100000000004</v>
      </c>
      <c r="EK139" s="17">
        <f>EJ139*VLOOKUP('Données projet'!$B$15,Paramètres!$A$1:$I$89,3,0)*VLOOKUP('Données projet'!$B$15,Paramètres!$A$1:$I$89,5,0)</f>
        <v>19.160232000000388</v>
      </c>
      <c r="EL139" s="13">
        <f t="shared" si="153"/>
        <v>6.2615431735370342</v>
      </c>
      <c r="EM139" s="20">
        <f t="shared" si="127"/>
        <v>44.27625842724435</v>
      </c>
      <c r="EN139" s="59">
        <f t="shared" si="128"/>
        <v>329.12578882212955</v>
      </c>
      <c r="EO139" s="59">
        <f ca="1">AVERAGE(OFFSET($EN$3,0,0,'Données projet'!$E$15+1,1))-AVERAGE(OFFSET($H$3,0,0,'Données projet'!$E$15+1,1))</f>
        <v>600.96600099541388</v>
      </c>
      <c r="EP139" s="59">
        <f t="shared" si="154"/>
        <v>315.40159257508969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268.26812475404239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268.26812475404239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17.924088000000364</v>
      </c>
      <c r="P140" s="13">
        <f t="shared" si="141"/>
        <v>5.9032212091029486</v>
      </c>
      <c r="Q140" s="20">
        <f t="shared" si="108"/>
        <v>41.499230205854936</v>
      </c>
      <c r="R140" s="59">
        <f t="shared" si="109"/>
        <v>326.49593561478031</v>
      </c>
      <c r="S140" s="59">
        <f ca="1">AVERAGE(OFFSET($R$3,0,0,'Données projet'!$E$9+1,1))-AVERAGE(OFFSET($H$3,0,0,'Données projet'!$E$9+1,1))</f>
        <v>567.42635821336114</v>
      </c>
      <c r="T140" s="59">
        <f t="shared" si="142"/>
        <v>299.0473530693472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246.039321393401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246.039321393401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475.00000000000023</v>
      </c>
      <c r="AJ140" s="13">
        <f>AI140*VLOOKUP('Données projet'!$B$10,Paramètres!$A$1:$I$89,3,0)*VLOOKUP('Données projet'!$B$10,Paramètres!$A$1:$I$89,5,0)</f>
        <v>407.5500000000003</v>
      </c>
      <c r="AK140" s="13">
        <f t="shared" si="143"/>
        <v>93.305642095357683</v>
      </c>
      <c r="AL140" s="20">
        <f t="shared" si="112"/>
        <v>872.32357664941526</v>
      </c>
      <c r="AM140" s="59">
        <f t="shared" si="113"/>
        <v>1157.3202820583406</v>
      </c>
      <c r="AN140" s="59">
        <f ca="1">AVERAGE(OFFSET($AM$3,0,0,'Données projet'!$E$10+1,1))-AVERAGE(OFFSET($H$3,0,0,'Données projet'!$E$10+1,1))</f>
        <v>570.05585579662738</v>
      </c>
      <c r="AO140" s="59">
        <f t="shared" si="144"/>
        <v>331.25104323342907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87.283769316840747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87.283769316840747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16.750000000000213</v>
      </c>
      <c r="BE140" s="13">
        <f>BD140*VLOOKUP('Données projet'!$B$11,Paramètres!$A$1:$I$89,3,0)*VLOOKUP('Données projet'!$B$11,Paramètres!$A$1:$I$89,5,0)</f>
        <v>14.11020000000018</v>
      </c>
      <c r="BF140" s="13">
        <f t="shared" si="145"/>
        <v>4.7783677814795205</v>
      </c>
      <c r="BG140" s="20">
        <f t="shared" si="115"/>
        <v>32.897588886077138</v>
      </c>
      <c r="BH140" s="59">
        <f t="shared" si="116"/>
        <v>317.89429429500251</v>
      </c>
      <c r="BI140" s="59">
        <f ca="1">AVERAGE(OFFSET($BH$3,0,0,'Données projet'!$E$11+1,1))-AVERAGE(OFFSET($H$3,0,0,'Données projet'!$E$11+1,1))</f>
        <v>458.88102603650725</v>
      </c>
      <c r="BJ140" s="59">
        <f t="shared" si="146"/>
        <v>277.79020316059552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137.59769843818162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137.59769843818162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19.8100000000004</v>
      </c>
      <c r="BZ140" s="13">
        <f>BY140*VLOOKUP('Données projet'!$B$12,Paramètres!$A$1:$I$89,3,0)*VLOOKUP('Données projet'!$B$12,Paramètres!$A$1:$I$89,5,0)</f>
        <v>18.851196000000382</v>
      </c>
      <c r="CA140" s="13">
        <f t="shared" si="147"/>
        <v>6.172221809210666</v>
      </c>
      <c r="CB140" s="20">
        <f t="shared" si="118"/>
        <v>43.582452684375909</v>
      </c>
      <c r="CC140" s="59">
        <f t="shared" si="119"/>
        <v>328.57915809330132</v>
      </c>
      <c r="CD140" s="59">
        <f ca="1">AVERAGE(OFFSET($CC$3,0,0,'Données projet'!$E$12+1,1))-AVERAGE(OFFSET($H$3,0,0,'Données projet'!$E$12+1,1))</f>
        <v>592.58528888957346</v>
      </c>
      <c r="CE140" s="59">
        <f t="shared" si="148"/>
        <v>311.31528017256846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258.76549318961145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258.76549318961145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0.8600000000003547</v>
      </c>
      <c r="CU140" s="17">
        <f>CT140*VLOOKUP('Données projet'!$B$13,Paramètres!$A$1:$I$89,3,0)*VLOOKUP('Données projet'!$B$13,Paramètres!$A$1:$I$89,5,0)</f>
        <v>0.48074000000019829</v>
      </c>
      <c r="CV140" s="13">
        <f t="shared" si="149"/>
        <v>0.24126147010950588</v>
      </c>
      <c r="CW140" s="20">
        <f t="shared" si="121"/>
        <v>1.2574858937744013</v>
      </c>
      <c r="CX140" s="59">
        <f t="shared" si="122"/>
        <v>286.25419130269978</v>
      </c>
      <c r="CY140" s="59">
        <f ca="1">AVERAGE(OFFSET($CX$3,0,0,'Données projet'!$E$13+1,1))-AVERAGE(OFFSET($H$3,0,0,'Données projet'!$E$13+1,1))</f>
        <v>420.4890915162182</v>
      </c>
      <c r="CZ140" s="59">
        <f t="shared" si="150"/>
        <v>553.48432338023565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73.287049198824093</v>
      </c>
      <c r="DG140" s="21">
        <f>EXP(-LN(2)/25)*DG139+(1-EXP(-LN(2)/25))/(LN(2)/25)*Calculateur!DB140*Calculateur!DD140*VLOOKUP('Données projet'!$B$13,Paramètres!$A$1:$I$89,3,0)*0.475*44/12</f>
        <v>2.6031278107667859</v>
      </c>
      <c r="DH140" s="21">
        <f>EXP(-LN(2)/2)*DH139+(1-EXP(-LN(2)/2))/(LN(2)/2)*DB140*DE140*VLOOKUP('Données projet'!$B$13,Paramètres!$A$1:$I$89,3,0)*0.475*44/12</f>
        <v>5.8087182135341516E-17</v>
      </c>
      <c r="DI140" s="22">
        <f t="shared" si="123"/>
        <v>75.890177009590872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19.8100000000004</v>
      </c>
      <c r="DP140" s="17">
        <f>DO140*VLOOKUP('Données projet'!$B$14,Paramètres!$A$1:$I$89,3,0)*VLOOKUP('Données projet'!$B$14,Paramètres!$A$1:$I$89,5,0)</f>
        <v>21.323484000000427</v>
      </c>
      <c r="DQ140" s="13">
        <f t="shared" si="151"/>
        <v>6.88226100850307</v>
      </c>
      <c r="DR140" s="20">
        <f t="shared" si="124"/>
        <v>49.125005889810261</v>
      </c>
      <c r="DS140" s="59">
        <f t="shared" si="125"/>
        <v>334.12171129873565</v>
      </c>
      <c r="DT140" s="59">
        <f ca="1">AVERAGE(OFFSET($DS$3,0,0,'Données projet'!$E$14+1,1))-AVERAGE(OFFSET($H$3,0,0,'Données projet'!$E$14+1,1))</f>
        <v>659.55755908012691</v>
      </c>
      <c r="DU140" s="59">
        <f t="shared" si="152"/>
        <v>343.96647464823627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292.70195131283907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292.70195131283907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19.8100000000004</v>
      </c>
      <c r="EK140" s="17">
        <f>EJ140*VLOOKUP('Données projet'!$B$15,Paramètres!$A$1:$I$89,3,0)*VLOOKUP('Données projet'!$B$15,Paramètres!$A$1:$I$89,5,0)</f>
        <v>19.160232000000388</v>
      </c>
      <c r="EL140" s="13">
        <f t="shared" si="153"/>
        <v>6.2615431735370342</v>
      </c>
      <c r="EM140" s="20">
        <f t="shared" si="127"/>
        <v>44.27625842724435</v>
      </c>
      <c r="EN140" s="59">
        <f t="shared" si="128"/>
        <v>329.27296383616971</v>
      </c>
      <c r="EO140" s="59">
        <f ca="1">AVERAGE(OFFSET($EN$3,0,0,'Données projet'!$E$15+1,1))-AVERAGE(OFFSET($H$3,0,0,'Données projet'!$E$15+1,1))</f>
        <v>600.96600099541388</v>
      </c>
      <c r="EP140" s="59">
        <f t="shared" si="154"/>
        <v>315.40159257508969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263.00755045501484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263.00755045501484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17.924088000000364</v>
      </c>
      <c r="P141" s="13">
        <f t="shared" si="141"/>
        <v>5.9032212091029486</v>
      </c>
      <c r="Q141" s="20">
        <f t="shared" si="108"/>
        <v>41.499230205854936</v>
      </c>
      <c r="R141" s="59">
        <f t="shared" si="109"/>
        <v>326.64055747136086</v>
      </c>
      <c r="S141" s="59">
        <f ca="1">AVERAGE(OFFSET($R$3,0,0,'Données projet'!$E$9+1,1))-AVERAGE(OFFSET($H$3,0,0,'Données projet'!$E$9+1,1))</f>
        <v>567.42635821336114</v>
      </c>
      <c r="T141" s="59">
        <f t="shared" si="142"/>
        <v>299.0473530693472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241.21464037004435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241.21464037004435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475.00000000000023</v>
      </c>
      <c r="AJ141" s="13">
        <f>AI141*VLOOKUP('Données projet'!$B$10,Paramètres!$A$1:$I$89,3,0)*VLOOKUP('Données projet'!$B$10,Paramètres!$A$1:$I$89,5,0)</f>
        <v>407.5500000000003</v>
      </c>
      <c r="AK141" s="13">
        <f t="shared" si="143"/>
        <v>93.305642095357683</v>
      </c>
      <c r="AL141" s="20">
        <f t="shared" si="112"/>
        <v>872.32357664941526</v>
      </c>
      <c r="AM141" s="59">
        <f t="shared" si="113"/>
        <v>1157.4649039149213</v>
      </c>
      <c r="AN141" s="59">
        <f ca="1">AVERAGE(OFFSET($AM$3,0,0,'Données projet'!$E$10+1,1))-AVERAGE(OFFSET($H$3,0,0,'Données projet'!$E$10+1,1))</f>
        <v>570.05585579662738</v>
      </c>
      <c r="AO141" s="59">
        <f t="shared" si="144"/>
        <v>331.25104323342907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85.572187838379989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85.572187838379989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16.750000000000213</v>
      </c>
      <c r="BE141" s="13">
        <f>BD141*VLOOKUP('Données projet'!$B$11,Paramètres!$A$1:$I$89,3,0)*VLOOKUP('Données projet'!$B$11,Paramètres!$A$1:$I$89,5,0)</f>
        <v>14.11020000000018</v>
      </c>
      <c r="BF141" s="13">
        <f t="shared" si="145"/>
        <v>4.7783677814795205</v>
      </c>
      <c r="BG141" s="20">
        <f t="shared" si="115"/>
        <v>32.897588886077138</v>
      </c>
      <c r="BH141" s="59">
        <f t="shared" si="116"/>
        <v>318.03891615158307</v>
      </c>
      <c r="BI141" s="59">
        <f ca="1">AVERAGE(OFFSET($BH$3,0,0,'Données projet'!$E$11+1,1))-AVERAGE(OFFSET($H$3,0,0,'Données projet'!$E$11+1,1))</f>
        <v>458.88102603650725</v>
      </c>
      <c r="BJ141" s="59">
        <f t="shared" si="146"/>
        <v>277.79020316059552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134.8994914981179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134.8994914981179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19.8100000000004</v>
      </c>
      <c r="BZ141" s="13">
        <f>BY141*VLOOKUP('Données projet'!$B$12,Paramètres!$A$1:$I$89,3,0)*VLOOKUP('Données projet'!$B$12,Paramètres!$A$1:$I$89,5,0)</f>
        <v>18.851196000000382</v>
      </c>
      <c r="CA141" s="13">
        <f t="shared" si="147"/>
        <v>6.172221809210666</v>
      </c>
      <c r="CB141" s="20">
        <f t="shared" si="118"/>
        <v>43.582452684375909</v>
      </c>
      <c r="CC141" s="59">
        <f t="shared" si="119"/>
        <v>328.72377994988187</v>
      </c>
      <c r="CD141" s="59">
        <f ca="1">AVERAGE(OFFSET($CC$3,0,0,'Données projet'!$E$12+1,1))-AVERAGE(OFFSET($H$3,0,0,'Données projet'!$E$12+1,1))</f>
        <v>592.58528888957346</v>
      </c>
      <c r="CE141" s="59">
        <f t="shared" si="148"/>
        <v>311.31528017256846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253.69125969952947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253.69125969952947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0.8600000000003547</v>
      </c>
      <c r="CU141" s="17">
        <f>CT141*VLOOKUP('Données projet'!$B$13,Paramètres!$A$1:$I$89,3,0)*VLOOKUP('Données projet'!$B$13,Paramètres!$A$1:$I$89,5,0)</f>
        <v>0.48074000000019829</v>
      </c>
      <c r="CV141" s="13">
        <f t="shared" si="149"/>
        <v>0.24126147010950588</v>
      </c>
      <c r="CW141" s="20">
        <f t="shared" si="121"/>
        <v>1.2574858937744013</v>
      </c>
      <c r="CX141" s="59">
        <f t="shared" si="122"/>
        <v>286.39881315928034</v>
      </c>
      <c r="CY141" s="59">
        <f ca="1">AVERAGE(OFFSET($CX$3,0,0,'Données projet'!$E$13+1,1))-AVERAGE(OFFSET($H$3,0,0,'Données projet'!$E$13+1,1))</f>
        <v>420.4890915162182</v>
      </c>
      <c r="CZ141" s="59">
        <f t="shared" si="150"/>
        <v>553.48432338023565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71.849934864721334</v>
      </c>
      <c r="DG141" s="21">
        <f>EXP(-LN(2)/25)*DG140+(1-EXP(-LN(2)/25))/(LN(2)/25)*Calculateur!DB141*Calculateur!DD141*VLOOKUP('Données projet'!$B$13,Paramètres!$A$1:$I$89,3,0)*0.475*44/12</f>
        <v>2.5319451438888261</v>
      </c>
      <c r="DH141" s="21">
        <f>EXP(-LN(2)/2)*DH140+(1-EXP(-LN(2)/2))/(LN(2)/2)*DB141*DE141*VLOOKUP('Données projet'!$B$13,Paramètres!$A$1:$I$89,3,0)*0.475*44/12</f>
        <v>4.1073840387918067E-17</v>
      </c>
      <c r="DI141" s="22">
        <f t="shared" si="123"/>
        <v>74.381880008610153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19.8100000000004</v>
      </c>
      <c r="DP141" s="17">
        <f>DO141*VLOOKUP('Données projet'!$B$14,Paramètres!$A$1:$I$89,3,0)*VLOOKUP('Données projet'!$B$14,Paramètres!$A$1:$I$89,5,0)</f>
        <v>21.323484000000427</v>
      </c>
      <c r="DQ141" s="13">
        <f t="shared" si="151"/>
        <v>6.88226100850307</v>
      </c>
      <c r="DR141" s="20">
        <f t="shared" si="124"/>
        <v>49.125005889810261</v>
      </c>
      <c r="DS141" s="59">
        <f t="shared" si="125"/>
        <v>334.2663331553162</v>
      </c>
      <c r="DT141" s="59">
        <f ca="1">AVERAGE(OFFSET($DS$3,0,0,'Données projet'!$E$14+1,1))-AVERAGE(OFFSET($H$3,0,0,'Données projet'!$E$14+1,1))</f>
        <v>659.55755908012691</v>
      </c>
      <c r="DU141" s="59">
        <f t="shared" si="152"/>
        <v>343.96647464823627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286.96224457815617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286.96224457815617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19.8100000000004</v>
      </c>
      <c r="EK141" s="17">
        <f>EJ141*VLOOKUP('Données projet'!$B$15,Paramètres!$A$1:$I$89,3,0)*VLOOKUP('Données projet'!$B$15,Paramètres!$A$1:$I$89,5,0)</f>
        <v>19.160232000000388</v>
      </c>
      <c r="EL141" s="13">
        <f t="shared" si="153"/>
        <v>6.2615431735370342</v>
      </c>
      <c r="EM141" s="20">
        <f t="shared" si="127"/>
        <v>44.27625842724435</v>
      </c>
      <c r="EN141" s="59">
        <f t="shared" si="128"/>
        <v>329.41758569275027</v>
      </c>
      <c r="EO141" s="59">
        <f ca="1">AVERAGE(OFFSET($EN$3,0,0,'Données projet'!$E$15+1,1))-AVERAGE(OFFSET($H$3,0,0,'Données projet'!$E$15+1,1))</f>
        <v>600.96600099541388</v>
      </c>
      <c r="EP141" s="59">
        <f t="shared" si="154"/>
        <v>315.40159257508969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257.85013280935772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257.85013280935772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17.924088000000364</v>
      </c>
      <c r="P142" s="13">
        <f t="shared" si="141"/>
        <v>5.9032212091029486</v>
      </c>
      <c r="Q142" s="20">
        <f t="shared" si="108"/>
        <v>41.499230205854936</v>
      </c>
      <c r="R142" s="59">
        <f t="shared" si="109"/>
        <v>326.78267046205582</v>
      </c>
      <c r="S142" s="59">
        <f ca="1">AVERAGE(OFFSET($R$3,0,0,'Données projet'!$E$9+1,1))-AVERAGE(OFFSET($H$3,0,0,'Données projet'!$E$9+1,1))</f>
        <v>567.42635821336114</v>
      </c>
      <c r="T142" s="59">
        <f t="shared" si="142"/>
        <v>299.0473530693472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236.48456839879088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236.48456839879088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475.00000000000023</v>
      </c>
      <c r="AJ142" s="13">
        <f>AI142*VLOOKUP('Données projet'!$B$10,Paramètres!$A$1:$I$89,3,0)*VLOOKUP('Données projet'!$B$10,Paramètres!$A$1:$I$89,5,0)</f>
        <v>407.5500000000003</v>
      </c>
      <c r="AK142" s="13">
        <f t="shared" si="143"/>
        <v>93.305642095357683</v>
      </c>
      <c r="AL142" s="20">
        <f t="shared" si="112"/>
        <v>872.32357664941526</v>
      </c>
      <c r="AM142" s="59">
        <f t="shared" si="113"/>
        <v>1157.6070169056161</v>
      </c>
      <c r="AN142" s="59">
        <f ca="1">AVERAGE(OFFSET($AM$3,0,0,'Données projet'!$E$10+1,1))-AVERAGE(OFFSET($H$3,0,0,'Données projet'!$E$10+1,1))</f>
        <v>570.05585579662738</v>
      </c>
      <c r="AO142" s="59">
        <f t="shared" si="144"/>
        <v>331.25104323342907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83.894169428750217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83.894169428750217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16.750000000000213</v>
      </c>
      <c r="BE142" s="13">
        <f>BD142*VLOOKUP('Données projet'!$B$11,Paramètres!$A$1:$I$89,3,0)*VLOOKUP('Données projet'!$B$11,Paramètres!$A$1:$I$89,5,0)</f>
        <v>14.11020000000018</v>
      </c>
      <c r="BF142" s="13">
        <f t="shared" si="145"/>
        <v>4.7783677814795205</v>
      </c>
      <c r="BG142" s="20">
        <f t="shared" si="115"/>
        <v>32.897588886077138</v>
      </c>
      <c r="BH142" s="59">
        <f t="shared" si="116"/>
        <v>318.18102914227802</v>
      </c>
      <c r="BI142" s="59">
        <f ca="1">AVERAGE(OFFSET($BH$3,0,0,'Données projet'!$E$11+1,1))-AVERAGE(OFFSET($H$3,0,0,'Données projet'!$E$11+1,1))</f>
        <v>458.88102603650725</v>
      </c>
      <c r="BJ142" s="59">
        <f t="shared" si="146"/>
        <v>277.79020316059552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132.25419475040508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132.25419475040508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19.8100000000004</v>
      </c>
      <c r="BZ142" s="13">
        <f>BY142*VLOOKUP('Données projet'!$B$12,Paramètres!$A$1:$I$89,3,0)*VLOOKUP('Données projet'!$B$12,Paramètres!$A$1:$I$89,5,0)</f>
        <v>18.851196000000382</v>
      </c>
      <c r="CA142" s="13">
        <f t="shared" si="147"/>
        <v>6.172221809210666</v>
      </c>
      <c r="CB142" s="20">
        <f t="shared" si="118"/>
        <v>43.582452684375909</v>
      </c>
      <c r="CC142" s="59">
        <f t="shared" si="119"/>
        <v>328.86589294057683</v>
      </c>
      <c r="CD142" s="59">
        <f ca="1">AVERAGE(OFFSET($CC$3,0,0,'Données projet'!$E$12+1,1))-AVERAGE(OFFSET($H$3,0,0,'Données projet'!$E$12+1,1))</f>
        <v>592.58528888957346</v>
      </c>
      <c r="CE142" s="59">
        <f t="shared" si="148"/>
        <v>311.31528017256846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248.71652883321116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248.71652883321116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0.8600000000003547</v>
      </c>
      <c r="CU142" s="17">
        <f>CT142*VLOOKUP('Données projet'!$B$13,Paramètres!$A$1:$I$89,3,0)*VLOOKUP('Données projet'!$B$13,Paramètres!$A$1:$I$89,5,0)</f>
        <v>0.48074000000019829</v>
      </c>
      <c r="CV142" s="13">
        <f t="shared" si="149"/>
        <v>0.24126147010950588</v>
      </c>
      <c r="CW142" s="20">
        <f t="shared" si="121"/>
        <v>1.2574858937744013</v>
      </c>
      <c r="CX142" s="59">
        <f t="shared" si="122"/>
        <v>286.54092614997529</v>
      </c>
      <c r="CY142" s="59">
        <f ca="1">AVERAGE(OFFSET($CX$3,0,0,'Données projet'!$E$13+1,1))-AVERAGE(OFFSET($H$3,0,0,'Données projet'!$E$13+1,1))</f>
        <v>420.4890915162182</v>
      </c>
      <c r="CZ142" s="59">
        <f t="shared" si="150"/>
        <v>553.48432338023565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70.441001466157147</v>
      </c>
      <c r="DG142" s="21">
        <f>EXP(-LN(2)/25)*DG141+(1-EXP(-LN(2)/25))/(LN(2)/25)*Calculateur!DB142*Calculateur!DD142*VLOOKUP('Données projet'!$B$13,Paramètres!$A$1:$I$89,3,0)*0.475*44/12</f>
        <v>2.4627089707799779</v>
      </c>
      <c r="DH142" s="21">
        <f>EXP(-LN(2)/2)*DH141+(1-EXP(-LN(2)/2))/(LN(2)/2)*DB142*DE142*VLOOKUP('Données projet'!$B$13,Paramètres!$A$1:$I$89,3,0)*0.475*44/12</f>
        <v>2.9043591067670758E-17</v>
      </c>
      <c r="DI142" s="22">
        <f t="shared" si="123"/>
        <v>72.903710436937118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19.8100000000004</v>
      </c>
      <c r="DP142" s="17">
        <f>DO142*VLOOKUP('Données projet'!$B$14,Paramètres!$A$1:$I$89,3,0)*VLOOKUP('Données projet'!$B$14,Paramètres!$A$1:$I$89,5,0)</f>
        <v>21.323484000000427</v>
      </c>
      <c r="DQ142" s="13">
        <f t="shared" si="151"/>
        <v>6.88226100850307</v>
      </c>
      <c r="DR142" s="20">
        <f t="shared" si="124"/>
        <v>49.125005889810261</v>
      </c>
      <c r="DS142" s="59">
        <f t="shared" si="125"/>
        <v>334.40844614601116</v>
      </c>
      <c r="DT142" s="59">
        <f ca="1">AVERAGE(OFFSET($DS$3,0,0,'Données projet'!$E$14+1,1))-AVERAGE(OFFSET($H$3,0,0,'Données projet'!$E$14+1,1))</f>
        <v>659.55755908012691</v>
      </c>
      <c r="DU142" s="59">
        <f t="shared" si="152"/>
        <v>343.96647464823627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281.33508999166497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281.33508999166497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19.8100000000004</v>
      </c>
      <c r="EK142" s="17">
        <f>EJ142*VLOOKUP('Données projet'!$B$15,Paramètres!$A$1:$I$89,3,0)*VLOOKUP('Données projet'!$B$15,Paramètres!$A$1:$I$89,5,0)</f>
        <v>19.160232000000388</v>
      </c>
      <c r="EL142" s="13">
        <f t="shared" si="153"/>
        <v>6.2615431735370342</v>
      </c>
      <c r="EM142" s="20">
        <f t="shared" si="127"/>
        <v>44.27625842724435</v>
      </c>
      <c r="EN142" s="59">
        <f t="shared" si="128"/>
        <v>329.55969868344522</v>
      </c>
      <c r="EO142" s="59">
        <f ca="1">AVERAGE(OFFSET($EN$3,0,0,'Données projet'!$E$15+1,1))-AVERAGE(OFFSET($H$3,0,0,'Données projet'!$E$15+1,1))</f>
        <v>600.96600099541388</v>
      </c>
      <c r="EP142" s="59">
        <f t="shared" si="154"/>
        <v>315.40159257508969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252.79384897801779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252.79384897801779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17.924088000000364</v>
      </c>
      <c r="P143" s="13">
        <f t="shared" si="141"/>
        <v>5.9032212091029486</v>
      </c>
      <c r="Q143" s="20">
        <f t="shared" si="108"/>
        <v>41.499230205854936</v>
      </c>
      <c r="R143" s="59">
        <f t="shared" si="109"/>
        <v>326.92231811007929</v>
      </c>
      <c r="S143" s="59">
        <f ca="1">AVERAGE(OFFSET($R$3,0,0,'Données projet'!$E$9+1,1))-AVERAGE(OFFSET($H$3,0,0,'Données projet'!$E$9+1,1))</f>
        <v>567.42635821336114</v>
      </c>
      <c r="T143" s="59">
        <f t="shared" si="142"/>
        <v>299.0473530693472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231.84725025383466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231.84725025383466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475.00000000000023</v>
      </c>
      <c r="AJ143" s="13">
        <f>AI143*VLOOKUP('Données projet'!$B$10,Paramètres!$A$1:$I$89,3,0)*VLOOKUP('Données projet'!$B$10,Paramètres!$A$1:$I$89,5,0)</f>
        <v>407.5500000000003</v>
      </c>
      <c r="AK143" s="13">
        <f t="shared" si="143"/>
        <v>93.305642095357683</v>
      </c>
      <c r="AL143" s="20">
        <f t="shared" si="112"/>
        <v>872.32357664941526</v>
      </c>
      <c r="AM143" s="59">
        <f t="shared" si="113"/>
        <v>1157.7466645536397</v>
      </c>
      <c r="AN143" s="59">
        <f ca="1">AVERAGE(OFFSET($AM$3,0,0,'Données projet'!$E$10+1,1))-AVERAGE(OFFSET($H$3,0,0,'Données projet'!$E$10+1,1))</f>
        <v>570.05585579662738</v>
      </c>
      <c r="AO143" s="59">
        <f t="shared" si="144"/>
        <v>331.25104323342907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82.249055936643117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82.249055936643117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16.750000000000213</v>
      </c>
      <c r="BE143" s="13">
        <f>BD143*VLOOKUP('Données projet'!$B$11,Paramètres!$A$1:$I$89,3,0)*VLOOKUP('Données projet'!$B$11,Paramètres!$A$1:$I$89,5,0)</f>
        <v>14.11020000000018</v>
      </c>
      <c r="BF143" s="13">
        <f t="shared" si="145"/>
        <v>4.7783677814795205</v>
      </c>
      <c r="BG143" s="20">
        <f t="shared" si="115"/>
        <v>32.897588886077138</v>
      </c>
      <c r="BH143" s="59">
        <f t="shared" si="116"/>
        <v>318.32067679030149</v>
      </c>
      <c r="BI143" s="59">
        <f ca="1">AVERAGE(OFFSET($BH$3,0,0,'Données projet'!$E$11+1,1))-AVERAGE(OFFSET($H$3,0,0,'Données projet'!$E$11+1,1))</f>
        <v>458.88102603650725</v>
      </c>
      <c r="BJ143" s="59">
        <f t="shared" si="146"/>
        <v>277.79020316059552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129.66077065844323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129.66077065844323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19.8100000000004</v>
      </c>
      <c r="BZ143" s="13">
        <f>BY143*VLOOKUP('Données projet'!$B$12,Paramètres!$A$1:$I$89,3,0)*VLOOKUP('Données projet'!$B$12,Paramètres!$A$1:$I$89,5,0)</f>
        <v>18.851196000000382</v>
      </c>
      <c r="CA143" s="13">
        <f t="shared" si="147"/>
        <v>6.172221809210666</v>
      </c>
      <c r="CB143" s="20">
        <f t="shared" si="118"/>
        <v>43.582452684375909</v>
      </c>
      <c r="CC143" s="59">
        <f t="shared" si="119"/>
        <v>329.0055405886003</v>
      </c>
      <c r="CD143" s="59">
        <f ca="1">AVERAGE(OFFSET($CC$3,0,0,'Données projet'!$E$12+1,1))-AVERAGE(OFFSET($H$3,0,0,'Données projet'!$E$12+1,1))</f>
        <v>592.58528888957346</v>
      </c>
      <c r="CE143" s="59">
        <f t="shared" si="148"/>
        <v>311.31528017256846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243.83934940489513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243.83934940489513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0.8600000000003547</v>
      </c>
      <c r="CU143" s="17">
        <f>CT143*VLOOKUP('Données projet'!$B$13,Paramètres!$A$1:$I$89,3,0)*VLOOKUP('Données projet'!$B$13,Paramètres!$A$1:$I$89,5,0)</f>
        <v>0.48074000000019829</v>
      </c>
      <c r="CV143" s="13">
        <f t="shared" si="149"/>
        <v>0.24126147010950588</v>
      </c>
      <c r="CW143" s="20">
        <f t="shared" si="121"/>
        <v>1.2574858937744013</v>
      </c>
      <c r="CX143" s="59">
        <f t="shared" si="122"/>
        <v>286.68057379799876</v>
      </c>
      <c r="CY143" s="59">
        <f ca="1">AVERAGE(OFFSET($CX$3,0,0,'Données projet'!$E$13+1,1))-AVERAGE(OFFSET($H$3,0,0,'Données projet'!$E$13+1,1))</f>
        <v>420.4890915162182</v>
      </c>
      <c r="CZ143" s="59">
        <f t="shared" si="150"/>
        <v>553.48432338023565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69.059696392174274</v>
      </c>
      <c r="DG143" s="21">
        <f>EXP(-LN(2)/25)*DG142+(1-EXP(-LN(2)/25))/(LN(2)/25)*Calculateur!DB143*Calculateur!DD143*VLOOKUP('Données projet'!$B$13,Paramètres!$A$1:$I$89,3,0)*0.475*44/12</f>
        <v>2.3953660644657631</v>
      </c>
      <c r="DH143" s="21">
        <f>EXP(-LN(2)/2)*DH142+(1-EXP(-LN(2)/2))/(LN(2)/2)*DB143*DE143*VLOOKUP('Données projet'!$B$13,Paramètres!$A$1:$I$89,3,0)*0.475*44/12</f>
        <v>2.0536920193959033E-17</v>
      </c>
      <c r="DI143" s="22">
        <f t="shared" si="123"/>
        <v>71.455062456640036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19.8100000000004</v>
      </c>
      <c r="DP143" s="17">
        <f>DO143*VLOOKUP('Données projet'!$B$14,Paramètres!$A$1:$I$89,3,0)*VLOOKUP('Données projet'!$B$14,Paramètres!$A$1:$I$89,5,0)</f>
        <v>21.323484000000427</v>
      </c>
      <c r="DQ143" s="13">
        <f t="shared" si="151"/>
        <v>6.88226100850307</v>
      </c>
      <c r="DR143" s="20">
        <f t="shared" si="124"/>
        <v>49.125005889810261</v>
      </c>
      <c r="DS143" s="59">
        <f t="shared" si="125"/>
        <v>334.54809379403463</v>
      </c>
      <c r="DT143" s="59">
        <f ca="1">AVERAGE(OFFSET($DS$3,0,0,'Données projet'!$E$14+1,1))-AVERAGE(OFFSET($H$3,0,0,'Données projet'!$E$14+1,1))</f>
        <v>659.55755908012691</v>
      </c>
      <c r="DU143" s="59">
        <f t="shared" si="152"/>
        <v>343.96647464823627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275.8182804743895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275.8182804743895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19.8100000000004</v>
      </c>
      <c r="EK143" s="17">
        <f>EJ143*VLOOKUP('Données projet'!$B$15,Paramètres!$A$1:$I$89,3,0)*VLOOKUP('Données projet'!$B$15,Paramètres!$A$1:$I$89,5,0)</f>
        <v>19.160232000000388</v>
      </c>
      <c r="EL143" s="13">
        <f t="shared" si="153"/>
        <v>6.2615431735370342</v>
      </c>
      <c r="EM143" s="20">
        <f t="shared" si="127"/>
        <v>44.27625842724435</v>
      </c>
      <c r="EN143" s="59">
        <f t="shared" si="128"/>
        <v>329.69934633146869</v>
      </c>
      <c r="EO143" s="59">
        <f ca="1">AVERAGE(OFFSET($EN$3,0,0,'Données projet'!$E$15+1,1))-AVERAGE(OFFSET($H$3,0,0,'Données projet'!$E$15+1,1))</f>
        <v>600.96600099541388</v>
      </c>
      <c r="EP143" s="59">
        <f t="shared" si="154"/>
        <v>315.40159257508969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247.83671578858184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247.83671578858184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17.924088000000364</v>
      </c>
      <c r="P144" s="13">
        <f t="shared" si="141"/>
        <v>5.9032212091029486</v>
      </c>
      <c r="Q144" s="20">
        <f t="shared" si="108"/>
        <v>41.499230205854936</v>
      </c>
      <c r="R144" s="59">
        <f t="shared" si="109"/>
        <v>327.05954318361495</v>
      </c>
      <c r="S144" s="59">
        <f ca="1">AVERAGE(OFFSET($R$3,0,0,'Données projet'!$E$9+1,1))-AVERAGE(OFFSET($H$3,0,0,'Données projet'!$E$9+1,1))</f>
        <v>567.42635821336114</v>
      </c>
      <c r="T144" s="59">
        <f t="shared" si="142"/>
        <v>299.0473530693472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227.30086708921627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227.30086708921627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475.00000000000023</v>
      </c>
      <c r="AJ144" s="13">
        <f>AI144*VLOOKUP('Données projet'!$B$10,Paramètres!$A$1:$I$89,3,0)*VLOOKUP('Données projet'!$B$10,Paramètres!$A$1:$I$89,5,0)</f>
        <v>407.5500000000003</v>
      </c>
      <c r="AK144" s="13">
        <f t="shared" si="143"/>
        <v>93.305642095357683</v>
      </c>
      <c r="AL144" s="20">
        <f t="shared" si="112"/>
        <v>872.32357664941526</v>
      </c>
      <c r="AM144" s="59">
        <f t="shared" si="113"/>
        <v>1157.8838896271752</v>
      </c>
      <c r="AN144" s="59">
        <f ca="1">AVERAGE(OFFSET($AM$3,0,0,'Données projet'!$E$10+1,1))-AVERAGE(OFFSET($H$3,0,0,'Données projet'!$E$10+1,1))</f>
        <v>570.05585579662738</v>
      </c>
      <c r="AO144" s="59">
        <f t="shared" si="144"/>
        <v>331.25104323342907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80.636202116696083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80.636202116696083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16.750000000000213</v>
      </c>
      <c r="BE144" s="13">
        <f>BD144*VLOOKUP('Données projet'!$B$11,Paramètres!$A$1:$I$89,3,0)*VLOOKUP('Données projet'!$B$11,Paramètres!$A$1:$I$89,5,0)</f>
        <v>14.11020000000018</v>
      </c>
      <c r="BF144" s="13">
        <f t="shared" si="145"/>
        <v>4.7783677814795205</v>
      </c>
      <c r="BG144" s="20">
        <f t="shared" si="115"/>
        <v>32.897588886077138</v>
      </c>
      <c r="BH144" s="59">
        <f t="shared" si="116"/>
        <v>318.45790186383715</v>
      </c>
      <c r="BI144" s="59">
        <f ca="1">AVERAGE(OFFSET($BH$3,0,0,'Données projet'!$E$11+1,1))-AVERAGE(OFFSET($H$3,0,0,'Données projet'!$E$11+1,1))</f>
        <v>458.88102603650725</v>
      </c>
      <c r="BJ144" s="59">
        <f t="shared" si="146"/>
        <v>277.79020316059552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127.11820203109224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127.11820203109224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19.8100000000004</v>
      </c>
      <c r="BZ144" s="13">
        <f>BY144*VLOOKUP('Données projet'!$B$12,Paramètres!$A$1:$I$89,3,0)*VLOOKUP('Données projet'!$B$12,Paramètres!$A$1:$I$89,5,0)</f>
        <v>18.851196000000382</v>
      </c>
      <c r="CA144" s="13">
        <f t="shared" si="147"/>
        <v>6.172221809210666</v>
      </c>
      <c r="CB144" s="20">
        <f t="shared" si="118"/>
        <v>43.582452684375909</v>
      </c>
      <c r="CC144" s="59">
        <f t="shared" si="119"/>
        <v>329.14276566213596</v>
      </c>
      <c r="CD144" s="59">
        <f ca="1">AVERAGE(OFFSET($CC$3,0,0,'Données projet'!$E$12+1,1))-AVERAGE(OFFSET($H$3,0,0,'Données projet'!$E$12+1,1))</f>
        <v>592.58528888957346</v>
      </c>
      <c r="CE144" s="59">
        <f t="shared" si="148"/>
        <v>311.31528017256846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239.05780849038268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239.05780849038268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0.8600000000003547</v>
      </c>
      <c r="CU144" s="17">
        <f>CT144*VLOOKUP('Données projet'!$B$13,Paramètres!$A$1:$I$89,3,0)*VLOOKUP('Données projet'!$B$13,Paramètres!$A$1:$I$89,5,0)</f>
        <v>0.48074000000019829</v>
      </c>
      <c r="CV144" s="13">
        <f t="shared" si="149"/>
        <v>0.24126147010950588</v>
      </c>
      <c r="CW144" s="20">
        <f t="shared" si="121"/>
        <v>1.2574858937744013</v>
      </c>
      <c r="CX144" s="59">
        <f t="shared" si="122"/>
        <v>286.81779887153442</v>
      </c>
      <c r="CY144" s="59">
        <f ca="1">AVERAGE(OFFSET($CX$3,0,0,'Données projet'!$E$13+1,1))-AVERAGE(OFFSET($H$3,0,0,'Données projet'!$E$13+1,1))</f>
        <v>420.4890915162182</v>
      </c>
      <c r="CZ144" s="59">
        <f t="shared" si="150"/>
        <v>553.48432338023565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67.705477868179315</v>
      </c>
      <c r="DG144" s="21">
        <f>EXP(-LN(2)/25)*DG143+(1-EXP(-LN(2)/25))/(LN(2)/25)*Calculateur!DB144*Calculateur!DD144*VLOOKUP('Données projet'!$B$13,Paramètres!$A$1:$I$89,3,0)*0.475*44/12</f>
        <v>2.32986465346612</v>
      </c>
      <c r="DH144" s="21">
        <f>EXP(-LN(2)/2)*DH143+(1-EXP(-LN(2)/2))/(LN(2)/2)*DB144*DE144*VLOOKUP('Données projet'!$B$13,Paramètres!$A$1:$I$89,3,0)*0.475*44/12</f>
        <v>1.4521795533835379E-17</v>
      </c>
      <c r="DI144" s="22">
        <f t="shared" si="123"/>
        <v>70.035342521645433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19.8100000000004</v>
      </c>
      <c r="DP144" s="17">
        <f>DO144*VLOOKUP('Données projet'!$B$14,Paramètres!$A$1:$I$89,3,0)*VLOOKUP('Données projet'!$B$14,Paramètres!$A$1:$I$89,5,0)</f>
        <v>21.323484000000427</v>
      </c>
      <c r="DQ144" s="13">
        <f t="shared" si="151"/>
        <v>6.88226100850307</v>
      </c>
      <c r="DR144" s="20">
        <f t="shared" si="124"/>
        <v>49.125005889810261</v>
      </c>
      <c r="DS144" s="59">
        <f t="shared" si="125"/>
        <v>334.68531886757029</v>
      </c>
      <c r="DT144" s="59">
        <f ca="1">AVERAGE(OFFSET($DS$3,0,0,'Données projet'!$E$14+1,1))-AVERAGE(OFFSET($H$3,0,0,'Données projet'!$E$14+1,1))</f>
        <v>659.55755908012691</v>
      </c>
      <c r="DU144" s="59">
        <f t="shared" si="152"/>
        <v>343.96647464823627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270.40965222682621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270.40965222682621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19.8100000000004</v>
      </c>
      <c r="EK144" s="17">
        <f>EJ144*VLOOKUP('Données projet'!$B$15,Paramètres!$A$1:$I$89,3,0)*VLOOKUP('Données projet'!$B$15,Paramètres!$A$1:$I$89,5,0)</f>
        <v>19.160232000000388</v>
      </c>
      <c r="EL144" s="13">
        <f t="shared" si="153"/>
        <v>6.2615431735370342</v>
      </c>
      <c r="EM144" s="20">
        <f t="shared" si="127"/>
        <v>44.27625842724435</v>
      </c>
      <c r="EN144" s="59">
        <f t="shared" si="128"/>
        <v>329.83657140500435</v>
      </c>
      <c r="EO144" s="59">
        <f ca="1">AVERAGE(OFFSET($EN$3,0,0,'Données projet'!$E$15+1,1))-AVERAGE(OFFSET($H$3,0,0,'Données projet'!$E$15+1,1))</f>
        <v>600.96600099541388</v>
      </c>
      <c r="EP144" s="59">
        <f t="shared" si="154"/>
        <v>315.40159257508969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242.97678895743803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242.97678895743803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17.924088000000364</v>
      </c>
      <c r="P145" s="13">
        <f t="shared" si="141"/>
        <v>5.9032212091029486</v>
      </c>
      <c r="Q145" s="20">
        <f t="shared" si="108"/>
        <v>41.499230205854936</v>
      </c>
      <c r="R145" s="59">
        <f t="shared" si="109"/>
        <v>327.19438770891401</v>
      </c>
      <c r="S145" s="59">
        <f ca="1">AVERAGE(OFFSET($R$3,0,0,'Données projet'!$E$9+1,1))-AVERAGE(OFFSET($H$3,0,0,'Données projet'!$E$9+1,1))</f>
        <v>567.42635821336114</v>
      </c>
      <c r="T145" s="59">
        <f t="shared" si="142"/>
        <v>299.0473530693472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222.84363572543612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222.84363572543612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475.00000000000023</v>
      </c>
      <c r="AJ145" s="13">
        <f>AI145*VLOOKUP('Données projet'!$B$10,Paramètres!$A$1:$I$89,3,0)*VLOOKUP('Données projet'!$B$10,Paramètres!$A$1:$I$89,5,0)</f>
        <v>407.5500000000003</v>
      </c>
      <c r="AK145" s="13">
        <f t="shared" si="143"/>
        <v>93.305642095357683</v>
      </c>
      <c r="AL145" s="20">
        <f t="shared" si="112"/>
        <v>872.32357664941526</v>
      </c>
      <c r="AM145" s="59">
        <f t="shared" si="113"/>
        <v>1158.0187341524743</v>
      </c>
      <c r="AN145" s="59">
        <f ca="1">AVERAGE(OFFSET($AM$3,0,0,'Données projet'!$E$10+1,1))-AVERAGE(OFFSET($H$3,0,0,'Données projet'!$E$10+1,1))</f>
        <v>570.05585579662738</v>
      </c>
      <c r="AO145" s="59">
        <f t="shared" si="144"/>
        <v>331.25104323342907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79.054975376414518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79.054975376414518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16.750000000000213</v>
      </c>
      <c r="BE145" s="13">
        <f>BD145*VLOOKUP('Données projet'!$B$11,Paramètres!$A$1:$I$89,3,0)*VLOOKUP('Données projet'!$B$11,Paramètres!$A$1:$I$89,5,0)</f>
        <v>14.11020000000018</v>
      </c>
      <c r="BF145" s="13">
        <f t="shared" si="145"/>
        <v>4.7783677814795205</v>
      </c>
      <c r="BG145" s="20">
        <f t="shared" si="115"/>
        <v>32.897588886077138</v>
      </c>
      <c r="BH145" s="59">
        <f t="shared" si="116"/>
        <v>318.59274638913621</v>
      </c>
      <c r="BI145" s="59">
        <f ca="1">AVERAGE(OFFSET($BH$3,0,0,'Données projet'!$E$11+1,1))-AVERAGE(OFFSET($H$3,0,0,'Données projet'!$E$11+1,1))</f>
        <v>458.88102603650725</v>
      </c>
      <c r="BJ145" s="59">
        <f t="shared" si="146"/>
        <v>277.79020316059552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124.62549162370986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124.62549162370986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19.8100000000004</v>
      </c>
      <c r="BZ145" s="13">
        <f>BY145*VLOOKUP('Données projet'!$B$12,Paramètres!$A$1:$I$89,3,0)*VLOOKUP('Données projet'!$B$12,Paramètres!$A$1:$I$89,5,0)</f>
        <v>18.851196000000382</v>
      </c>
      <c r="CA145" s="13">
        <f t="shared" si="147"/>
        <v>6.172221809210666</v>
      </c>
      <c r="CB145" s="20">
        <f t="shared" si="118"/>
        <v>43.582452684375909</v>
      </c>
      <c r="CC145" s="59">
        <f t="shared" si="119"/>
        <v>329.27761018743502</v>
      </c>
      <c r="CD145" s="59">
        <f ca="1">AVERAGE(OFFSET($CC$3,0,0,'Données projet'!$E$12+1,1))-AVERAGE(OFFSET($H$3,0,0,'Données projet'!$E$12+1,1))</f>
        <v>592.58528888957346</v>
      </c>
      <c r="CE145" s="59">
        <f t="shared" si="148"/>
        <v>311.31528017256846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234.37003067675184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234.37003067675184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0.8600000000003547</v>
      </c>
      <c r="CU145" s="17">
        <f>CT145*VLOOKUP('Données projet'!$B$13,Paramètres!$A$1:$I$89,3,0)*VLOOKUP('Données projet'!$B$13,Paramètres!$A$1:$I$89,5,0)</f>
        <v>0.48074000000019829</v>
      </c>
      <c r="CV145" s="13">
        <f t="shared" si="149"/>
        <v>0.24126147010950588</v>
      </c>
      <c r="CW145" s="20">
        <f t="shared" si="121"/>
        <v>1.2574858937744013</v>
      </c>
      <c r="CX145" s="59">
        <f t="shared" si="122"/>
        <v>286.95264339683348</v>
      </c>
      <c r="CY145" s="59">
        <f ca="1">AVERAGE(OFFSET($CX$3,0,0,'Données projet'!$E$13+1,1))-AVERAGE(OFFSET($H$3,0,0,'Données projet'!$E$13+1,1))</f>
        <v>420.4890915162182</v>
      </c>
      <c r="CZ145" s="59">
        <f t="shared" si="150"/>
        <v>553.48432338023565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66.377814743448155</v>
      </c>
      <c r="DG145" s="21">
        <f>EXP(-LN(2)/25)*DG144+(1-EXP(-LN(2)/25))/(LN(2)/25)*Calculateur!DB145*Calculateur!DD145*VLOOKUP('Données projet'!$B$13,Paramètres!$A$1:$I$89,3,0)*0.475*44/12</f>
        <v>2.266154381994832</v>
      </c>
      <c r="DH145" s="21">
        <f>EXP(-LN(2)/2)*DH144+(1-EXP(-LN(2)/2))/(LN(2)/2)*DB145*DE145*VLOOKUP('Données projet'!$B$13,Paramètres!$A$1:$I$89,3,0)*0.475*44/12</f>
        <v>1.0268460096979517E-17</v>
      </c>
      <c r="DI145" s="22">
        <f t="shared" si="123"/>
        <v>68.643969125442993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19.8100000000004</v>
      </c>
      <c r="DP145" s="17">
        <f>DO145*VLOOKUP('Données projet'!$B$14,Paramètres!$A$1:$I$89,3,0)*VLOOKUP('Données projet'!$B$14,Paramètres!$A$1:$I$89,5,0)</f>
        <v>21.323484000000427</v>
      </c>
      <c r="DQ145" s="13">
        <f t="shared" si="151"/>
        <v>6.88226100850307</v>
      </c>
      <c r="DR145" s="20">
        <f t="shared" si="124"/>
        <v>49.125005889810261</v>
      </c>
      <c r="DS145" s="59">
        <f t="shared" si="125"/>
        <v>334.82016339286935</v>
      </c>
      <c r="DT145" s="59">
        <f ca="1">AVERAGE(OFFSET($DS$3,0,0,'Données projet'!$E$14+1,1))-AVERAGE(OFFSET($H$3,0,0,'Données projet'!$E$14+1,1))</f>
        <v>659.55755908012691</v>
      </c>
      <c r="DU145" s="59">
        <f t="shared" si="152"/>
        <v>343.96647464823627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265.10708388026018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265.10708388026018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19.8100000000004</v>
      </c>
      <c r="EK145" s="17">
        <f>EJ145*VLOOKUP('Données projet'!$B$15,Paramètres!$A$1:$I$89,3,0)*VLOOKUP('Données projet'!$B$15,Paramètres!$A$1:$I$89,5,0)</f>
        <v>19.160232000000388</v>
      </c>
      <c r="EL145" s="13">
        <f t="shared" si="153"/>
        <v>6.2615431735370342</v>
      </c>
      <c r="EM145" s="20">
        <f t="shared" si="127"/>
        <v>44.27625842724435</v>
      </c>
      <c r="EN145" s="59">
        <f t="shared" si="128"/>
        <v>329.97141593030341</v>
      </c>
      <c r="EO145" s="59">
        <f ca="1">AVERAGE(OFFSET($EN$3,0,0,'Données projet'!$E$15+1,1))-AVERAGE(OFFSET($H$3,0,0,'Données projet'!$E$15+1,1))</f>
        <v>600.96600099541388</v>
      </c>
      <c r="EP145" s="59">
        <f t="shared" si="154"/>
        <v>315.40159257508969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238.21216232719027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238.21216232719027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17.924088000000364</v>
      </c>
      <c r="P146" s="13">
        <f t="shared" si="141"/>
        <v>5.9032212091029486</v>
      </c>
      <c r="Q146" s="20">
        <f t="shared" si="108"/>
        <v>41.499230205854936</v>
      </c>
      <c r="R146" s="59">
        <f t="shared" si="109"/>
        <v>327.32689298316637</v>
      </c>
      <c r="S146" s="59">
        <f ca="1">AVERAGE(OFFSET($R$3,0,0,'Données projet'!$E$9+1,1))-AVERAGE(OFFSET($H$3,0,0,'Données projet'!$E$9+1,1))</f>
        <v>567.42635821336114</v>
      </c>
      <c r="T146" s="59">
        <f t="shared" si="142"/>
        <v>299.0473530693472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218.47380795005699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218.47380795005699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475.00000000000023</v>
      </c>
      <c r="AJ146" s="13">
        <f>AI146*VLOOKUP('Données projet'!$B$10,Paramètres!$A$1:$I$89,3,0)*VLOOKUP('Données projet'!$B$10,Paramètres!$A$1:$I$89,5,0)</f>
        <v>407.5500000000003</v>
      </c>
      <c r="AK146" s="13">
        <f t="shared" si="143"/>
        <v>93.305642095357683</v>
      </c>
      <c r="AL146" s="20">
        <f t="shared" si="112"/>
        <v>872.32357664941526</v>
      </c>
      <c r="AM146" s="59">
        <f t="shared" si="113"/>
        <v>1158.1512394267268</v>
      </c>
      <c r="AN146" s="59">
        <f ca="1">AVERAGE(OFFSET($AM$3,0,0,'Données projet'!$E$10+1,1))-AVERAGE(OFFSET($H$3,0,0,'Données projet'!$E$10+1,1))</f>
        <v>570.05585579662738</v>
      </c>
      <c r="AO146" s="59">
        <f t="shared" si="144"/>
        <v>331.25104323342907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77.504755528056805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77.504755528056805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16.750000000000213</v>
      </c>
      <c r="BE146" s="13">
        <f>BD146*VLOOKUP('Données projet'!$B$11,Paramètres!$A$1:$I$89,3,0)*VLOOKUP('Données projet'!$B$11,Paramètres!$A$1:$I$89,5,0)</f>
        <v>14.11020000000018</v>
      </c>
      <c r="BF146" s="13">
        <f t="shared" si="145"/>
        <v>4.7783677814795205</v>
      </c>
      <c r="BG146" s="20">
        <f t="shared" si="115"/>
        <v>32.897588886077138</v>
      </c>
      <c r="BH146" s="59">
        <f t="shared" si="116"/>
        <v>318.72525166338858</v>
      </c>
      <c r="BI146" s="59">
        <f ca="1">AVERAGE(OFFSET($BH$3,0,0,'Données projet'!$E$11+1,1))-AVERAGE(OFFSET($H$3,0,0,'Données projet'!$E$11+1,1))</f>
        <v>458.88102603650725</v>
      </c>
      <c r="BJ146" s="59">
        <f t="shared" si="146"/>
        <v>277.79020316059552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122.18166174701304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122.18166174701304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19.8100000000004</v>
      </c>
      <c r="BZ146" s="13">
        <f>BY146*VLOOKUP('Données projet'!$B$12,Paramètres!$A$1:$I$89,3,0)*VLOOKUP('Données projet'!$B$12,Paramètres!$A$1:$I$89,5,0)</f>
        <v>18.851196000000382</v>
      </c>
      <c r="CA146" s="13">
        <f t="shared" si="147"/>
        <v>6.172221809210666</v>
      </c>
      <c r="CB146" s="20">
        <f t="shared" si="118"/>
        <v>43.582452684375909</v>
      </c>
      <c r="CC146" s="59">
        <f t="shared" si="119"/>
        <v>329.41011546168738</v>
      </c>
      <c r="CD146" s="59">
        <f ca="1">AVERAGE(OFFSET($CC$3,0,0,'Données projet'!$E$12+1,1))-AVERAGE(OFFSET($H$3,0,0,'Données projet'!$E$12+1,1))</f>
        <v>592.58528888957346</v>
      </c>
      <c r="CE146" s="59">
        <f t="shared" si="148"/>
        <v>311.31528017256846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229.77417732678416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229.77417732678416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0.8600000000003547</v>
      </c>
      <c r="CU146" s="17">
        <f>CT146*VLOOKUP('Données projet'!$B$13,Paramètres!$A$1:$I$89,3,0)*VLOOKUP('Données projet'!$B$13,Paramètres!$A$1:$I$89,5,0)</f>
        <v>0.48074000000019829</v>
      </c>
      <c r="CV146" s="13">
        <f t="shared" si="149"/>
        <v>0.24126147010950588</v>
      </c>
      <c r="CW146" s="20">
        <f t="shared" si="121"/>
        <v>1.2574858937744013</v>
      </c>
      <c r="CX146" s="59">
        <f t="shared" si="122"/>
        <v>287.08514867108585</v>
      </c>
      <c r="CY146" s="59">
        <f ca="1">AVERAGE(OFFSET($CX$3,0,0,'Données projet'!$E$13+1,1))-AVERAGE(OFFSET($H$3,0,0,'Données projet'!$E$13+1,1))</f>
        <v>420.4890915162182</v>
      </c>
      <c r="CZ146" s="59">
        <f t="shared" si="150"/>
        <v>553.48432338023565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65.076186282798417</v>
      </c>
      <c r="DG146" s="21">
        <f>EXP(-LN(2)/25)*DG145+(1-EXP(-LN(2)/25))/(LN(2)/25)*Calculateur!DB146*Calculateur!DD146*VLOOKUP('Données projet'!$B$13,Paramètres!$A$1:$I$89,3,0)*0.475*44/12</f>
        <v>2.2041862712473037</v>
      </c>
      <c r="DH146" s="21">
        <f>EXP(-LN(2)/2)*DH145+(1-EXP(-LN(2)/2))/(LN(2)/2)*DB146*DE146*VLOOKUP('Données projet'!$B$13,Paramètres!$A$1:$I$89,3,0)*0.475*44/12</f>
        <v>7.2608977669176894E-18</v>
      </c>
      <c r="DI146" s="22">
        <f t="shared" si="123"/>
        <v>67.280372554045726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19.8100000000004</v>
      </c>
      <c r="DP146" s="17">
        <f>DO146*VLOOKUP('Données projet'!$B$14,Paramètres!$A$1:$I$89,3,0)*VLOOKUP('Données projet'!$B$14,Paramètres!$A$1:$I$89,5,0)</f>
        <v>21.323484000000427</v>
      </c>
      <c r="DQ146" s="13">
        <f t="shared" si="151"/>
        <v>6.88226100850307</v>
      </c>
      <c r="DR146" s="20">
        <f t="shared" si="124"/>
        <v>49.125005889810261</v>
      </c>
      <c r="DS146" s="59">
        <f t="shared" si="125"/>
        <v>334.95266866712171</v>
      </c>
      <c r="DT146" s="59">
        <f ca="1">AVERAGE(OFFSET($DS$3,0,0,'Données projet'!$E$14+1,1))-AVERAGE(OFFSET($H$3,0,0,'Données projet'!$E$14+1,1))</f>
        <v>659.55755908012691</v>
      </c>
      <c r="DU146" s="59">
        <f t="shared" si="152"/>
        <v>343.96647464823627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259.90849566472298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259.90849566472298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19.8100000000004</v>
      </c>
      <c r="EK146" s="17">
        <f>EJ146*VLOOKUP('Données projet'!$B$15,Paramètres!$A$1:$I$89,3,0)*VLOOKUP('Données projet'!$B$15,Paramètres!$A$1:$I$89,5,0)</f>
        <v>19.160232000000388</v>
      </c>
      <c r="EL146" s="13">
        <f t="shared" si="153"/>
        <v>6.2615431735370342</v>
      </c>
      <c r="EM146" s="20">
        <f t="shared" si="127"/>
        <v>44.27625842724435</v>
      </c>
      <c r="EN146" s="59">
        <f t="shared" si="128"/>
        <v>330.10392120455577</v>
      </c>
      <c r="EO146" s="59">
        <f ca="1">AVERAGE(OFFSET($EN$3,0,0,'Données projet'!$E$15+1,1))-AVERAGE(OFFSET($H$3,0,0,'Données projet'!$E$15+1,1))</f>
        <v>600.96600099541388</v>
      </c>
      <c r="EP146" s="59">
        <f t="shared" si="154"/>
        <v>315.40159257508969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233.54096711902639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233.54096711902639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17.924088000000364</v>
      </c>
      <c r="P147" s="13">
        <f t="shared" si="141"/>
        <v>5.9032212091029486</v>
      </c>
      <c r="Q147" s="20">
        <f t="shared" si="108"/>
        <v>41.499230205854936</v>
      </c>
      <c r="R147" s="59">
        <f t="shared" si="109"/>
        <v>327.45709958714781</v>
      </c>
      <c r="S147" s="59">
        <f ca="1">AVERAGE(OFFSET($R$3,0,0,'Données projet'!$E$9+1,1))-AVERAGE(OFFSET($H$3,0,0,'Données projet'!$E$9+1,1))</f>
        <v>567.42635821336114</v>
      </c>
      <c r="T147" s="59">
        <f t="shared" si="142"/>
        <v>299.0473530693472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214.18966983202131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214.18966983202131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475.00000000000023</v>
      </c>
      <c r="AJ147" s="13">
        <f>AI147*VLOOKUP('Données projet'!$B$10,Paramètres!$A$1:$I$89,3,0)*VLOOKUP('Données projet'!$B$10,Paramètres!$A$1:$I$89,5,0)</f>
        <v>407.5500000000003</v>
      </c>
      <c r="AK147" s="13">
        <f t="shared" si="143"/>
        <v>93.305642095357683</v>
      </c>
      <c r="AL147" s="20">
        <f t="shared" si="112"/>
        <v>872.32357664941526</v>
      </c>
      <c r="AM147" s="59">
        <f t="shared" si="113"/>
        <v>1158.2814460307081</v>
      </c>
      <c r="AN147" s="59">
        <f ca="1">AVERAGE(OFFSET($AM$3,0,0,'Données projet'!$E$10+1,1))-AVERAGE(OFFSET($H$3,0,0,'Données projet'!$E$10+1,1))</f>
        <v>570.05585579662738</v>
      </c>
      <c r="AO147" s="59">
        <f t="shared" si="144"/>
        <v>331.25104323342907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75.984934545384633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75.984934545384633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16.750000000000213</v>
      </c>
      <c r="BE147" s="13">
        <f>BD147*VLOOKUP('Données projet'!$B$11,Paramètres!$A$1:$I$89,3,0)*VLOOKUP('Données projet'!$B$11,Paramètres!$A$1:$I$89,5,0)</f>
        <v>14.11020000000018</v>
      </c>
      <c r="BF147" s="13">
        <f t="shared" si="145"/>
        <v>4.7783677814795205</v>
      </c>
      <c r="BG147" s="20">
        <f t="shared" si="115"/>
        <v>32.897588886077138</v>
      </c>
      <c r="BH147" s="59">
        <f t="shared" si="116"/>
        <v>318.85545826737001</v>
      </c>
      <c r="BI147" s="59">
        <f ca="1">AVERAGE(OFFSET($BH$3,0,0,'Données projet'!$E$11+1,1))-AVERAGE(OFFSET($H$3,0,0,'Données projet'!$E$11+1,1))</f>
        <v>458.88102603650725</v>
      </c>
      <c r="BJ147" s="59">
        <f t="shared" si="146"/>
        <v>277.79020316059552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119.7857538836092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119.7857538836092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19.8100000000004</v>
      </c>
      <c r="BZ147" s="13">
        <f>BY147*VLOOKUP('Données projet'!$B$12,Paramètres!$A$1:$I$89,3,0)*VLOOKUP('Données projet'!$B$12,Paramètres!$A$1:$I$89,5,0)</f>
        <v>18.851196000000382</v>
      </c>
      <c r="CA147" s="13">
        <f t="shared" si="147"/>
        <v>6.172221809210666</v>
      </c>
      <c r="CB147" s="20">
        <f t="shared" si="118"/>
        <v>43.582452684375909</v>
      </c>
      <c r="CC147" s="59">
        <f t="shared" si="119"/>
        <v>329.54032206566876</v>
      </c>
      <c r="CD147" s="59">
        <f ca="1">AVERAGE(OFFSET($CC$3,0,0,'Données projet'!$E$12+1,1))-AVERAGE(OFFSET($H$3,0,0,'Données projet'!$E$12+1,1))</f>
        <v>592.58528888957346</v>
      </c>
      <c r="CE147" s="59">
        <f t="shared" si="148"/>
        <v>311.31528017256846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225.26844585781558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225.26844585781558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0.8600000000003547</v>
      </c>
      <c r="CU147" s="17">
        <f>CT147*VLOOKUP('Données projet'!$B$13,Paramètres!$A$1:$I$89,3,0)*VLOOKUP('Données projet'!$B$13,Paramètres!$A$1:$I$89,5,0)</f>
        <v>0.48074000000019829</v>
      </c>
      <c r="CV147" s="13">
        <f t="shared" si="149"/>
        <v>0.24126147010950588</v>
      </c>
      <c r="CW147" s="20">
        <f t="shared" si="121"/>
        <v>1.2574858937744013</v>
      </c>
      <c r="CX147" s="59">
        <f t="shared" si="122"/>
        <v>287.21535527506728</v>
      </c>
      <c r="CY147" s="59">
        <f ca="1">AVERAGE(OFFSET($CX$3,0,0,'Données projet'!$E$13+1,1))-AVERAGE(OFFSET($H$3,0,0,'Données projet'!$E$13+1,1))</f>
        <v>420.4890915162182</v>
      </c>
      <c r="CZ147" s="59">
        <f t="shared" si="150"/>
        <v>553.48432338023565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63.800081962347058</v>
      </c>
      <c r="DG147" s="21">
        <f>EXP(-LN(2)/25)*DG146+(1-EXP(-LN(2)/25))/(LN(2)/25)*Calculateur!DB147*Calculateur!DD147*VLOOKUP('Données projet'!$B$13,Paramètres!$A$1:$I$89,3,0)*0.475*44/12</f>
        <v>2.1439126817469281</v>
      </c>
      <c r="DH147" s="21">
        <f>EXP(-LN(2)/2)*DH146+(1-EXP(-LN(2)/2))/(LN(2)/2)*DB147*DE147*VLOOKUP('Données projet'!$B$13,Paramètres!$A$1:$I$89,3,0)*0.475*44/12</f>
        <v>5.1342300484897583E-18</v>
      </c>
      <c r="DI147" s="22">
        <f t="shared" si="123"/>
        <v>65.943994644093991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19.8100000000004</v>
      </c>
      <c r="DP147" s="17">
        <f>DO147*VLOOKUP('Données projet'!$B$14,Paramètres!$A$1:$I$89,3,0)*VLOOKUP('Données projet'!$B$14,Paramètres!$A$1:$I$89,5,0)</f>
        <v>21.323484000000427</v>
      </c>
      <c r="DQ147" s="13">
        <f t="shared" si="151"/>
        <v>6.88226100850307</v>
      </c>
      <c r="DR147" s="20">
        <f t="shared" si="124"/>
        <v>49.125005889810261</v>
      </c>
      <c r="DS147" s="59">
        <f t="shared" si="125"/>
        <v>335.08287527110315</v>
      </c>
      <c r="DT147" s="59">
        <f ca="1">AVERAGE(OFFSET($DS$3,0,0,'Données projet'!$E$14+1,1))-AVERAGE(OFFSET($H$3,0,0,'Données projet'!$E$14+1,1))</f>
        <v>659.55755908012691</v>
      </c>
      <c r="DU147" s="59">
        <f t="shared" si="152"/>
        <v>343.96647464823627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254.81184859326672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254.81184859326672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19.8100000000004</v>
      </c>
      <c r="EK147" s="17">
        <f>EJ147*VLOOKUP('Données projet'!$B$15,Paramètres!$A$1:$I$89,3,0)*VLOOKUP('Données projet'!$B$15,Paramètres!$A$1:$I$89,5,0)</f>
        <v>19.160232000000388</v>
      </c>
      <c r="EL147" s="13">
        <f t="shared" si="153"/>
        <v>6.2615431735370342</v>
      </c>
      <c r="EM147" s="20">
        <f t="shared" si="127"/>
        <v>44.27625842724435</v>
      </c>
      <c r="EN147" s="59">
        <f t="shared" si="128"/>
        <v>330.23412780853721</v>
      </c>
      <c r="EO147" s="59">
        <f ca="1">AVERAGE(OFFSET($EN$3,0,0,'Données projet'!$E$15+1,1))-AVERAGE(OFFSET($H$3,0,0,'Données projet'!$E$15+1,1))</f>
        <v>600.96600099541388</v>
      </c>
      <c r="EP147" s="59">
        <f t="shared" si="154"/>
        <v>315.40159257508969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228.96137119974685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228.96137119974685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17.924088000000364</v>
      </c>
      <c r="P148" s="13">
        <f t="shared" si="141"/>
        <v>5.9032212091029486</v>
      </c>
      <c r="Q148" s="20">
        <f t="shared" si="108"/>
        <v>41.499230205854936</v>
      </c>
      <c r="R148" s="59">
        <f t="shared" si="109"/>
        <v>327.58504739764851</v>
      </c>
      <c r="S148" s="59">
        <f ca="1">AVERAGE(OFFSET($R$3,0,0,'Données projet'!$E$9+1,1))-AVERAGE(OFFSET($H$3,0,0,'Données projet'!$E$9+1,1))</f>
        <v>567.42635821336114</v>
      </c>
      <c r="T148" s="59">
        <f t="shared" si="142"/>
        <v>299.0473530693472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209.98954104941407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209.98954104941407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475.00000000000023</v>
      </c>
      <c r="AJ148" s="13">
        <f>AI148*VLOOKUP('Données projet'!$B$10,Paramètres!$A$1:$I$89,3,0)*VLOOKUP('Données projet'!$B$10,Paramètres!$A$1:$I$89,5,0)</f>
        <v>407.5500000000003</v>
      </c>
      <c r="AK148" s="13">
        <f t="shared" si="143"/>
        <v>93.305642095357683</v>
      </c>
      <c r="AL148" s="20">
        <f t="shared" si="112"/>
        <v>872.32357664941526</v>
      </c>
      <c r="AM148" s="59">
        <f t="shared" si="113"/>
        <v>1158.4093938412088</v>
      </c>
      <c r="AN148" s="59">
        <f ca="1">AVERAGE(OFFSET($AM$3,0,0,'Données projet'!$E$10+1,1))-AVERAGE(OFFSET($H$3,0,0,'Données projet'!$E$10+1,1))</f>
        <v>570.05585579662738</v>
      </c>
      <c r="AO148" s="59">
        <f t="shared" si="144"/>
        <v>331.25104323342907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74.494916325183397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74.494916325183397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16.750000000000213</v>
      </c>
      <c r="BE148" s="13">
        <f>BD148*VLOOKUP('Données projet'!$B$11,Paramètres!$A$1:$I$89,3,0)*VLOOKUP('Données projet'!$B$11,Paramètres!$A$1:$I$89,5,0)</f>
        <v>14.11020000000018</v>
      </c>
      <c r="BF148" s="13">
        <f t="shared" si="145"/>
        <v>4.7783677814795205</v>
      </c>
      <c r="BG148" s="20">
        <f t="shared" si="115"/>
        <v>32.897588886077138</v>
      </c>
      <c r="BH148" s="59">
        <f t="shared" si="116"/>
        <v>318.98340607787071</v>
      </c>
      <c r="BI148" s="59">
        <f ca="1">AVERAGE(OFFSET($BH$3,0,0,'Données projet'!$E$11+1,1))-AVERAGE(OFFSET($H$3,0,0,'Données projet'!$E$11+1,1))</f>
        <v>458.88102603650725</v>
      </c>
      <c r="BJ148" s="59">
        <f t="shared" si="146"/>
        <v>277.79020316059552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117.43682831204721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117.43682831204721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19.8100000000004</v>
      </c>
      <c r="BZ148" s="13">
        <f>BY148*VLOOKUP('Données projet'!$B$12,Paramètres!$A$1:$I$89,3,0)*VLOOKUP('Données projet'!$B$12,Paramètres!$A$1:$I$89,5,0)</f>
        <v>18.851196000000382</v>
      </c>
      <c r="CA148" s="13">
        <f t="shared" si="147"/>
        <v>6.172221809210666</v>
      </c>
      <c r="CB148" s="20">
        <f t="shared" si="118"/>
        <v>43.582452684375909</v>
      </c>
      <c r="CC148" s="59">
        <f t="shared" si="119"/>
        <v>329.66826987616946</v>
      </c>
      <c r="CD148" s="59">
        <f ca="1">AVERAGE(OFFSET($CC$3,0,0,'Données projet'!$E$12+1,1))-AVERAGE(OFFSET($H$3,0,0,'Données projet'!$E$12+1,1))</f>
        <v>592.58528888957346</v>
      </c>
      <c r="CE148" s="59">
        <f t="shared" si="148"/>
        <v>311.31528017256846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220.85106903472865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220.85106903472865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0.8600000000003547</v>
      </c>
      <c r="CU148" s="17">
        <f>CT148*VLOOKUP('Données projet'!$B$13,Paramètres!$A$1:$I$89,3,0)*VLOOKUP('Données projet'!$B$13,Paramètres!$A$1:$I$89,5,0)</f>
        <v>0.48074000000019829</v>
      </c>
      <c r="CV148" s="13">
        <f t="shared" si="149"/>
        <v>0.24126147010950588</v>
      </c>
      <c r="CW148" s="20">
        <f t="shared" si="121"/>
        <v>1.2574858937744013</v>
      </c>
      <c r="CX148" s="59">
        <f t="shared" si="122"/>
        <v>287.34330308556798</v>
      </c>
      <c r="CY148" s="59">
        <f ca="1">AVERAGE(OFFSET($CX$3,0,0,'Données projet'!$E$13+1,1))-AVERAGE(OFFSET($H$3,0,0,'Données projet'!$E$13+1,1))</f>
        <v>420.4890915162182</v>
      </c>
      <c r="CZ148" s="59">
        <f t="shared" si="150"/>
        <v>553.48432338023565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62.549001269272971</v>
      </c>
      <c r="DG148" s="21">
        <f>EXP(-LN(2)/25)*DG147+(1-EXP(-LN(2)/25))/(LN(2)/25)*Calculateur!DB148*Calculateur!DD148*VLOOKUP('Données projet'!$B$13,Paramètres!$A$1:$I$89,3,0)*0.475*44/12</f>
        <v>2.0852872767210902</v>
      </c>
      <c r="DH148" s="21">
        <f>EXP(-LN(2)/2)*DH147+(1-EXP(-LN(2)/2))/(LN(2)/2)*DB148*DE148*VLOOKUP('Données projet'!$B$13,Paramètres!$A$1:$I$89,3,0)*0.475*44/12</f>
        <v>3.6304488834588447E-18</v>
      </c>
      <c r="DI148" s="22">
        <f t="shared" si="123"/>
        <v>64.634288545994067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19.8100000000004</v>
      </c>
      <c r="DP148" s="17">
        <f>DO148*VLOOKUP('Données projet'!$B$14,Paramètres!$A$1:$I$89,3,0)*VLOOKUP('Données projet'!$B$14,Paramètres!$A$1:$I$89,5,0)</f>
        <v>21.323484000000427</v>
      </c>
      <c r="DQ148" s="13">
        <f t="shared" si="151"/>
        <v>6.88226100850307</v>
      </c>
      <c r="DR148" s="20">
        <f t="shared" si="124"/>
        <v>49.125005889810261</v>
      </c>
      <c r="DS148" s="59">
        <f t="shared" si="125"/>
        <v>335.21082308160385</v>
      </c>
      <c r="DT148" s="59">
        <f ca="1">AVERAGE(OFFSET($DS$3,0,0,'Données projet'!$E$14+1,1))-AVERAGE(OFFSET($H$3,0,0,'Données projet'!$E$14+1,1))</f>
        <v>659.55755908012691</v>
      </c>
      <c r="DU148" s="59">
        <f t="shared" si="152"/>
        <v>343.96647464823627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249.81514366223396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249.81514366223396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19.8100000000004</v>
      </c>
      <c r="EK148" s="17">
        <f>EJ148*VLOOKUP('Données projet'!$B$15,Paramètres!$A$1:$I$89,3,0)*VLOOKUP('Données projet'!$B$15,Paramètres!$A$1:$I$89,5,0)</f>
        <v>19.160232000000388</v>
      </c>
      <c r="EL148" s="13">
        <f t="shared" si="153"/>
        <v>6.2615431735370342</v>
      </c>
      <c r="EM148" s="20">
        <f t="shared" si="127"/>
        <v>44.27625842724435</v>
      </c>
      <c r="EN148" s="59">
        <f t="shared" si="128"/>
        <v>330.36207561903791</v>
      </c>
      <c r="EO148" s="59">
        <f ca="1">AVERAGE(OFFSET($EN$3,0,0,'Données projet'!$E$15+1,1))-AVERAGE(OFFSET($H$3,0,0,'Données projet'!$E$15+1,1))</f>
        <v>600.96600099541388</v>
      </c>
      <c r="EP148" s="59">
        <f t="shared" si="154"/>
        <v>315.40159257508969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224.47157836316669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224.47157836316669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17.924088000000364</v>
      </c>
      <c r="P149" s="13">
        <f t="shared" si="141"/>
        <v>5.9032212091029486</v>
      </c>
      <c r="Q149" s="20">
        <f t="shared" si="108"/>
        <v>41.499230205854936</v>
      </c>
      <c r="R149" s="59">
        <f t="shared" si="109"/>
        <v>327.71077559968558</v>
      </c>
      <c r="S149" s="59">
        <f ca="1">AVERAGE(OFFSET($R$3,0,0,'Données projet'!$E$9+1,1))-AVERAGE(OFFSET($H$3,0,0,'Données projet'!$E$9+1,1))</f>
        <v>567.42635821336114</v>
      </c>
      <c r="T149" s="59">
        <f t="shared" si="142"/>
        <v>299.0473530693472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205.87177423040816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205.87177423040816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475.00000000000023</v>
      </c>
      <c r="AJ149" s="13">
        <f>AI149*VLOOKUP('Données projet'!$B$10,Paramètres!$A$1:$I$89,3,0)*VLOOKUP('Données projet'!$B$10,Paramètres!$A$1:$I$89,5,0)</f>
        <v>407.5500000000003</v>
      </c>
      <c r="AK149" s="13">
        <f t="shared" si="143"/>
        <v>93.305642095357683</v>
      </c>
      <c r="AL149" s="20">
        <f t="shared" si="112"/>
        <v>872.32357664941526</v>
      </c>
      <c r="AM149" s="59">
        <f t="shared" si="113"/>
        <v>1158.5351220432458</v>
      </c>
      <c r="AN149" s="59">
        <f ca="1">AVERAGE(OFFSET($AM$3,0,0,'Données projet'!$E$10+1,1))-AVERAGE(OFFSET($H$3,0,0,'Données projet'!$E$10+1,1))</f>
        <v>570.05585579662738</v>
      </c>
      <c r="AO149" s="59">
        <f t="shared" si="144"/>
        <v>331.25104323342907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73.034116453458935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73.034116453458935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16.750000000000213</v>
      </c>
      <c r="BE149" s="13">
        <f>BD149*VLOOKUP('Données projet'!$B$11,Paramètres!$A$1:$I$89,3,0)*VLOOKUP('Données projet'!$B$11,Paramètres!$A$1:$I$89,5,0)</f>
        <v>14.11020000000018</v>
      </c>
      <c r="BF149" s="13">
        <f t="shared" si="145"/>
        <v>4.7783677814795205</v>
      </c>
      <c r="BG149" s="20">
        <f t="shared" si="115"/>
        <v>32.897588886077138</v>
      </c>
      <c r="BH149" s="59">
        <f t="shared" si="116"/>
        <v>319.10913427990778</v>
      </c>
      <c r="BI149" s="59">
        <f ca="1">AVERAGE(OFFSET($BH$3,0,0,'Données projet'!$E$11+1,1))-AVERAGE(OFFSET($H$3,0,0,'Données projet'!$E$11+1,1))</f>
        <v>458.88102603650725</v>
      </c>
      <c r="BJ149" s="59">
        <f t="shared" si="146"/>
        <v>277.79020316059552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115.13396373824042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115.13396373824042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19.8100000000004</v>
      </c>
      <c r="BZ149" s="13">
        <f>BY149*VLOOKUP('Données projet'!$B$12,Paramètres!$A$1:$I$89,3,0)*VLOOKUP('Données projet'!$B$12,Paramètres!$A$1:$I$89,5,0)</f>
        <v>18.851196000000382</v>
      </c>
      <c r="CA149" s="13">
        <f t="shared" si="147"/>
        <v>6.172221809210666</v>
      </c>
      <c r="CB149" s="20">
        <f t="shared" si="118"/>
        <v>43.582452684375909</v>
      </c>
      <c r="CC149" s="59">
        <f t="shared" si="119"/>
        <v>329.79399807820653</v>
      </c>
      <c r="CD149" s="59">
        <f ca="1">AVERAGE(OFFSET($CC$3,0,0,'Données projet'!$E$12+1,1))-AVERAGE(OFFSET($H$3,0,0,'Données projet'!$E$12+1,1))</f>
        <v>592.58528888957346</v>
      </c>
      <c r="CE149" s="59">
        <f t="shared" si="148"/>
        <v>311.31528017256846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216.52031427680865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216.52031427680865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0.8600000000003547</v>
      </c>
      <c r="CU149" s="17">
        <f>CT149*VLOOKUP('Données projet'!$B$13,Paramètres!$A$1:$I$89,3,0)*VLOOKUP('Données projet'!$B$13,Paramètres!$A$1:$I$89,5,0)</f>
        <v>0.48074000000019829</v>
      </c>
      <c r="CV149" s="13">
        <f t="shared" si="149"/>
        <v>0.24126147010950588</v>
      </c>
      <c r="CW149" s="20">
        <f t="shared" si="121"/>
        <v>1.2574858937744013</v>
      </c>
      <c r="CX149" s="59">
        <f t="shared" si="122"/>
        <v>287.46903128760505</v>
      </c>
      <c r="CY149" s="59">
        <f ca="1">AVERAGE(OFFSET($CX$3,0,0,'Données projet'!$E$13+1,1))-AVERAGE(OFFSET($H$3,0,0,'Données projet'!$E$13+1,1))</f>
        <v>420.4890915162182</v>
      </c>
      <c r="CZ149" s="59">
        <f t="shared" si="150"/>
        <v>553.48432338023565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61.322453505506189</v>
      </c>
      <c r="DG149" s="21">
        <f>EXP(-LN(2)/25)*DG148+(1-EXP(-LN(2)/25))/(LN(2)/25)*Calculateur!DB149*Calculateur!DD149*VLOOKUP('Données projet'!$B$13,Paramètres!$A$1:$I$89,3,0)*0.475*44/12</f>
        <v>2.0282649864786602</v>
      </c>
      <c r="DH149" s="21">
        <f>EXP(-LN(2)/2)*DH148+(1-EXP(-LN(2)/2))/(LN(2)/2)*DB149*DE149*VLOOKUP('Données projet'!$B$13,Paramètres!$A$1:$I$89,3,0)*0.475*44/12</f>
        <v>2.5671150242448792E-18</v>
      </c>
      <c r="DI149" s="22">
        <f t="shared" si="123"/>
        <v>63.35071849198485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19.8100000000004</v>
      </c>
      <c r="DP149" s="17">
        <f>DO149*VLOOKUP('Données projet'!$B$14,Paramètres!$A$1:$I$89,3,0)*VLOOKUP('Données projet'!$B$14,Paramètres!$A$1:$I$89,5,0)</f>
        <v>21.323484000000427</v>
      </c>
      <c r="DQ149" s="13">
        <f t="shared" si="151"/>
        <v>6.88226100850307</v>
      </c>
      <c r="DR149" s="20">
        <f t="shared" si="124"/>
        <v>49.125005889810261</v>
      </c>
      <c r="DS149" s="59">
        <f t="shared" si="125"/>
        <v>335.33655128364092</v>
      </c>
      <c r="DT149" s="59">
        <f ca="1">AVERAGE(OFFSET($DS$3,0,0,'Données projet'!$E$14+1,1))-AVERAGE(OFFSET($H$3,0,0,'Données projet'!$E$14+1,1))</f>
        <v>659.55755908012691</v>
      </c>
      <c r="DU149" s="59">
        <f t="shared" si="152"/>
        <v>343.96647464823627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244.91642106720968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244.91642106720968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19.8100000000004</v>
      </c>
      <c r="EK149" s="17">
        <f>EJ149*VLOOKUP('Données projet'!$B$15,Paramètres!$A$1:$I$89,3,0)*VLOOKUP('Données projet'!$B$15,Paramètres!$A$1:$I$89,5,0)</f>
        <v>19.160232000000388</v>
      </c>
      <c r="EL149" s="13">
        <f t="shared" si="153"/>
        <v>6.2615431735370342</v>
      </c>
      <c r="EM149" s="20">
        <f t="shared" si="127"/>
        <v>44.27625842724435</v>
      </c>
      <c r="EN149" s="59">
        <f t="shared" si="128"/>
        <v>330.48780382107498</v>
      </c>
      <c r="EO149" s="59">
        <f ca="1">AVERAGE(OFFSET($EN$3,0,0,'Données projet'!$E$15+1,1))-AVERAGE(OFFSET($H$3,0,0,'Données projet'!$E$15+1,1))</f>
        <v>600.96600099541388</v>
      </c>
      <c r="EP149" s="59">
        <f t="shared" si="154"/>
        <v>315.40159257508969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220.06982762560864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220.06982762560864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17.924088000000364</v>
      </c>
      <c r="P150" s="13">
        <f t="shared" si="141"/>
        <v>5.9032212091029486</v>
      </c>
      <c r="Q150" s="20">
        <f t="shared" si="108"/>
        <v>41.499230205854936</v>
      </c>
      <c r="R150" s="59">
        <f t="shared" si="109"/>
        <v>327.83432269850334</v>
      </c>
      <c r="S150" s="59">
        <f ca="1">AVERAGE(OFFSET($R$3,0,0,'Données projet'!$E$9+1,1))-AVERAGE(OFFSET($H$3,0,0,'Données projet'!$E$9+1,1))</f>
        <v>567.42635821336114</v>
      </c>
      <c r="T150" s="59">
        <f t="shared" si="142"/>
        <v>299.0473530693472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201.83475430713318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201.83475430713318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475.00000000000023</v>
      </c>
      <c r="AJ150" s="13">
        <f>AI150*VLOOKUP('Données projet'!$B$10,Paramètres!$A$1:$I$89,3,0)*VLOOKUP('Données projet'!$B$10,Paramètres!$A$1:$I$89,5,0)</f>
        <v>407.5500000000003</v>
      </c>
      <c r="AK150" s="13">
        <f t="shared" si="143"/>
        <v>93.305642095357683</v>
      </c>
      <c r="AL150" s="20">
        <f t="shared" si="112"/>
        <v>872.32357664941526</v>
      </c>
      <c r="AM150" s="59">
        <f t="shared" si="113"/>
        <v>1158.6586691420637</v>
      </c>
      <c r="AN150" s="59">
        <f ca="1">AVERAGE(OFFSET($AM$3,0,0,'Données projet'!$E$10+1,1))-AVERAGE(OFFSET($H$3,0,0,'Données projet'!$E$10+1,1))</f>
        <v>570.05585579662738</v>
      </c>
      <c r="AO150" s="59">
        <f t="shared" si="144"/>
        <v>331.25104323342907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71.601961976219044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71.601961976219044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16.750000000000213</v>
      </c>
      <c r="BE150" s="13">
        <f>BD150*VLOOKUP('Données projet'!$B$11,Paramètres!$A$1:$I$89,3,0)*VLOOKUP('Données projet'!$B$11,Paramètres!$A$1:$I$89,5,0)</f>
        <v>14.11020000000018</v>
      </c>
      <c r="BF150" s="13">
        <f t="shared" si="145"/>
        <v>4.7783677814795205</v>
      </c>
      <c r="BG150" s="20">
        <f t="shared" si="115"/>
        <v>32.897588886077138</v>
      </c>
      <c r="BH150" s="59">
        <f t="shared" si="116"/>
        <v>319.23268137872554</v>
      </c>
      <c r="BI150" s="59">
        <f ca="1">AVERAGE(OFFSET($BH$3,0,0,'Données projet'!$E$11+1,1))-AVERAGE(OFFSET($H$3,0,0,'Données projet'!$E$11+1,1))</f>
        <v>458.88102603650725</v>
      </c>
      <c r="BJ150" s="59">
        <f t="shared" si="146"/>
        <v>277.79020316059552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112.87625693411729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112.87625693411729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19.8100000000004</v>
      </c>
      <c r="BZ150" s="13">
        <f>BY150*VLOOKUP('Données projet'!$B$12,Paramètres!$A$1:$I$89,3,0)*VLOOKUP('Données projet'!$B$12,Paramètres!$A$1:$I$89,5,0)</f>
        <v>18.851196000000382</v>
      </c>
      <c r="CA150" s="13">
        <f t="shared" si="147"/>
        <v>6.172221809210666</v>
      </c>
      <c r="CB150" s="20">
        <f t="shared" si="118"/>
        <v>43.582452684375909</v>
      </c>
      <c r="CC150" s="59">
        <f t="shared" si="119"/>
        <v>329.91754517702429</v>
      </c>
      <c r="CD150" s="59">
        <f ca="1">AVERAGE(OFFSET($CC$3,0,0,'Données projet'!$E$12+1,1))-AVERAGE(OFFSET($H$3,0,0,'Données projet'!$E$12+1,1))</f>
        <v>592.58528888957346</v>
      </c>
      <c r="CE150" s="59">
        <f t="shared" si="148"/>
        <v>311.31528017256846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212.27448297819186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212.27448297819186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0.8600000000003547</v>
      </c>
      <c r="CU150" s="17">
        <f>CT150*VLOOKUP('Données projet'!$B$13,Paramètres!$A$1:$I$89,3,0)*VLOOKUP('Données projet'!$B$13,Paramètres!$A$1:$I$89,5,0)</f>
        <v>0.48074000000019829</v>
      </c>
      <c r="CV150" s="13">
        <f t="shared" si="149"/>
        <v>0.24126147010950588</v>
      </c>
      <c r="CW150" s="20">
        <f t="shared" si="121"/>
        <v>1.2574858937744013</v>
      </c>
      <c r="CX150" s="59">
        <f t="shared" si="122"/>
        <v>287.59257838642282</v>
      </c>
      <c r="CY150" s="59">
        <f ca="1">AVERAGE(OFFSET($CX$3,0,0,'Données projet'!$E$13+1,1))-AVERAGE(OFFSET($H$3,0,0,'Données projet'!$E$13+1,1))</f>
        <v>420.4890915162182</v>
      </c>
      <c r="CZ150" s="59">
        <f t="shared" si="150"/>
        <v>553.48432338023565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60.119957595266612</v>
      </c>
      <c r="DG150" s="21">
        <f>EXP(-LN(2)/25)*DG149+(1-EXP(-LN(2)/25))/(LN(2)/25)*Calculateur!DB150*Calculateur!DD150*VLOOKUP('Données projet'!$B$13,Paramètres!$A$1:$I$89,3,0)*0.475*44/12</f>
        <v>1.9728019737615812</v>
      </c>
      <c r="DH150" s="21">
        <f>EXP(-LN(2)/2)*DH149+(1-EXP(-LN(2)/2))/(LN(2)/2)*DB150*DE150*VLOOKUP('Données projet'!$B$13,Paramètres!$A$1:$I$89,3,0)*0.475*44/12</f>
        <v>1.8152244417294224E-18</v>
      </c>
      <c r="DI150" s="22">
        <f t="shared" si="123"/>
        <v>62.092759569028196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19.8100000000004</v>
      </c>
      <c r="DP150" s="17">
        <f>DO150*VLOOKUP('Données projet'!$B$14,Paramètres!$A$1:$I$89,3,0)*VLOOKUP('Données projet'!$B$14,Paramètres!$A$1:$I$89,5,0)</f>
        <v>21.323484000000427</v>
      </c>
      <c r="DQ150" s="13">
        <f t="shared" si="151"/>
        <v>6.88226100850307</v>
      </c>
      <c r="DR150" s="20">
        <f t="shared" si="124"/>
        <v>49.125005889810261</v>
      </c>
      <c r="DS150" s="59">
        <f t="shared" si="125"/>
        <v>335.46009838245868</v>
      </c>
      <c r="DT150" s="59">
        <f ca="1">AVERAGE(OFFSET($DS$3,0,0,'Données projet'!$E$14+1,1))-AVERAGE(OFFSET($H$3,0,0,'Données projet'!$E$14+1,1))</f>
        <v>659.55755908012691</v>
      </c>
      <c r="DU150" s="59">
        <f t="shared" si="152"/>
        <v>343.96647464823627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240.11375943434808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240.11375943434808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19.8100000000004</v>
      </c>
      <c r="EK150" s="17">
        <f>EJ150*VLOOKUP('Données projet'!$B$15,Paramètres!$A$1:$I$89,3,0)*VLOOKUP('Données projet'!$B$15,Paramètres!$A$1:$I$89,5,0)</f>
        <v>19.160232000000388</v>
      </c>
      <c r="EL150" s="13">
        <f t="shared" si="153"/>
        <v>6.2615431735370342</v>
      </c>
      <c r="EM150" s="20">
        <f t="shared" si="127"/>
        <v>44.27625842724435</v>
      </c>
      <c r="EN150" s="59">
        <f t="shared" si="128"/>
        <v>330.61135091989274</v>
      </c>
      <c r="EO150" s="59">
        <f ca="1">AVERAGE(OFFSET($EN$3,0,0,'Données projet'!$E$15+1,1))-AVERAGE(OFFSET($H$3,0,0,'Données projet'!$E$15+1,1))</f>
        <v>600.96600099541388</v>
      </c>
      <c r="EP150" s="59">
        <f t="shared" si="154"/>
        <v>315.40159257508969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215.75439253521125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215.75439253521125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17.924088000000364</v>
      </c>
      <c r="P151" s="13">
        <f t="shared" si="141"/>
        <v>5.9032212091029486</v>
      </c>
      <c r="Q151" s="20">
        <f t="shared" si="108"/>
        <v>41.499230205854936</v>
      </c>
      <c r="R151" s="59">
        <f t="shared" si="109"/>
        <v>327.95572653136662</v>
      </c>
      <c r="S151" s="59">
        <f ca="1">AVERAGE(OFFSET($R$3,0,0,'Données projet'!$E$9+1,1))-AVERAGE(OFFSET($H$3,0,0,'Données projet'!$E$9+1,1))</f>
        <v>567.42635821336114</v>
      </c>
      <c r="T151" s="59">
        <f t="shared" si="142"/>
        <v>299.0473530693472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197.87689788221462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197.87689788221462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475.00000000000023</v>
      </c>
      <c r="AJ151" s="13">
        <f>AI151*VLOOKUP('Données projet'!$B$10,Paramètres!$A$1:$I$89,3,0)*VLOOKUP('Données projet'!$B$10,Paramètres!$A$1:$I$89,5,0)</f>
        <v>407.5500000000003</v>
      </c>
      <c r="AK151" s="13">
        <f t="shared" si="143"/>
        <v>93.305642095357683</v>
      </c>
      <c r="AL151" s="20">
        <f t="shared" si="112"/>
        <v>872.32357664941526</v>
      </c>
      <c r="AM151" s="59">
        <f t="shared" si="113"/>
        <v>1158.780072974927</v>
      </c>
      <c r="AN151" s="59">
        <f ca="1">AVERAGE(OFFSET($AM$3,0,0,'Données projet'!$E$10+1,1))-AVERAGE(OFFSET($H$3,0,0,'Données projet'!$E$10+1,1))</f>
        <v>570.05585579662738</v>
      </c>
      <c r="AO151" s="59">
        <f t="shared" si="144"/>
        <v>331.25104323342907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70.197891174749856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70.197891174749856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16.750000000000213</v>
      </c>
      <c r="BE151" s="13">
        <f>BD151*VLOOKUP('Données projet'!$B$11,Paramètres!$A$1:$I$89,3,0)*VLOOKUP('Données projet'!$B$11,Paramètres!$A$1:$I$89,5,0)</f>
        <v>14.11020000000018</v>
      </c>
      <c r="BF151" s="13">
        <f t="shared" si="145"/>
        <v>4.7783677814795205</v>
      </c>
      <c r="BG151" s="20">
        <f t="shared" si="115"/>
        <v>32.897588886077138</v>
      </c>
      <c r="BH151" s="59">
        <f t="shared" si="116"/>
        <v>319.35408521158882</v>
      </c>
      <c r="BI151" s="59">
        <f ca="1">AVERAGE(OFFSET($BH$3,0,0,'Données projet'!$E$11+1,1))-AVERAGE(OFFSET($H$3,0,0,'Données projet'!$E$11+1,1))</f>
        <v>458.88102603650725</v>
      </c>
      <c r="BJ151" s="59">
        <f t="shared" si="146"/>
        <v>277.79020316059552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110.66282238335783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110.66282238335783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19.8100000000004</v>
      </c>
      <c r="BZ151" s="13">
        <f>BY151*VLOOKUP('Données projet'!$B$12,Paramètres!$A$1:$I$89,3,0)*VLOOKUP('Données projet'!$B$12,Paramètres!$A$1:$I$89,5,0)</f>
        <v>18.851196000000382</v>
      </c>
      <c r="CA151" s="13">
        <f t="shared" si="147"/>
        <v>6.172221809210666</v>
      </c>
      <c r="CB151" s="20">
        <f t="shared" si="118"/>
        <v>43.582452684375909</v>
      </c>
      <c r="CC151" s="59">
        <f t="shared" si="119"/>
        <v>330.03894900988757</v>
      </c>
      <c r="CD151" s="59">
        <f ca="1">AVERAGE(OFFSET($CC$3,0,0,'Données projet'!$E$12+1,1))-AVERAGE(OFFSET($H$3,0,0,'Données projet'!$E$12+1,1))</f>
        <v>592.58528888957346</v>
      </c>
      <c r="CE151" s="59">
        <f t="shared" si="148"/>
        <v>311.31528017256846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208.11190984163957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208.11190984163957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0.8600000000003547</v>
      </c>
      <c r="CU151" s="17">
        <f>CT151*VLOOKUP('Données projet'!$B$13,Paramètres!$A$1:$I$89,3,0)*VLOOKUP('Données projet'!$B$13,Paramètres!$A$1:$I$89,5,0)</f>
        <v>0.48074000000019829</v>
      </c>
      <c r="CV151" s="13">
        <f t="shared" si="149"/>
        <v>0.24126147010950588</v>
      </c>
      <c r="CW151" s="20">
        <f t="shared" si="121"/>
        <v>1.2574858937744013</v>
      </c>
      <c r="CX151" s="59">
        <f t="shared" si="122"/>
        <v>287.71398221928609</v>
      </c>
      <c r="CY151" s="59">
        <f ca="1">AVERAGE(OFFSET($CX$3,0,0,'Données projet'!$E$13+1,1))-AVERAGE(OFFSET($H$3,0,0,'Données projet'!$E$13+1,1))</f>
        <v>420.4890915162182</v>
      </c>
      <c r="CZ151" s="59">
        <f t="shared" si="150"/>
        <v>553.48432338023565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58.941041896376753</v>
      </c>
      <c r="DG151" s="21">
        <f>EXP(-LN(2)/25)*DG150+(1-EXP(-LN(2)/25))/(LN(2)/25)*Calculateur!DB151*Calculateur!DD151*VLOOKUP('Données projet'!$B$13,Paramètres!$A$1:$I$89,3,0)*0.475*44/12</f>
        <v>1.9188556000439239</v>
      </c>
      <c r="DH151" s="21">
        <f>EXP(-LN(2)/2)*DH150+(1-EXP(-LN(2)/2))/(LN(2)/2)*DB151*DE151*VLOOKUP('Données projet'!$B$13,Paramètres!$A$1:$I$89,3,0)*0.475*44/12</f>
        <v>1.2835575121224396E-18</v>
      </c>
      <c r="DI151" s="22">
        <f t="shared" si="123"/>
        <v>60.859897496420679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19.8100000000004</v>
      </c>
      <c r="DP151" s="17">
        <f>DO151*VLOOKUP('Données projet'!$B$14,Paramètres!$A$1:$I$89,3,0)*VLOOKUP('Données projet'!$B$14,Paramètres!$A$1:$I$89,5,0)</f>
        <v>21.323484000000427</v>
      </c>
      <c r="DQ151" s="13">
        <f t="shared" si="151"/>
        <v>6.88226100850307</v>
      </c>
      <c r="DR151" s="20">
        <f t="shared" si="124"/>
        <v>49.125005889810261</v>
      </c>
      <c r="DS151" s="59">
        <f t="shared" si="125"/>
        <v>335.58150221532196</v>
      </c>
      <c r="DT151" s="59">
        <f ca="1">AVERAGE(OFFSET($DS$3,0,0,'Données projet'!$E$14+1,1))-AVERAGE(OFFSET($H$3,0,0,'Données projet'!$E$14+1,1))</f>
        <v>659.55755908012691</v>
      </c>
      <c r="DU151" s="59">
        <f t="shared" si="152"/>
        <v>343.96647464823627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235.40527506677256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235.40527506677256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19.8100000000004</v>
      </c>
      <c r="EK151" s="17">
        <f>EJ151*VLOOKUP('Données projet'!$B$15,Paramètres!$A$1:$I$89,3,0)*VLOOKUP('Données projet'!$B$15,Paramètres!$A$1:$I$89,5,0)</f>
        <v>19.160232000000388</v>
      </c>
      <c r="EL151" s="13">
        <f t="shared" si="153"/>
        <v>6.2615431735370342</v>
      </c>
      <c r="EM151" s="20">
        <f t="shared" si="127"/>
        <v>44.27625842724435</v>
      </c>
      <c r="EN151" s="59">
        <f t="shared" si="128"/>
        <v>330.73275475275602</v>
      </c>
      <c r="EO151" s="59">
        <f ca="1">AVERAGE(OFFSET($EN$3,0,0,'Données projet'!$E$15+1,1))-AVERAGE(OFFSET($H$3,0,0,'Données projet'!$E$15+1,1))</f>
        <v>600.96600099541388</v>
      </c>
      <c r="EP151" s="59">
        <f t="shared" si="154"/>
        <v>315.40159257508969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211.52358049478107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211.52358049478107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17.924088000000364</v>
      </c>
      <c r="P152" s="13">
        <f t="shared" si="141"/>
        <v>5.9032212091029486</v>
      </c>
      <c r="Q152" s="20">
        <f t="shared" si="108"/>
        <v>41.499230205854936</v>
      </c>
      <c r="R152" s="59">
        <f t="shared" si="109"/>
        <v>328.07502427914801</v>
      </c>
      <c r="S152" s="59">
        <f ca="1">AVERAGE(OFFSET($R$3,0,0,'Données projet'!$E$9+1,1))-AVERAGE(OFFSET($H$3,0,0,'Données projet'!$E$9+1,1))</f>
        <v>567.42635821336114</v>
      </c>
      <c r="T152" s="59">
        <f t="shared" si="142"/>
        <v>299.0473530693472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193.99665260773466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193.99665260773466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475.00000000000023</v>
      </c>
      <c r="AJ152" s="13">
        <f>AI152*VLOOKUP('Données projet'!$B$10,Paramètres!$A$1:$I$89,3,0)*VLOOKUP('Données projet'!$B$10,Paramètres!$A$1:$I$89,5,0)</f>
        <v>407.5500000000003</v>
      </c>
      <c r="AK152" s="13">
        <f t="shared" si="143"/>
        <v>93.305642095357683</v>
      </c>
      <c r="AL152" s="20">
        <f t="shared" si="112"/>
        <v>872.32357664941526</v>
      </c>
      <c r="AM152" s="59">
        <f t="shared" si="113"/>
        <v>1158.8993707227082</v>
      </c>
      <c r="AN152" s="59">
        <f ca="1">AVERAGE(OFFSET($AM$3,0,0,'Données projet'!$E$10+1,1))-AVERAGE(OFFSET($H$3,0,0,'Données projet'!$E$10+1,1))</f>
        <v>570.05585579662738</v>
      </c>
      <c r="AO152" s="59">
        <f t="shared" si="144"/>
        <v>331.25104323342907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68.821353345298846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68.821353345298846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16.750000000000213</v>
      </c>
      <c r="BE152" s="13">
        <f>BD152*VLOOKUP('Données projet'!$B$11,Paramètres!$A$1:$I$89,3,0)*VLOOKUP('Données projet'!$B$11,Paramètres!$A$1:$I$89,5,0)</f>
        <v>14.11020000000018</v>
      </c>
      <c r="BF152" s="13">
        <f t="shared" si="145"/>
        <v>4.7783677814795205</v>
      </c>
      <c r="BG152" s="20">
        <f t="shared" si="115"/>
        <v>32.897588886077138</v>
      </c>
      <c r="BH152" s="59">
        <f t="shared" si="116"/>
        <v>319.47338295937021</v>
      </c>
      <c r="BI152" s="59">
        <f ca="1">AVERAGE(OFFSET($BH$3,0,0,'Données projet'!$E$11+1,1))-AVERAGE(OFFSET($H$3,0,0,'Données projet'!$E$11+1,1))</f>
        <v>458.88102603650725</v>
      </c>
      <c r="BJ152" s="59">
        <f t="shared" si="146"/>
        <v>277.79020316059552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108.492791934077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108.492791934077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19.8100000000004</v>
      </c>
      <c r="BZ152" s="13">
        <f>BY152*VLOOKUP('Données projet'!$B$12,Paramètres!$A$1:$I$89,3,0)*VLOOKUP('Données projet'!$B$12,Paramètres!$A$1:$I$89,5,0)</f>
        <v>18.851196000000382</v>
      </c>
      <c r="CA152" s="13">
        <f t="shared" si="147"/>
        <v>6.172221809210666</v>
      </c>
      <c r="CB152" s="20">
        <f t="shared" si="118"/>
        <v>43.582452684375909</v>
      </c>
      <c r="CC152" s="59">
        <f t="shared" si="119"/>
        <v>330.15824675766896</v>
      </c>
      <c r="CD152" s="59">
        <f ca="1">AVERAGE(OFFSET($CC$3,0,0,'Données projet'!$E$12+1,1))-AVERAGE(OFFSET($H$3,0,0,'Données projet'!$E$12+1,1))</f>
        <v>592.58528888957346</v>
      </c>
      <c r="CE152" s="59">
        <f t="shared" si="148"/>
        <v>311.31528017256846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204.03096222537616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204.03096222537616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0.8600000000003547</v>
      </c>
      <c r="CU152" s="17">
        <f>CT152*VLOOKUP('Données projet'!$B$13,Paramètres!$A$1:$I$89,3,0)*VLOOKUP('Données projet'!$B$13,Paramètres!$A$1:$I$89,5,0)</f>
        <v>0.48074000000019829</v>
      </c>
      <c r="CV152" s="13">
        <f t="shared" si="149"/>
        <v>0.24126147010950588</v>
      </c>
      <c r="CW152" s="20">
        <f t="shared" si="121"/>
        <v>1.2574858937744013</v>
      </c>
      <c r="CX152" s="59">
        <f t="shared" si="122"/>
        <v>287.83327996706748</v>
      </c>
      <c r="CY152" s="59">
        <f ca="1">AVERAGE(OFFSET($CX$3,0,0,'Données projet'!$E$13+1,1))-AVERAGE(OFFSET($H$3,0,0,'Données projet'!$E$13+1,1))</f>
        <v>420.4890915162182</v>
      </c>
      <c r="CZ152" s="59">
        <f t="shared" si="150"/>
        <v>553.48432338023565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57.785244015274543</v>
      </c>
      <c r="DG152" s="21">
        <f>EXP(-LN(2)/25)*DG151+(1-EXP(-LN(2)/25))/(LN(2)/25)*Calculateur!DB152*Calculateur!DD152*VLOOKUP('Données projet'!$B$13,Paramètres!$A$1:$I$89,3,0)*0.475*44/12</f>
        <v>1.8663843927524923</v>
      </c>
      <c r="DH152" s="21">
        <f>EXP(-LN(2)/2)*DH151+(1-EXP(-LN(2)/2))/(LN(2)/2)*DB152*DE152*VLOOKUP('Données projet'!$B$13,Paramètres!$A$1:$I$89,3,0)*0.475*44/12</f>
        <v>9.0761222086471118E-19</v>
      </c>
      <c r="DI152" s="22">
        <f t="shared" si="123"/>
        <v>59.651628408027037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19.8100000000004</v>
      </c>
      <c r="DP152" s="17">
        <f>DO152*VLOOKUP('Données projet'!$B$14,Paramètres!$A$1:$I$89,3,0)*VLOOKUP('Données projet'!$B$14,Paramètres!$A$1:$I$89,5,0)</f>
        <v>21.323484000000427</v>
      </c>
      <c r="DQ152" s="13">
        <f t="shared" si="151"/>
        <v>6.88226100850307</v>
      </c>
      <c r="DR152" s="20">
        <f t="shared" si="124"/>
        <v>49.125005889810261</v>
      </c>
      <c r="DS152" s="59">
        <f t="shared" si="125"/>
        <v>335.70079996310335</v>
      </c>
      <c r="DT152" s="59">
        <f ca="1">AVERAGE(OFFSET($DS$3,0,0,'Données projet'!$E$14+1,1))-AVERAGE(OFFSET($H$3,0,0,'Données projet'!$E$14+1,1))</f>
        <v>659.55755908012691</v>
      </c>
      <c r="DU152" s="59">
        <f t="shared" si="152"/>
        <v>343.96647464823627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230.7891212057533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230.7891212057533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19.8100000000004</v>
      </c>
      <c r="EK152" s="17">
        <f>EJ152*VLOOKUP('Données projet'!$B$15,Paramètres!$A$1:$I$89,3,0)*VLOOKUP('Données projet'!$B$15,Paramètres!$A$1:$I$89,5,0)</f>
        <v>19.160232000000388</v>
      </c>
      <c r="EL152" s="13">
        <f t="shared" si="153"/>
        <v>6.2615431735370342</v>
      </c>
      <c r="EM152" s="20">
        <f t="shared" si="127"/>
        <v>44.27625842724435</v>
      </c>
      <c r="EN152" s="59">
        <f t="shared" si="128"/>
        <v>330.85205250053741</v>
      </c>
      <c r="EO152" s="59">
        <f ca="1">AVERAGE(OFFSET($EN$3,0,0,'Données projet'!$E$15+1,1))-AVERAGE(OFFSET($H$3,0,0,'Données projet'!$E$15+1,1))</f>
        <v>600.96600099541388</v>
      </c>
      <c r="EP152" s="59">
        <f t="shared" si="154"/>
        <v>315.40159257508969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207.37573209792319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207.37573209792319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17.924088000000364</v>
      </c>
      <c r="P153" s="13">
        <f t="shared" si="141"/>
        <v>5.9032212091029486</v>
      </c>
      <c r="Q153" s="20">
        <f t="shared" si="108"/>
        <v>41.499230205854936</v>
      </c>
      <c r="R153" s="59">
        <f t="shared" si="109"/>
        <v>328.19225247771527</v>
      </c>
      <c r="S153" s="59">
        <f ca="1">AVERAGE(OFFSET($R$3,0,0,'Données projet'!$E$9+1,1))-AVERAGE(OFFSET($H$3,0,0,'Données projet'!$E$9+1,1))</f>
        <v>567.42635821336114</v>
      </c>
      <c r="T153" s="59">
        <f t="shared" si="142"/>
        <v>299.0473530693472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190.19249657637133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190.19249657637133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475.00000000000023</v>
      </c>
      <c r="AJ153" s="13">
        <f>AI153*VLOOKUP('Données projet'!$B$10,Paramètres!$A$1:$I$89,3,0)*VLOOKUP('Données projet'!$B$10,Paramètres!$A$1:$I$89,5,0)</f>
        <v>407.5500000000003</v>
      </c>
      <c r="AK153" s="13">
        <f t="shared" si="143"/>
        <v>93.305642095357683</v>
      </c>
      <c r="AL153" s="20">
        <f t="shared" si="112"/>
        <v>872.32357664941526</v>
      </c>
      <c r="AM153" s="59">
        <f t="shared" si="113"/>
        <v>1159.0165989212755</v>
      </c>
      <c r="AN153" s="59">
        <f ca="1">AVERAGE(OFFSET($AM$3,0,0,'Données projet'!$E$10+1,1))-AVERAGE(OFFSET($H$3,0,0,'Données projet'!$E$10+1,1))</f>
        <v>570.05585579662738</v>
      </c>
      <c r="AO153" s="59">
        <f t="shared" si="144"/>
        <v>331.25104323342907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67.4718085830782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67.4718085830782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16.750000000000213</v>
      </c>
      <c r="BE153" s="13">
        <f>BD153*VLOOKUP('Données projet'!$B$11,Paramètres!$A$1:$I$89,3,0)*VLOOKUP('Données projet'!$B$11,Paramètres!$A$1:$I$89,5,0)</f>
        <v>14.11020000000018</v>
      </c>
      <c r="BF153" s="13">
        <f t="shared" si="145"/>
        <v>4.7783677814795205</v>
      </c>
      <c r="BG153" s="20">
        <f t="shared" si="115"/>
        <v>32.897588886077138</v>
      </c>
      <c r="BH153" s="59">
        <f t="shared" si="116"/>
        <v>319.59061115793747</v>
      </c>
      <c r="BI153" s="59">
        <f ca="1">AVERAGE(OFFSET($BH$3,0,0,'Données projet'!$E$11+1,1))-AVERAGE(OFFSET($H$3,0,0,'Données projet'!$E$11+1,1))</f>
        <v>458.88102603650725</v>
      </c>
      <c r="BJ153" s="59">
        <f t="shared" si="146"/>
        <v>277.79020316059552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106.36531445831869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106.36531445831869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19.8100000000004</v>
      </c>
      <c r="BZ153" s="13">
        <f>BY153*VLOOKUP('Données projet'!$B$12,Paramètres!$A$1:$I$89,3,0)*VLOOKUP('Données projet'!$B$12,Paramètres!$A$1:$I$89,5,0)</f>
        <v>18.851196000000382</v>
      </c>
      <c r="CA153" s="13">
        <f t="shared" si="147"/>
        <v>6.172221809210666</v>
      </c>
      <c r="CB153" s="20">
        <f t="shared" si="118"/>
        <v>43.582452684375909</v>
      </c>
      <c r="CC153" s="59">
        <f t="shared" si="119"/>
        <v>330.27547495623628</v>
      </c>
      <c r="CD153" s="59">
        <f ca="1">AVERAGE(OFFSET($CC$3,0,0,'Données projet'!$E$12+1,1))-AVERAGE(OFFSET($H$3,0,0,'Données projet'!$E$12+1,1))</f>
        <v>592.58528888957346</v>
      </c>
      <c r="CE153" s="59">
        <f t="shared" si="148"/>
        <v>311.31528017256846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200.03003950273541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200.03003950273541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0.8600000000003547</v>
      </c>
      <c r="CU153" s="17">
        <f>CT153*VLOOKUP('Données projet'!$B$13,Paramètres!$A$1:$I$89,3,0)*VLOOKUP('Données projet'!$B$13,Paramètres!$A$1:$I$89,5,0)</f>
        <v>0.48074000000019829</v>
      </c>
      <c r="CV153" s="13">
        <f t="shared" si="149"/>
        <v>0.24126147010950588</v>
      </c>
      <c r="CW153" s="20">
        <f t="shared" si="121"/>
        <v>1.2574858937744013</v>
      </c>
      <c r="CX153" s="59">
        <f t="shared" si="122"/>
        <v>287.95050816563474</v>
      </c>
      <c r="CY153" s="59">
        <f ca="1">AVERAGE(OFFSET($CX$3,0,0,'Données projet'!$E$13+1,1))-AVERAGE(OFFSET($H$3,0,0,'Données projet'!$E$13+1,1))</f>
        <v>420.4890915162182</v>
      </c>
      <c r="CZ153" s="59">
        <f t="shared" si="150"/>
        <v>553.48432338023565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56.652110625653656</v>
      </c>
      <c r="DG153" s="21">
        <f>EXP(-LN(2)/25)*DG152+(1-EXP(-LN(2)/25))/(LN(2)/25)*Calculateur!DB153*Calculateur!DD153*VLOOKUP('Données projet'!$B$13,Paramètres!$A$1:$I$89,3,0)*0.475*44/12</f>
        <v>1.8153480133837858</v>
      </c>
      <c r="DH153" s="21">
        <f>EXP(-LN(2)/2)*DH152+(1-EXP(-LN(2)/2))/(LN(2)/2)*DB153*DE153*VLOOKUP('Données projet'!$B$13,Paramètres!$A$1:$I$89,3,0)*0.475*44/12</f>
        <v>6.4177875606121979E-19</v>
      </c>
      <c r="DI153" s="22">
        <f t="shared" si="123"/>
        <v>58.467458639037439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19.8100000000004</v>
      </c>
      <c r="DP153" s="17">
        <f>DO153*VLOOKUP('Données projet'!$B$14,Paramètres!$A$1:$I$89,3,0)*VLOOKUP('Données projet'!$B$14,Paramètres!$A$1:$I$89,5,0)</f>
        <v>21.323484000000427</v>
      </c>
      <c r="DQ153" s="13">
        <f t="shared" si="151"/>
        <v>6.88226100850307</v>
      </c>
      <c r="DR153" s="20">
        <f t="shared" si="124"/>
        <v>49.125005889810261</v>
      </c>
      <c r="DS153" s="59">
        <f t="shared" si="125"/>
        <v>335.81802816167061</v>
      </c>
      <c r="DT153" s="59">
        <f ca="1">AVERAGE(OFFSET($DS$3,0,0,'Données projet'!$E$14+1,1))-AVERAGE(OFFSET($H$3,0,0,'Données projet'!$E$14+1,1))</f>
        <v>659.55755908012691</v>
      </c>
      <c r="DU153" s="59">
        <f t="shared" si="152"/>
        <v>343.96647464823627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226.26348730637278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226.26348730637278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19.8100000000004</v>
      </c>
      <c r="EK153" s="17">
        <f>EJ153*VLOOKUP('Données projet'!$B$15,Paramètres!$A$1:$I$89,3,0)*VLOOKUP('Données projet'!$B$15,Paramètres!$A$1:$I$89,5,0)</f>
        <v>19.160232000000388</v>
      </c>
      <c r="EL153" s="13">
        <f t="shared" si="153"/>
        <v>6.2615431735370342</v>
      </c>
      <c r="EM153" s="20">
        <f t="shared" si="127"/>
        <v>44.27625842724435</v>
      </c>
      <c r="EN153" s="59">
        <f t="shared" si="128"/>
        <v>330.96928069910467</v>
      </c>
      <c r="EO153" s="59">
        <f ca="1">AVERAGE(OFFSET($EN$3,0,0,'Données projet'!$E$15+1,1))-AVERAGE(OFFSET($H$3,0,0,'Données projet'!$E$15+1,1))</f>
        <v>600.96600099541388</v>
      </c>
      <c r="EP153" s="59">
        <f t="shared" si="154"/>
        <v>315.40159257508969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203.30922047818999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203.30922047818999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17.924088000000364</v>
      </c>
      <c r="P154" s="13">
        <f t="shared" si="141"/>
        <v>5.9032212091029486</v>
      </c>
      <c r="Q154" s="20">
        <f t="shared" ref="Q154:Q203" si="162">(O154+P154)*0.475*44/12</f>
        <v>41.499230205854936</v>
      </c>
      <c r="R154" s="59">
        <f t="shared" si="109"/>
        <v>328.30744702912028</v>
      </c>
      <c r="S154" s="59">
        <f ca="1">AVERAGE(OFFSET($R$3,0,0,'Données projet'!$E$9+1,1))-AVERAGE(OFFSET($H$3,0,0,'Données projet'!$E$9+1,1))</f>
        <v>567.42635821336114</v>
      </c>
      <c r="T154" s="59">
        <f t="shared" si="142"/>
        <v>299.0473530693472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186.46293772447694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186.46293772447694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475.00000000000023</v>
      </c>
      <c r="AJ154" s="13">
        <f>AI154*VLOOKUP('Données projet'!$B$10,Paramètres!$A$1:$I$89,3,0)*VLOOKUP('Données projet'!$B$10,Paramètres!$A$1:$I$89,5,0)</f>
        <v>407.5500000000003</v>
      </c>
      <c r="AK154" s="13">
        <f t="shared" ref="AK154:AK203" si="164">EXP(-1.0587+0.8836*LN(AJ154)+0.284)</f>
        <v>93.305642095357683</v>
      </c>
      <c r="AL154" s="20">
        <f t="shared" ref="AL154:AL203" si="165">(AJ154+AK154)*0.475*44/12</f>
        <v>872.32357664941526</v>
      </c>
      <c r="AM154" s="59">
        <f t="shared" si="113"/>
        <v>1159.1317934726806</v>
      </c>
      <c r="AN154" s="59">
        <f ca="1">AVERAGE(OFFSET($AM$3,0,0,'Données projet'!$E$10+1,1))-AVERAGE(OFFSET($H$3,0,0,'Données projet'!$E$10+1,1))</f>
        <v>570.05585579662738</v>
      </c>
      <c r="AO154" s="59">
        <f t="shared" si="144"/>
        <v>331.25104323342907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66.148727570503681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66.148727570503681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16.750000000000213</v>
      </c>
      <c r="BE154" s="13">
        <f>BD154*VLOOKUP('Données projet'!$B$11,Paramètres!$A$1:$I$89,3,0)*VLOOKUP('Données projet'!$B$11,Paramètres!$A$1:$I$89,5,0)</f>
        <v>14.11020000000018</v>
      </c>
      <c r="BF154" s="13">
        <f t="shared" ref="BF154:BF203" si="167">EXP(-1.0587+0.8836*LN(BE154)+0.284)</f>
        <v>4.7783677814795205</v>
      </c>
      <c r="BG154" s="20">
        <f t="shared" ref="BG154:BG203" si="168">(BE154+BF154)*0.475*44/12</f>
        <v>32.897588886077138</v>
      </c>
      <c r="BH154" s="59">
        <f t="shared" si="116"/>
        <v>319.70580570934248</v>
      </c>
      <c r="BI154" s="59">
        <f ca="1">AVERAGE(OFFSET($BH$3,0,0,'Données projet'!$E$11+1,1))-AVERAGE(OFFSET($H$3,0,0,'Données projet'!$E$11+1,1))</f>
        <v>458.88102603650725</v>
      </c>
      <c r="BJ154" s="59">
        <f t="shared" si="146"/>
        <v>277.79020316059552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104.27955551822687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104.27955551822687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19.8100000000004</v>
      </c>
      <c r="BZ154" s="13">
        <f>BY154*VLOOKUP('Données projet'!$B$12,Paramètres!$A$1:$I$89,3,0)*VLOOKUP('Données projet'!$B$12,Paramètres!$A$1:$I$89,5,0)</f>
        <v>18.851196000000382</v>
      </c>
      <c r="CA154" s="13">
        <f t="shared" ref="CA154:CA203" si="170">EXP(-1.0587+0.8836*LN(BZ154)+0.284)</f>
        <v>6.172221809210666</v>
      </c>
      <c r="CB154" s="20">
        <f t="shared" ref="CB154:CB203" si="171">(BZ154+CA154)*0.475*44/12</f>
        <v>43.582452684375909</v>
      </c>
      <c r="CC154" s="59">
        <f t="shared" si="119"/>
        <v>330.39066950764129</v>
      </c>
      <c r="CD154" s="59">
        <f ca="1">AVERAGE(OFFSET($CC$3,0,0,'Données projet'!$E$12+1,1))-AVERAGE(OFFSET($H$3,0,0,'Données projet'!$E$12+1,1))</f>
        <v>592.58528888957346</v>
      </c>
      <c r="CE154" s="59">
        <f t="shared" si="148"/>
        <v>311.31528017256846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196.10757243436373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196.10757243436373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0.8600000000003547</v>
      </c>
      <c r="CU154" s="17">
        <f>CT154*VLOOKUP('Données projet'!$B$13,Paramètres!$A$1:$I$89,3,0)*VLOOKUP('Données projet'!$B$13,Paramètres!$A$1:$I$89,5,0)</f>
        <v>0.48074000000019829</v>
      </c>
      <c r="CV154" s="13">
        <f t="shared" ref="CV154:CV203" si="173">EXP(-1.0587+0.8836*LN(CU154)+0.284)</f>
        <v>0.24126147010950588</v>
      </c>
      <c r="CW154" s="20">
        <f t="shared" ref="CW154:CW203" si="174">(CU154+CV154)*0.475*44/12</f>
        <v>1.2574858937744013</v>
      </c>
      <c r="CX154" s="59">
        <f t="shared" si="122"/>
        <v>288.06570271703976</v>
      </c>
      <c r="CY154" s="59">
        <f ca="1">AVERAGE(OFFSET($CX$3,0,0,'Données projet'!$E$13+1,1))-AVERAGE(OFFSET($H$3,0,0,'Données projet'!$E$13+1,1))</f>
        <v>420.4890915162182</v>
      </c>
      <c r="CZ154" s="59">
        <f t="shared" si="150"/>
        <v>553.48432338023565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55.541197290660108</v>
      </c>
      <c r="DG154" s="21">
        <f>EXP(-LN(2)/25)*DG153+(1-EXP(-LN(2)/25))/(LN(2)/25)*Calculateur!DB154*Calculateur!DD154*VLOOKUP('Données projet'!$B$13,Paramètres!$A$1:$I$89,3,0)*0.475*44/12</f>
        <v>1.7657072264928033</v>
      </c>
      <c r="DH154" s="21">
        <f>EXP(-LN(2)/2)*DH153+(1-EXP(-LN(2)/2))/(LN(2)/2)*DB154*DE154*VLOOKUP('Données projet'!$B$13,Paramètres!$A$1:$I$89,3,0)*0.475*44/12</f>
        <v>4.5380611043235559E-19</v>
      </c>
      <c r="DI154" s="22">
        <f t="shared" ref="DI154:DI203" si="175">SUM(DF154:DH154)</f>
        <v>57.306904517152908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19.8100000000004</v>
      </c>
      <c r="DP154" s="17">
        <f>DO154*VLOOKUP('Données projet'!$B$14,Paramètres!$A$1:$I$89,3,0)*VLOOKUP('Données projet'!$B$14,Paramètres!$A$1:$I$89,5,0)</f>
        <v>21.323484000000427</v>
      </c>
      <c r="DQ154" s="13">
        <f t="shared" ref="DQ154:DQ203" si="176">EXP(-1.0587+0.8836*LN(DP154)+0.284)</f>
        <v>6.88226100850307</v>
      </c>
      <c r="DR154" s="20">
        <f t="shared" ref="DR154:DR203" si="177">(DP154+DQ154)*0.475*44/12</f>
        <v>49.125005889810261</v>
      </c>
      <c r="DS154" s="59">
        <f t="shared" si="125"/>
        <v>335.93322271307562</v>
      </c>
      <c r="DT154" s="59">
        <f ca="1">AVERAGE(OFFSET($DS$3,0,0,'Données projet'!$E$14+1,1))-AVERAGE(OFFSET($H$3,0,0,'Données projet'!$E$14+1,1))</f>
        <v>659.55755908012691</v>
      </c>
      <c r="DU154" s="59">
        <f t="shared" si="152"/>
        <v>343.96647464823627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221.826598327395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221.826598327395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19.8100000000004</v>
      </c>
      <c r="EK154" s="17">
        <f>EJ154*VLOOKUP('Données projet'!$B$15,Paramètres!$A$1:$I$89,3,0)*VLOOKUP('Données projet'!$B$15,Paramètres!$A$1:$I$89,5,0)</f>
        <v>19.160232000000388</v>
      </c>
      <c r="EL154" s="13">
        <f t="shared" ref="EL154:EL203" si="179">EXP(-1.0587+0.8836*LN(EK154)+0.284)</f>
        <v>6.2615431735370342</v>
      </c>
      <c r="EM154" s="20">
        <f t="shared" ref="EM154:EM203" si="180">(EK154+EL154)*0.475*44/12</f>
        <v>44.27625842724435</v>
      </c>
      <c r="EN154" s="59">
        <f t="shared" si="128"/>
        <v>331.08447525050968</v>
      </c>
      <c r="EO154" s="59">
        <f ca="1">AVERAGE(OFFSET($EN$3,0,0,'Données projet'!$E$15+1,1))-AVERAGE(OFFSET($H$3,0,0,'Données projet'!$E$15+1,1))</f>
        <v>600.96600099541388</v>
      </c>
      <c r="EP154" s="59">
        <f t="shared" si="154"/>
        <v>315.40159257508969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199.32245067099257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199.32245067099257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17.924088000000364</v>
      </c>
      <c r="P155" s="13">
        <f t="shared" si="141"/>
        <v>5.9032212091029486</v>
      </c>
      <c r="Q155" s="20">
        <f t="shared" si="162"/>
        <v>41.499230205854936</v>
      </c>
      <c r="R155" s="59">
        <f t="shared" si="109"/>
        <v>328.42064321259483</v>
      </c>
      <c r="S155" s="59">
        <f ca="1">AVERAGE(OFFSET($R$3,0,0,'Données projet'!$E$9+1,1))-AVERAGE(OFFSET($H$3,0,0,'Données projet'!$E$9+1,1))</f>
        <v>567.42635821336114</v>
      </c>
      <c r="T155" s="59">
        <f t="shared" si="142"/>
        <v>299.0473530693472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182.80651324686195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182.80651324686195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475.00000000000023</v>
      </c>
      <c r="AJ155" s="13">
        <f>AI155*VLOOKUP('Données projet'!$B$10,Paramètres!$A$1:$I$89,3,0)*VLOOKUP('Données projet'!$B$10,Paramètres!$A$1:$I$89,5,0)</f>
        <v>407.5500000000003</v>
      </c>
      <c r="AK155" s="13">
        <f t="shared" si="164"/>
        <v>93.305642095357683</v>
      </c>
      <c r="AL155" s="20">
        <f t="shared" si="165"/>
        <v>872.32357664941526</v>
      </c>
      <c r="AM155" s="59">
        <f t="shared" si="113"/>
        <v>1159.2449896561552</v>
      </c>
      <c r="AN155" s="59">
        <f ca="1">AVERAGE(OFFSET($AM$3,0,0,'Données projet'!$E$10+1,1))-AVERAGE(OFFSET($H$3,0,0,'Données projet'!$E$10+1,1))</f>
        <v>570.05585579662738</v>
      </c>
      <c r="AO155" s="59">
        <f t="shared" si="144"/>
        <v>331.25104323342907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64.851591369586018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64.851591369586018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16.750000000000213</v>
      </c>
      <c r="BE155" s="13">
        <f>BD155*VLOOKUP('Données projet'!$B$11,Paramètres!$A$1:$I$89,3,0)*VLOOKUP('Données projet'!$B$11,Paramètres!$A$1:$I$89,5,0)</f>
        <v>14.11020000000018</v>
      </c>
      <c r="BF155" s="13">
        <f t="shared" si="167"/>
        <v>4.7783677814795205</v>
      </c>
      <c r="BG155" s="20">
        <f t="shared" si="168"/>
        <v>32.897588886077138</v>
      </c>
      <c r="BH155" s="59">
        <f t="shared" si="116"/>
        <v>319.81900189281703</v>
      </c>
      <c r="BI155" s="59">
        <f ca="1">AVERAGE(OFFSET($BH$3,0,0,'Données projet'!$E$11+1,1))-AVERAGE(OFFSET($H$3,0,0,'Données projet'!$E$11+1,1))</f>
        <v>458.88102603650725</v>
      </c>
      <c r="BJ155" s="59">
        <f t="shared" si="146"/>
        <v>277.79020316059552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102.23469703876292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102.23469703876292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19.8100000000004</v>
      </c>
      <c r="BZ155" s="13">
        <f>BY155*VLOOKUP('Données projet'!$B$12,Paramètres!$A$1:$I$89,3,0)*VLOOKUP('Données projet'!$B$12,Paramètres!$A$1:$I$89,5,0)</f>
        <v>18.851196000000382</v>
      </c>
      <c r="CA155" s="13">
        <f t="shared" si="170"/>
        <v>6.172221809210666</v>
      </c>
      <c r="CB155" s="20">
        <f t="shared" si="171"/>
        <v>43.582452684375909</v>
      </c>
      <c r="CC155" s="59">
        <f t="shared" si="119"/>
        <v>330.50386569111583</v>
      </c>
      <c r="CD155" s="59">
        <f ca="1">AVERAGE(OFFSET($CC$3,0,0,'Données projet'!$E$12+1,1))-AVERAGE(OFFSET($H$3,0,0,'Données projet'!$E$12+1,1))</f>
        <v>592.58528888957346</v>
      </c>
      <c r="CE155" s="59">
        <f t="shared" si="148"/>
        <v>311.31528017256846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192.26202255273415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192.26202255273415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0.8600000000003547</v>
      </c>
      <c r="CU155" s="17">
        <f>CT155*VLOOKUP('Données projet'!$B$13,Paramètres!$A$1:$I$89,3,0)*VLOOKUP('Données projet'!$B$13,Paramètres!$A$1:$I$89,5,0)</f>
        <v>0.48074000000019829</v>
      </c>
      <c r="CV155" s="13">
        <f t="shared" si="173"/>
        <v>0.24126147010950588</v>
      </c>
      <c r="CW155" s="20">
        <f t="shared" si="174"/>
        <v>1.2574858937744013</v>
      </c>
      <c r="CX155" s="59">
        <f t="shared" si="122"/>
        <v>288.1788989005143</v>
      </c>
      <c r="CY155" s="59">
        <f ca="1">AVERAGE(OFFSET($CX$3,0,0,'Données projet'!$E$13+1,1))-AVERAGE(OFFSET($H$3,0,0,'Données projet'!$E$13+1,1))</f>
        <v>420.4890915162182</v>
      </c>
      <c r="CZ155" s="59">
        <f t="shared" si="150"/>
        <v>553.48432338023565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54.452068288575553</v>
      </c>
      <c r="DG155" s="21">
        <f>EXP(-LN(2)/25)*DG154+(1-EXP(-LN(2)/25))/(LN(2)/25)*Calculateur!DB155*Calculateur!DD155*VLOOKUP('Données projet'!$B$13,Paramètres!$A$1:$I$89,3,0)*0.475*44/12</f>
        <v>1.71742386952985</v>
      </c>
      <c r="DH155" s="21">
        <f>EXP(-LN(2)/2)*DH154+(1-EXP(-LN(2)/2))/(LN(2)/2)*DB155*DE155*VLOOKUP('Données projet'!$B$13,Paramètres!$A$1:$I$89,3,0)*0.475*44/12</f>
        <v>3.208893780306099E-19</v>
      </c>
      <c r="DI155" s="22">
        <f t="shared" si="175"/>
        <v>56.169492158105406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19.8100000000004</v>
      </c>
      <c r="DP155" s="17">
        <f>DO155*VLOOKUP('Données projet'!$B$14,Paramètres!$A$1:$I$89,3,0)*VLOOKUP('Données projet'!$B$14,Paramètres!$A$1:$I$89,5,0)</f>
        <v>21.323484000000427</v>
      </c>
      <c r="DQ155" s="13">
        <f t="shared" si="176"/>
        <v>6.88226100850307</v>
      </c>
      <c r="DR155" s="20">
        <f t="shared" si="177"/>
        <v>49.125005889810261</v>
      </c>
      <c r="DS155" s="59">
        <f t="shared" si="125"/>
        <v>336.04641889655016</v>
      </c>
      <c r="DT155" s="59">
        <f ca="1">AVERAGE(OFFSET($DS$3,0,0,'Données projet'!$E$14+1,1))-AVERAGE(OFFSET($H$3,0,0,'Données projet'!$E$14+1,1))</f>
        <v>659.55755908012691</v>
      </c>
      <c r="DU155" s="59">
        <f t="shared" si="152"/>
        <v>343.96647464823627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217.47671403505993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217.47671403505993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19.8100000000004</v>
      </c>
      <c r="EK155" s="17">
        <f>EJ155*VLOOKUP('Données projet'!$B$15,Paramètres!$A$1:$I$89,3,0)*VLOOKUP('Données projet'!$B$15,Paramètres!$A$1:$I$89,5,0)</f>
        <v>19.160232000000388</v>
      </c>
      <c r="EL155" s="13">
        <f t="shared" si="179"/>
        <v>6.2615431735370342</v>
      </c>
      <c r="EM155" s="20">
        <f t="shared" si="180"/>
        <v>44.27625842724435</v>
      </c>
      <c r="EN155" s="59">
        <f t="shared" si="128"/>
        <v>331.19767143398423</v>
      </c>
      <c r="EO155" s="59">
        <f ca="1">AVERAGE(OFFSET($EN$3,0,0,'Données projet'!$E$15+1,1))-AVERAGE(OFFSET($H$3,0,0,'Données projet'!$E$15+1,1))</f>
        <v>600.96600099541388</v>
      </c>
      <c r="EP155" s="59">
        <f t="shared" si="154"/>
        <v>315.40159257508969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195.4138589880248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195.4138589880248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17.924088000000364</v>
      </c>
      <c r="P156" s="13">
        <f t="shared" si="141"/>
        <v>5.9032212091029486</v>
      </c>
      <c r="Q156" s="20">
        <f t="shared" si="162"/>
        <v>41.499230205854936</v>
      </c>
      <c r="R156" s="59">
        <f t="shared" si="109"/>
        <v>328.53187569535493</v>
      </c>
      <c r="S156" s="59">
        <f ca="1">AVERAGE(OFFSET($R$3,0,0,'Données projet'!$E$9+1,1))-AVERAGE(OFFSET($H$3,0,0,'Données projet'!$E$9+1,1))</f>
        <v>567.42635821336114</v>
      </c>
      <c r="T156" s="59">
        <f t="shared" si="142"/>
        <v>299.0473530693472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179.22178902305427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179.22178902305427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475.00000000000023</v>
      </c>
      <c r="AJ156" s="13">
        <f>AI156*VLOOKUP('Données projet'!$B$10,Paramètres!$A$1:$I$89,3,0)*VLOOKUP('Données projet'!$B$10,Paramètres!$A$1:$I$89,5,0)</f>
        <v>407.5500000000003</v>
      </c>
      <c r="AK156" s="13">
        <f t="shared" si="164"/>
        <v>93.305642095357683</v>
      </c>
      <c r="AL156" s="20">
        <f t="shared" si="165"/>
        <v>872.32357664941526</v>
      </c>
      <c r="AM156" s="59">
        <f t="shared" si="113"/>
        <v>1159.3562221389152</v>
      </c>
      <c r="AN156" s="59">
        <f ca="1">AVERAGE(OFFSET($AM$3,0,0,'Données projet'!$E$10+1,1))-AVERAGE(OFFSET($H$3,0,0,'Données projet'!$E$10+1,1))</f>
        <v>570.05585579662738</v>
      </c>
      <c r="AO156" s="59">
        <f t="shared" si="144"/>
        <v>331.25104323342907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63.579891218393385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63.579891218393385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16.750000000000213</v>
      </c>
      <c r="BE156" s="13">
        <f>BD156*VLOOKUP('Données projet'!$B$11,Paramètres!$A$1:$I$89,3,0)*VLOOKUP('Données projet'!$B$11,Paramètres!$A$1:$I$89,5,0)</f>
        <v>14.11020000000018</v>
      </c>
      <c r="BF156" s="13">
        <f t="shared" si="167"/>
        <v>4.7783677814795205</v>
      </c>
      <c r="BG156" s="20">
        <f t="shared" si="168"/>
        <v>32.897588886077138</v>
      </c>
      <c r="BH156" s="59">
        <f t="shared" si="116"/>
        <v>319.93023437557713</v>
      </c>
      <c r="BI156" s="59">
        <f ca="1">AVERAGE(OFFSET($BH$3,0,0,'Données projet'!$E$11+1,1))-AVERAGE(OFFSET($H$3,0,0,'Données projet'!$E$11+1,1))</f>
        <v>458.88102603650725</v>
      </c>
      <c r="BJ156" s="59">
        <f t="shared" si="146"/>
        <v>277.79020316059552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100.22993698684073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100.22993698684073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19.8100000000004</v>
      </c>
      <c r="BZ156" s="13">
        <f>BY156*VLOOKUP('Données projet'!$B$12,Paramètres!$A$1:$I$89,3,0)*VLOOKUP('Données projet'!$B$12,Paramètres!$A$1:$I$89,5,0)</f>
        <v>18.851196000000382</v>
      </c>
      <c r="CA156" s="13">
        <f t="shared" si="170"/>
        <v>6.172221809210666</v>
      </c>
      <c r="CB156" s="20">
        <f t="shared" si="171"/>
        <v>43.582452684375909</v>
      </c>
      <c r="CC156" s="59">
        <f t="shared" si="119"/>
        <v>330.61509817387594</v>
      </c>
      <c r="CD156" s="59">
        <f ca="1">AVERAGE(OFFSET($CC$3,0,0,'Données projet'!$E$12+1,1))-AVERAGE(OFFSET($H$3,0,0,'Données projet'!$E$12+1,1))</f>
        <v>592.58528888957346</v>
      </c>
      <c r="CE156" s="59">
        <f t="shared" si="148"/>
        <v>311.31528017256846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188.49188155872952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188.49188155872952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0.8600000000003547</v>
      </c>
      <c r="CU156" s="17">
        <f>CT156*VLOOKUP('Données projet'!$B$13,Paramètres!$A$1:$I$89,3,0)*VLOOKUP('Données projet'!$B$13,Paramètres!$A$1:$I$89,5,0)</f>
        <v>0.48074000000019829</v>
      </c>
      <c r="CV156" s="13">
        <f t="shared" si="173"/>
        <v>0.24126147010950588</v>
      </c>
      <c r="CW156" s="20">
        <f t="shared" si="174"/>
        <v>1.2574858937744013</v>
      </c>
      <c r="CX156" s="59">
        <f t="shared" si="122"/>
        <v>288.2901313832744</v>
      </c>
      <c r="CY156" s="59">
        <f ca="1">AVERAGE(OFFSET($CX$3,0,0,'Données projet'!$E$13+1,1))-AVERAGE(OFFSET($H$3,0,0,'Données projet'!$E$13+1,1))</f>
        <v>420.4890915162182</v>
      </c>
      <c r="CZ156" s="59">
        <f t="shared" si="150"/>
        <v>553.48432338023565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53.384296441918785</v>
      </c>
      <c r="DG156" s="21">
        <f>EXP(-LN(2)/25)*DG155+(1-EXP(-LN(2)/25))/(LN(2)/25)*Calculateur!DB156*Calculateur!DD156*VLOOKUP('Données projet'!$B$13,Paramètres!$A$1:$I$89,3,0)*0.475*44/12</f>
        <v>1.6704608235021603</v>
      </c>
      <c r="DH156" s="21">
        <f>EXP(-LN(2)/2)*DH155+(1-EXP(-LN(2)/2))/(LN(2)/2)*DB156*DE156*VLOOKUP('Données projet'!$B$13,Paramètres!$A$1:$I$89,3,0)*0.475*44/12</f>
        <v>2.269030552161778E-19</v>
      </c>
      <c r="DI156" s="22">
        <f t="shared" si="175"/>
        <v>55.054757265420946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19.8100000000004</v>
      </c>
      <c r="DP156" s="17">
        <f>DO156*VLOOKUP('Données projet'!$B$14,Paramètres!$A$1:$I$89,3,0)*VLOOKUP('Données projet'!$B$14,Paramètres!$A$1:$I$89,5,0)</f>
        <v>21.323484000000427</v>
      </c>
      <c r="DQ156" s="13">
        <f t="shared" si="176"/>
        <v>6.88226100850307</v>
      </c>
      <c r="DR156" s="20">
        <f t="shared" si="177"/>
        <v>49.125005889810261</v>
      </c>
      <c r="DS156" s="59">
        <f t="shared" si="125"/>
        <v>336.15765137931027</v>
      </c>
      <c r="DT156" s="59">
        <f ca="1">AVERAGE(OFFSET($DS$3,0,0,'Données projet'!$E$14+1,1))-AVERAGE(OFFSET($H$3,0,0,'Données projet'!$E$14+1,1))</f>
        <v>659.55755908012691</v>
      </c>
      <c r="DU156" s="59">
        <f t="shared" si="152"/>
        <v>343.96647464823627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213.2121283205301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213.2121283205301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19.8100000000004</v>
      </c>
      <c r="EK156" s="17">
        <f>EJ156*VLOOKUP('Données projet'!$B$15,Paramètres!$A$1:$I$89,3,0)*VLOOKUP('Données projet'!$B$15,Paramètres!$A$1:$I$89,5,0)</f>
        <v>19.160232000000388</v>
      </c>
      <c r="EL156" s="13">
        <f t="shared" si="179"/>
        <v>6.2615431735370342</v>
      </c>
      <c r="EM156" s="20">
        <f t="shared" si="180"/>
        <v>44.27625842724435</v>
      </c>
      <c r="EN156" s="59">
        <f t="shared" si="128"/>
        <v>331.30890391674433</v>
      </c>
      <c r="EO156" s="59">
        <f ca="1">AVERAGE(OFFSET($EN$3,0,0,'Données projet'!$E$15+1,1))-AVERAGE(OFFSET($H$3,0,0,'Données projet'!$E$15+1,1))</f>
        <v>600.96600099541388</v>
      </c>
      <c r="EP156" s="59">
        <f t="shared" si="154"/>
        <v>315.40159257508969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191.5819124039545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191.5819124039545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17.924088000000364</v>
      </c>
      <c r="P157" s="13">
        <f t="shared" si="141"/>
        <v>5.9032212091029486</v>
      </c>
      <c r="Q157" s="20">
        <f t="shared" si="162"/>
        <v>41.499230205854936</v>
      </c>
      <c r="R157" s="59">
        <f t="shared" si="109"/>
        <v>328.64117854321768</v>
      </c>
      <c r="S157" s="59">
        <f ca="1">AVERAGE(OFFSET($R$3,0,0,'Données projet'!$E$9+1,1))-AVERAGE(OFFSET($H$3,0,0,'Données projet'!$E$9+1,1))</f>
        <v>567.42635821336114</v>
      </c>
      <c r="T157" s="59">
        <f t="shared" si="142"/>
        <v>299.0473530693472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175.70735905480956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175.70735905480956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475.00000000000023</v>
      </c>
      <c r="AJ157" s="13">
        <f>AI157*VLOOKUP('Données projet'!$B$10,Paramètres!$A$1:$I$89,3,0)*VLOOKUP('Données projet'!$B$10,Paramètres!$A$1:$I$89,5,0)</f>
        <v>407.5500000000003</v>
      </c>
      <c r="AK157" s="13">
        <f t="shared" si="164"/>
        <v>93.305642095357683</v>
      </c>
      <c r="AL157" s="20">
        <f t="shared" si="165"/>
        <v>872.32357664941526</v>
      </c>
      <c r="AM157" s="59">
        <f t="shared" si="113"/>
        <v>1159.4655249867781</v>
      </c>
      <c r="AN157" s="59">
        <f ca="1">AVERAGE(OFFSET($AM$3,0,0,'Données projet'!$E$10+1,1))-AVERAGE(OFFSET($H$3,0,0,'Données projet'!$E$10+1,1))</f>
        <v>570.05585579662738</v>
      </c>
      <c r="AO157" s="59">
        <f t="shared" si="144"/>
        <v>331.25104323342907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62.333128331505137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62.333128331505137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16.750000000000213</v>
      </c>
      <c r="BE157" s="13">
        <f>BD157*VLOOKUP('Données projet'!$B$11,Paramètres!$A$1:$I$89,3,0)*VLOOKUP('Données projet'!$B$11,Paramètres!$A$1:$I$89,5,0)</f>
        <v>14.11020000000018</v>
      </c>
      <c r="BF157" s="13">
        <f t="shared" si="167"/>
        <v>4.7783677814795205</v>
      </c>
      <c r="BG157" s="20">
        <f t="shared" si="168"/>
        <v>32.897588886077138</v>
      </c>
      <c r="BH157" s="59">
        <f t="shared" si="116"/>
        <v>320.03953722343988</v>
      </c>
      <c r="BI157" s="59">
        <f ca="1">AVERAGE(OFFSET($BH$3,0,0,'Données projet'!$E$11+1,1))-AVERAGE(OFFSET($H$3,0,0,'Données projet'!$E$11+1,1))</f>
        <v>458.88102603650725</v>
      </c>
      <c r="BJ157" s="59">
        <f t="shared" si="146"/>
        <v>277.79020316059552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98.264489056753845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98.264489056753845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19.8100000000004</v>
      </c>
      <c r="BZ157" s="13">
        <f>BY157*VLOOKUP('Données projet'!$B$12,Paramètres!$A$1:$I$89,3,0)*VLOOKUP('Données projet'!$B$12,Paramètres!$A$1:$I$89,5,0)</f>
        <v>18.851196000000382</v>
      </c>
      <c r="CA157" s="13">
        <f t="shared" si="170"/>
        <v>6.172221809210666</v>
      </c>
      <c r="CB157" s="20">
        <f t="shared" si="171"/>
        <v>43.582452684375909</v>
      </c>
      <c r="CC157" s="59">
        <f t="shared" si="119"/>
        <v>330.72440102173869</v>
      </c>
      <c r="CD157" s="59">
        <f ca="1">AVERAGE(OFFSET($CC$3,0,0,'Données projet'!$E$12+1,1))-AVERAGE(OFFSET($H$3,0,0,'Données projet'!$E$12+1,1))</f>
        <v>592.58528888957346</v>
      </c>
      <c r="CE157" s="59">
        <f t="shared" si="148"/>
        <v>311.31528017256846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184.79567073005836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184.79567073005836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0.8600000000003547</v>
      </c>
      <c r="CU157" s="17">
        <f>CT157*VLOOKUP('Données projet'!$B$13,Paramètres!$A$1:$I$89,3,0)*VLOOKUP('Données projet'!$B$13,Paramètres!$A$1:$I$89,5,0)</f>
        <v>0.48074000000019829</v>
      </c>
      <c r="CV157" s="13">
        <f t="shared" si="173"/>
        <v>0.24126147010950588</v>
      </c>
      <c r="CW157" s="20">
        <f t="shared" si="174"/>
        <v>1.2574858937744013</v>
      </c>
      <c r="CX157" s="59">
        <f t="shared" si="122"/>
        <v>288.39943423113715</v>
      </c>
      <c r="CY157" s="59">
        <f ca="1">AVERAGE(OFFSET($CX$3,0,0,'Données projet'!$E$13+1,1))-AVERAGE(OFFSET($H$3,0,0,'Données projet'!$E$13+1,1))</f>
        <v>420.4890915162182</v>
      </c>
      <c r="CZ157" s="59">
        <f t="shared" si="150"/>
        <v>553.48432338023565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52.337462949898438</v>
      </c>
      <c r="DG157" s="21">
        <f>EXP(-LN(2)/25)*DG156+(1-EXP(-LN(2)/25))/(LN(2)/25)*Calculateur!DB157*Calculateur!DD157*VLOOKUP('Données projet'!$B$13,Paramètres!$A$1:$I$89,3,0)*0.475*44/12</f>
        <v>1.6247819844377769</v>
      </c>
      <c r="DH157" s="21">
        <f>EXP(-LN(2)/2)*DH156+(1-EXP(-LN(2)/2))/(LN(2)/2)*DB157*DE157*VLOOKUP('Données projet'!$B$13,Paramètres!$A$1:$I$89,3,0)*0.475*44/12</f>
        <v>1.6044468901530495E-19</v>
      </c>
      <c r="DI157" s="22">
        <f t="shared" si="175"/>
        <v>53.962244934336212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19.8100000000004</v>
      </c>
      <c r="DP157" s="17">
        <f>DO157*VLOOKUP('Données projet'!$B$14,Paramètres!$A$1:$I$89,3,0)*VLOOKUP('Données projet'!$B$14,Paramètres!$A$1:$I$89,5,0)</f>
        <v>21.323484000000427</v>
      </c>
      <c r="DQ157" s="13">
        <f t="shared" si="176"/>
        <v>6.88226100850307</v>
      </c>
      <c r="DR157" s="20">
        <f t="shared" si="177"/>
        <v>49.125005889810261</v>
      </c>
      <c r="DS157" s="59">
        <f t="shared" si="125"/>
        <v>336.26695422717302</v>
      </c>
      <c r="DT157" s="59">
        <f ca="1">AVERAGE(OFFSET($DS$3,0,0,'Données projet'!$E$14+1,1))-AVERAGE(OFFSET($H$3,0,0,'Données projet'!$E$14+1,1))</f>
        <v>659.55755908012691</v>
      </c>
      <c r="DU157" s="59">
        <f t="shared" si="152"/>
        <v>343.96647464823627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209.03116853072174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209.03116853072174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19.8100000000004</v>
      </c>
      <c r="EK157" s="17">
        <f>EJ157*VLOOKUP('Données projet'!$B$15,Paramètres!$A$1:$I$89,3,0)*VLOOKUP('Données projet'!$B$15,Paramètres!$A$1:$I$89,5,0)</f>
        <v>19.160232000000388</v>
      </c>
      <c r="EL157" s="13">
        <f t="shared" si="179"/>
        <v>6.2615431735370342</v>
      </c>
      <c r="EM157" s="20">
        <f t="shared" si="180"/>
        <v>44.27625842724435</v>
      </c>
      <c r="EN157" s="59">
        <f t="shared" si="128"/>
        <v>331.41820676460708</v>
      </c>
      <c r="EO157" s="59">
        <f ca="1">AVERAGE(OFFSET($EN$3,0,0,'Données projet'!$E$15+1,1))-AVERAGE(OFFSET($H$3,0,0,'Données projet'!$E$15+1,1))</f>
        <v>600.96600099541388</v>
      </c>
      <c r="EP157" s="59">
        <f t="shared" si="154"/>
        <v>315.40159257508969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187.82510795514119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187.82510795514119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17.924088000000364</v>
      </c>
      <c r="P158" s="13">
        <f t="shared" si="141"/>
        <v>5.9032212091029486</v>
      </c>
      <c r="Q158" s="20">
        <f t="shared" si="162"/>
        <v>41.499230205854936</v>
      </c>
      <c r="R158" s="59">
        <f t="shared" si="109"/>
        <v>328.74858523103461</v>
      </c>
      <c r="S158" s="59">
        <f ca="1">AVERAGE(OFFSET($R$3,0,0,'Données projet'!$E$9+1,1))-AVERAGE(OFFSET($H$3,0,0,'Données projet'!$E$9+1,1))</f>
        <v>567.42635821336114</v>
      </c>
      <c r="T158" s="59">
        <f t="shared" si="142"/>
        <v>299.0473530693472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172.2618449146515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172.2618449146515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475.00000000000023</v>
      </c>
      <c r="AJ158" s="13">
        <f>AI158*VLOOKUP('Données projet'!$B$10,Paramètres!$A$1:$I$89,3,0)*VLOOKUP('Données projet'!$B$10,Paramètres!$A$1:$I$89,5,0)</f>
        <v>407.5500000000003</v>
      </c>
      <c r="AK158" s="13">
        <f t="shared" si="164"/>
        <v>93.305642095357683</v>
      </c>
      <c r="AL158" s="20">
        <f t="shared" si="165"/>
        <v>872.32357664941526</v>
      </c>
      <c r="AM158" s="59">
        <f t="shared" si="113"/>
        <v>1159.5729316745949</v>
      </c>
      <c r="AN158" s="59">
        <f ca="1">AVERAGE(OFFSET($AM$3,0,0,'Données projet'!$E$10+1,1))-AVERAGE(OFFSET($H$3,0,0,'Données projet'!$E$10+1,1))</f>
        <v>570.05585579662738</v>
      </c>
      <c r="AO158" s="59">
        <f t="shared" si="144"/>
        <v>331.25104323342907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61.110813704378494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61.110813704378494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16.750000000000213</v>
      </c>
      <c r="BE158" s="13">
        <f>BD158*VLOOKUP('Données projet'!$B$11,Paramètres!$A$1:$I$89,3,0)*VLOOKUP('Données projet'!$B$11,Paramètres!$A$1:$I$89,5,0)</f>
        <v>14.11020000000018</v>
      </c>
      <c r="BF158" s="13">
        <f t="shared" si="167"/>
        <v>4.7783677814795205</v>
      </c>
      <c r="BG158" s="20">
        <f t="shared" si="168"/>
        <v>32.897588886077138</v>
      </c>
      <c r="BH158" s="59">
        <f t="shared" si="116"/>
        <v>320.14694391125681</v>
      </c>
      <c r="BI158" s="59">
        <f ca="1">AVERAGE(OFFSET($BH$3,0,0,'Données projet'!$E$11+1,1))-AVERAGE(OFFSET($H$3,0,0,'Données projet'!$E$11+1,1))</f>
        <v>458.88102603650725</v>
      </c>
      <c r="BJ158" s="59">
        <f t="shared" si="146"/>
        <v>277.79020316059552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96.337582361771098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96.337582361771098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19.8100000000004</v>
      </c>
      <c r="BZ158" s="13">
        <f>BY158*VLOOKUP('Données projet'!$B$12,Paramètres!$A$1:$I$89,3,0)*VLOOKUP('Données projet'!$B$12,Paramètres!$A$1:$I$89,5,0)</f>
        <v>18.851196000000382</v>
      </c>
      <c r="CA158" s="13">
        <f t="shared" si="170"/>
        <v>6.172221809210666</v>
      </c>
      <c r="CB158" s="20">
        <f t="shared" si="171"/>
        <v>43.582452684375909</v>
      </c>
      <c r="CC158" s="59">
        <f t="shared" si="119"/>
        <v>330.83180770955562</v>
      </c>
      <c r="CD158" s="59">
        <f ca="1">AVERAGE(OFFSET($CC$3,0,0,'Données projet'!$E$12+1,1))-AVERAGE(OFFSET($H$3,0,0,'Données projet'!$E$12+1,1))</f>
        <v>592.58528888957346</v>
      </c>
      <c r="CE158" s="59">
        <f t="shared" si="148"/>
        <v>311.31528017256846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181.17194034127147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181.17194034127147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0.8600000000003547</v>
      </c>
      <c r="CU158" s="17">
        <f>CT158*VLOOKUP('Données projet'!$B$13,Paramètres!$A$1:$I$89,3,0)*VLOOKUP('Données projet'!$B$13,Paramètres!$A$1:$I$89,5,0)</f>
        <v>0.48074000000019829</v>
      </c>
      <c r="CV158" s="13">
        <f t="shared" si="173"/>
        <v>0.24126147010950588</v>
      </c>
      <c r="CW158" s="20">
        <f t="shared" si="174"/>
        <v>1.2574858937744013</v>
      </c>
      <c r="CX158" s="59">
        <f t="shared" si="122"/>
        <v>288.50684091895408</v>
      </c>
      <c r="CY158" s="59">
        <f ca="1">AVERAGE(OFFSET($CX$3,0,0,'Données projet'!$E$13+1,1))-AVERAGE(OFFSET($H$3,0,0,'Données projet'!$E$13+1,1))</f>
        <v>420.4890915162182</v>
      </c>
      <c r="CZ158" s="59">
        <f t="shared" si="150"/>
        <v>553.48432338023565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51.311157224151223</v>
      </c>
      <c r="DG158" s="21">
        <f>EXP(-LN(2)/25)*DG157+(1-EXP(-LN(2)/25))/(LN(2)/25)*Calculateur!DB158*Calculateur!DD158*VLOOKUP('Données projet'!$B$13,Paramètres!$A$1:$I$89,3,0)*0.475*44/12</f>
        <v>1.5803522356297548</v>
      </c>
      <c r="DH158" s="21">
        <f>EXP(-LN(2)/2)*DH157+(1-EXP(-LN(2)/2))/(LN(2)/2)*DB158*DE158*VLOOKUP('Données projet'!$B$13,Paramètres!$A$1:$I$89,3,0)*0.475*44/12</f>
        <v>1.134515276080889E-19</v>
      </c>
      <c r="DI158" s="22">
        <f t="shared" si="175"/>
        <v>52.891509459780977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19.8100000000004</v>
      </c>
      <c r="DP158" s="17">
        <f>DO158*VLOOKUP('Données projet'!$B$14,Paramètres!$A$1:$I$89,3,0)*VLOOKUP('Données projet'!$B$14,Paramètres!$A$1:$I$89,5,0)</f>
        <v>21.323484000000427</v>
      </c>
      <c r="DQ158" s="13">
        <f t="shared" si="176"/>
        <v>6.88226100850307</v>
      </c>
      <c r="DR158" s="20">
        <f t="shared" si="177"/>
        <v>49.125005889810261</v>
      </c>
      <c r="DS158" s="59">
        <f t="shared" si="125"/>
        <v>336.37436091498995</v>
      </c>
      <c r="DT158" s="59">
        <f ca="1">AVERAGE(OFFSET($DS$3,0,0,'Données projet'!$E$14+1,1))-AVERAGE(OFFSET($H$3,0,0,'Données projet'!$E$14+1,1))</f>
        <v>659.55755908012691</v>
      </c>
      <c r="DU158" s="59">
        <f t="shared" si="152"/>
        <v>343.96647464823627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204.93219481225788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204.93219481225788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19.8100000000004</v>
      </c>
      <c r="EK158" s="17">
        <f>EJ158*VLOOKUP('Données projet'!$B$15,Paramètres!$A$1:$I$89,3,0)*VLOOKUP('Données projet'!$B$15,Paramètres!$A$1:$I$89,5,0)</f>
        <v>19.160232000000388</v>
      </c>
      <c r="EL158" s="13">
        <f t="shared" si="179"/>
        <v>6.2615431735370342</v>
      </c>
      <c r="EM158" s="20">
        <f t="shared" si="180"/>
        <v>44.27625842724435</v>
      </c>
      <c r="EN158" s="59">
        <f t="shared" si="128"/>
        <v>331.52561345242401</v>
      </c>
      <c r="EO158" s="59">
        <f ca="1">AVERAGE(OFFSET($EN$3,0,0,'Données projet'!$E$15+1,1))-AVERAGE(OFFSET($H$3,0,0,'Données projet'!$E$15+1,1))</f>
        <v>600.96600099541388</v>
      </c>
      <c r="EP158" s="59">
        <f t="shared" si="154"/>
        <v>315.40159257508969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184.14197215014468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184.14197215014468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17.924088000000364</v>
      </c>
      <c r="P159" s="13">
        <f t="shared" si="141"/>
        <v>5.9032212091029486</v>
      </c>
      <c r="Q159" s="20">
        <f t="shared" si="162"/>
        <v>41.499230205854936</v>
      </c>
      <c r="R159" s="59">
        <f t="shared" si="109"/>
        <v>328.85412865294325</v>
      </c>
      <c r="S159" s="59">
        <f ca="1">AVERAGE(OFFSET($R$3,0,0,'Données projet'!$E$9+1,1))-AVERAGE(OFFSET($H$3,0,0,'Données projet'!$E$9+1,1))</f>
        <v>567.42635821336114</v>
      </c>
      <c r="T159" s="59">
        <f t="shared" si="142"/>
        <v>299.0473530693472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168.88389520522585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168.88389520522585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475.00000000000023</v>
      </c>
      <c r="AJ159" s="13">
        <f>AI159*VLOOKUP('Données projet'!$B$10,Paramètres!$A$1:$I$89,3,0)*VLOOKUP('Données projet'!$B$10,Paramètres!$A$1:$I$89,5,0)</f>
        <v>407.5500000000003</v>
      </c>
      <c r="AK159" s="13">
        <f t="shared" si="164"/>
        <v>93.305642095357683</v>
      </c>
      <c r="AL159" s="20">
        <f t="shared" si="165"/>
        <v>872.32357664941526</v>
      </c>
      <c r="AM159" s="59">
        <f t="shared" si="113"/>
        <v>1159.6784750965035</v>
      </c>
      <c r="AN159" s="59">
        <f ca="1">AVERAGE(OFFSET($AM$3,0,0,'Données projet'!$E$10+1,1))-AVERAGE(OFFSET($H$3,0,0,'Données projet'!$E$10+1,1))</f>
        <v>570.05585579662738</v>
      </c>
      <c r="AO159" s="59">
        <f t="shared" si="144"/>
        <v>331.25104323342907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59.912467921551496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59.912467921551496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16.750000000000213</v>
      </c>
      <c r="BE159" s="13">
        <f>BD159*VLOOKUP('Données projet'!$B$11,Paramètres!$A$1:$I$89,3,0)*VLOOKUP('Données projet'!$B$11,Paramètres!$A$1:$I$89,5,0)</f>
        <v>14.11020000000018</v>
      </c>
      <c r="BF159" s="13">
        <f t="shared" si="167"/>
        <v>4.7783677814795205</v>
      </c>
      <c r="BG159" s="20">
        <f t="shared" si="168"/>
        <v>32.897588886077138</v>
      </c>
      <c r="BH159" s="59">
        <f t="shared" si="116"/>
        <v>320.25248733316545</v>
      </c>
      <c r="BI159" s="59">
        <f ca="1">AVERAGE(OFFSET($BH$3,0,0,'Données projet'!$E$11+1,1))-AVERAGE(OFFSET($H$3,0,0,'Données projet'!$E$11+1,1))</f>
        <v>458.88102603650725</v>
      </c>
      <c r="BJ159" s="59">
        <f t="shared" si="146"/>
        <v>277.79020316059552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94.448461131779922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94.448461131779922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19.8100000000004</v>
      </c>
      <c r="BZ159" s="13">
        <f>BY159*VLOOKUP('Données projet'!$B$12,Paramètres!$A$1:$I$89,3,0)*VLOOKUP('Données projet'!$B$12,Paramètres!$A$1:$I$89,5,0)</f>
        <v>18.851196000000382</v>
      </c>
      <c r="CA159" s="13">
        <f t="shared" si="170"/>
        <v>6.172221809210666</v>
      </c>
      <c r="CB159" s="20">
        <f t="shared" si="171"/>
        <v>43.582452684375909</v>
      </c>
      <c r="CC159" s="59">
        <f t="shared" si="119"/>
        <v>330.9373511314642</v>
      </c>
      <c r="CD159" s="59">
        <f ca="1">AVERAGE(OFFSET($CC$3,0,0,'Données projet'!$E$12+1,1))-AVERAGE(OFFSET($H$3,0,0,'Données projet'!$E$12+1,1))</f>
        <v>592.58528888957346</v>
      </c>
      <c r="CE159" s="59">
        <f t="shared" si="148"/>
        <v>311.31528017256846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177.61926909515137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177.61926909515137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0.8600000000003547</v>
      </c>
      <c r="CU159" s="17">
        <f>CT159*VLOOKUP('Données projet'!$B$13,Paramètres!$A$1:$I$89,3,0)*VLOOKUP('Données projet'!$B$13,Paramètres!$A$1:$I$89,5,0)</f>
        <v>0.48074000000019829</v>
      </c>
      <c r="CV159" s="13">
        <f t="shared" si="173"/>
        <v>0.24126147010950588</v>
      </c>
      <c r="CW159" s="20">
        <f t="shared" si="174"/>
        <v>1.2574858937744013</v>
      </c>
      <c r="CX159" s="59">
        <f t="shared" si="122"/>
        <v>288.61238434086272</v>
      </c>
      <c r="CY159" s="59">
        <f ca="1">AVERAGE(OFFSET($CX$3,0,0,'Données projet'!$E$13+1,1))-AVERAGE(OFFSET($H$3,0,0,'Données projet'!$E$13+1,1))</f>
        <v>420.4890915162182</v>
      </c>
      <c r="CZ159" s="59">
        <f t="shared" si="150"/>
        <v>553.48432338023565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50.304976727701231</v>
      </c>
      <c r="DG159" s="21">
        <f>EXP(-LN(2)/25)*DG158+(1-EXP(-LN(2)/25))/(LN(2)/25)*Calculateur!DB159*Calculateur!DD159*VLOOKUP('Données projet'!$B$13,Paramètres!$A$1:$I$89,3,0)*0.475*44/12</f>
        <v>1.5371374206393471</v>
      </c>
      <c r="DH159" s="21">
        <f>EXP(-LN(2)/2)*DH158+(1-EXP(-LN(2)/2))/(LN(2)/2)*DB159*DE159*VLOOKUP('Données projet'!$B$13,Paramètres!$A$1:$I$89,3,0)*0.475*44/12</f>
        <v>8.0222344507652474E-20</v>
      </c>
      <c r="DI159" s="22">
        <f t="shared" si="175"/>
        <v>51.842114148340578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19.8100000000004</v>
      </c>
      <c r="DP159" s="17">
        <f>DO159*VLOOKUP('Données projet'!$B$14,Paramètres!$A$1:$I$89,3,0)*VLOOKUP('Données projet'!$B$14,Paramètres!$A$1:$I$89,5,0)</f>
        <v>21.323484000000427</v>
      </c>
      <c r="DQ159" s="13">
        <f t="shared" si="176"/>
        <v>6.88226100850307</v>
      </c>
      <c r="DR159" s="20">
        <f t="shared" si="177"/>
        <v>49.125005889810261</v>
      </c>
      <c r="DS159" s="59">
        <f t="shared" si="125"/>
        <v>336.47990433689858</v>
      </c>
      <c r="DT159" s="59">
        <f ca="1">AVERAGE(OFFSET($DS$3,0,0,'Données projet'!$E$14+1,1))-AVERAGE(OFFSET($H$3,0,0,'Données projet'!$E$14+1,1))</f>
        <v>659.55755908012691</v>
      </c>
      <c r="DU159" s="59">
        <f t="shared" si="152"/>
        <v>343.96647464823627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200.91359946828598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200.91359946828598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19.8100000000004</v>
      </c>
      <c r="EK159" s="17">
        <f>EJ159*VLOOKUP('Données projet'!$B$15,Paramètres!$A$1:$I$89,3,0)*VLOOKUP('Données projet'!$B$15,Paramètres!$A$1:$I$89,5,0)</f>
        <v>19.160232000000388</v>
      </c>
      <c r="EL159" s="13">
        <f t="shared" si="179"/>
        <v>6.2615431735370342</v>
      </c>
      <c r="EM159" s="20">
        <f t="shared" si="180"/>
        <v>44.27625842724435</v>
      </c>
      <c r="EN159" s="59">
        <f t="shared" si="128"/>
        <v>331.63115687433265</v>
      </c>
      <c r="EO159" s="59">
        <f ca="1">AVERAGE(OFFSET($EN$3,0,0,'Données projet'!$E$15+1,1))-AVERAGE(OFFSET($H$3,0,0,'Données projet'!$E$15+1,1))</f>
        <v>600.96600099541388</v>
      </c>
      <c r="EP159" s="59">
        <f t="shared" si="154"/>
        <v>315.40159257508969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180.53106039179312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180.53106039179312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17.924088000000364</v>
      </c>
      <c r="P160" s="13">
        <f t="shared" si="141"/>
        <v>5.9032212091029486</v>
      </c>
      <c r="Q160" s="20">
        <f t="shared" si="162"/>
        <v>41.499230205854936</v>
      </c>
      <c r="R160" s="59">
        <f t="shared" si="109"/>
        <v>328.9578411324415</v>
      </c>
      <c r="S160" s="59">
        <f ca="1">AVERAGE(OFFSET($R$3,0,0,'Données projet'!$E$9+1,1))-AVERAGE(OFFSET($H$3,0,0,'Données projet'!$E$9+1,1))</f>
        <v>567.42635821336114</v>
      </c>
      <c r="T160" s="59">
        <f t="shared" si="142"/>
        <v>299.0473530693472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165.57218502925616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165.57218502925616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475.00000000000023</v>
      </c>
      <c r="AJ160" s="13">
        <f>AI160*VLOOKUP('Données projet'!$B$10,Paramètres!$A$1:$I$89,3,0)*VLOOKUP('Données projet'!$B$10,Paramètres!$A$1:$I$89,5,0)</f>
        <v>407.5500000000003</v>
      </c>
      <c r="AK160" s="13">
        <f t="shared" si="164"/>
        <v>93.305642095357683</v>
      </c>
      <c r="AL160" s="20">
        <f t="shared" si="165"/>
        <v>872.32357664941526</v>
      </c>
      <c r="AM160" s="59">
        <f t="shared" si="113"/>
        <v>1159.7821875760019</v>
      </c>
      <c r="AN160" s="59">
        <f ca="1">AVERAGE(OFFSET($AM$3,0,0,'Données projet'!$E$10+1,1))-AVERAGE(OFFSET($H$3,0,0,'Données projet'!$E$10+1,1))</f>
        <v>570.05585579662738</v>
      </c>
      <c r="AO160" s="59">
        <f t="shared" si="144"/>
        <v>331.25104323342907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58.737620968606983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58.737620968606983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16.750000000000213</v>
      </c>
      <c r="BE160" s="13">
        <f>BD160*VLOOKUP('Données projet'!$B$11,Paramètres!$A$1:$I$89,3,0)*VLOOKUP('Données projet'!$B$11,Paramètres!$A$1:$I$89,5,0)</f>
        <v>14.11020000000018</v>
      </c>
      <c r="BF160" s="13">
        <f t="shared" si="167"/>
        <v>4.7783677814795205</v>
      </c>
      <c r="BG160" s="20">
        <f t="shared" si="168"/>
        <v>32.897588886077138</v>
      </c>
      <c r="BH160" s="59">
        <f t="shared" si="116"/>
        <v>320.3561998126637</v>
      </c>
      <c r="BI160" s="59">
        <f ca="1">AVERAGE(OFFSET($BH$3,0,0,'Données projet'!$E$11+1,1))-AVERAGE(OFFSET($H$3,0,0,'Données projet'!$E$11+1,1))</f>
        <v>458.88102603650725</v>
      </c>
      <c r="BJ160" s="59">
        <f t="shared" si="146"/>
        <v>277.79020316059552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92.596384416858697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92.596384416858697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19.8100000000004</v>
      </c>
      <c r="BZ160" s="13">
        <f>BY160*VLOOKUP('Données projet'!$B$12,Paramètres!$A$1:$I$89,3,0)*VLOOKUP('Données projet'!$B$12,Paramètres!$A$1:$I$89,5,0)</f>
        <v>18.851196000000382</v>
      </c>
      <c r="CA160" s="13">
        <f t="shared" si="170"/>
        <v>6.172221809210666</v>
      </c>
      <c r="CB160" s="20">
        <f t="shared" si="171"/>
        <v>43.582452684375909</v>
      </c>
      <c r="CC160" s="59">
        <f t="shared" si="119"/>
        <v>331.04106361096251</v>
      </c>
      <c r="CD160" s="59">
        <f ca="1">AVERAGE(OFFSET($CC$3,0,0,'Données projet'!$E$12+1,1))-AVERAGE(OFFSET($H$3,0,0,'Données projet'!$E$12+1,1))</f>
        <v>592.58528888957346</v>
      </c>
      <c r="CE160" s="59">
        <f t="shared" si="148"/>
        <v>311.31528017256846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174.13626356525219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174.13626356525219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0.8600000000003547</v>
      </c>
      <c r="CU160" s="17">
        <f>CT160*VLOOKUP('Données projet'!$B$13,Paramètres!$A$1:$I$89,3,0)*VLOOKUP('Données projet'!$B$13,Paramètres!$A$1:$I$89,5,0)</f>
        <v>0.48074000000019829</v>
      </c>
      <c r="CV160" s="13">
        <f t="shared" si="173"/>
        <v>0.24126147010950588</v>
      </c>
      <c r="CW160" s="20">
        <f t="shared" si="174"/>
        <v>1.2574858937744013</v>
      </c>
      <c r="CX160" s="59">
        <f t="shared" si="122"/>
        <v>288.71609682036097</v>
      </c>
      <c r="CY160" s="59">
        <f ca="1">AVERAGE(OFFSET($CX$3,0,0,'Données projet'!$E$13+1,1))-AVERAGE(OFFSET($H$3,0,0,'Données projet'!$E$13+1,1))</f>
        <v>420.4890915162182</v>
      </c>
      <c r="CZ160" s="59">
        <f t="shared" si="150"/>
        <v>553.48432338023565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49.318526817077121</v>
      </c>
      <c r="DG160" s="21">
        <f>EXP(-LN(2)/25)*DG159+(1-EXP(-LN(2)/25))/(LN(2)/25)*Calculateur!DB160*Calculateur!DD160*VLOOKUP('Données projet'!$B$13,Paramètres!$A$1:$I$89,3,0)*0.475*44/12</f>
        <v>1.4951043170374203</v>
      </c>
      <c r="DH160" s="21">
        <f>EXP(-LN(2)/2)*DH159+(1-EXP(-LN(2)/2))/(LN(2)/2)*DB160*DE160*VLOOKUP('Données projet'!$B$13,Paramètres!$A$1:$I$89,3,0)*0.475*44/12</f>
        <v>5.6725763804044449E-20</v>
      </c>
      <c r="DI160" s="22">
        <f t="shared" si="175"/>
        <v>50.813631134114544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19.8100000000004</v>
      </c>
      <c r="DP160" s="17">
        <f>DO160*VLOOKUP('Données projet'!$B$14,Paramètres!$A$1:$I$89,3,0)*VLOOKUP('Données projet'!$B$14,Paramètres!$A$1:$I$89,5,0)</f>
        <v>21.323484000000427</v>
      </c>
      <c r="DQ160" s="13">
        <f t="shared" si="176"/>
        <v>6.88226100850307</v>
      </c>
      <c r="DR160" s="20">
        <f t="shared" si="177"/>
        <v>49.125005889810261</v>
      </c>
      <c r="DS160" s="59">
        <f t="shared" si="125"/>
        <v>336.58361681639684</v>
      </c>
      <c r="DT160" s="59">
        <f ca="1">AVERAGE(OFFSET($DS$3,0,0,'Données projet'!$E$14+1,1))-AVERAGE(OFFSET($H$3,0,0,'Données projet'!$E$14+1,1))</f>
        <v>659.55755908012691</v>
      </c>
      <c r="DU160" s="59">
        <f t="shared" si="152"/>
        <v>343.96647464823627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196.97380632790822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196.97380632790822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19.8100000000004</v>
      </c>
      <c r="EK160" s="17">
        <f>EJ160*VLOOKUP('Données projet'!$B$15,Paramètres!$A$1:$I$89,3,0)*VLOOKUP('Données projet'!$B$15,Paramètres!$A$1:$I$89,5,0)</f>
        <v>19.160232000000388</v>
      </c>
      <c r="EL160" s="13">
        <f t="shared" si="179"/>
        <v>6.2615431735370342</v>
      </c>
      <c r="EM160" s="20">
        <f t="shared" si="180"/>
        <v>44.27625842724435</v>
      </c>
      <c r="EN160" s="59">
        <f t="shared" si="128"/>
        <v>331.7348693538309</v>
      </c>
      <c r="EO160" s="59">
        <f ca="1">AVERAGE(OFFSET($EN$3,0,0,'Données projet'!$E$15+1,1))-AVERAGE(OFFSET($H$3,0,0,'Données projet'!$E$15+1,1))</f>
        <v>600.96600099541388</v>
      </c>
      <c r="EP160" s="59">
        <f t="shared" si="154"/>
        <v>315.40159257508969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176.99095641058412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176.99095641058412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17.924088000000364</v>
      </c>
      <c r="P161" s="13">
        <f t="shared" si="141"/>
        <v>5.9032212091029486</v>
      </c>
      <c r="Q161" s="20">
        <f t="shared" si="162"/>
        <v>41.499230205854936</v>
      </c>
      <c r="R161" s="59">
        <f t="shared" si="109"/>
        <v>329.05975443228692</v>
      </c>
      <c r="S161" s="59">
        <f ca="1">AVERAGE(OFFSET($R$3,0,0,'Données projet'!$E$9+1,1))-AVERAGE(OFFSET($H$3,0,0,'Données projet'!$E$9+1,1))</f>
        <v>567.42635821336114</v>
      </c>
      <c r="T161" s="59">
        <f t="shared" si="142"/>
        <v>299.0473530693472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162.32541546989347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162.32541546989347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475.00000000000023</v>
      </c>
      <c r="AJ161" s="13">
        <f>AI161*VLOOKUP('Données projet'!$B$10,Paramètres!$A$1:$I$89,3,0)*VLOOKUP('Données projet'!$B$10,Paramètres!$A$1:$I$89,5,0)</f>
        <v>407.5500000000003</v>
      </c>
      <c r="AK161" s="13">
        <f t="shared" si="164"/>
        <v>93.305642095357683</v>
      </c>
      <c r="AL161" s="20">
        <f t="shared" si="165"/>
        <v>872.32357664941526</v>
      </c>
      <c r="AM161" s="59">
        <f t="shared" si="113"/>
        <v>1159.8841008758473</v>
      </c>
      <c r="AN161" s="59">
        <f ca="1">AVERAGE(OFFSET($AM$3,0,0,'Données projet'!$E$10+1,1))-AVERAGE(OFFSET($H$3,0,0,'Données projet'!$E$10+1,1))</f>
        <v>570.05585579662738</v>
      </c>
      <c r="AO161" s="59">
        <f t="shared" si="144"/>
        <v>331.25104323342907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57.585812047823829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57.585812047823829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16.750000000000213</v>
      </c>
      <c r="BE161" s="13">
        <f>BD161*VLOOKUP('Données projet'!$B$11,Paramètres!$A$1:$I$89,3,0)*VLOOKUP('Données projet'!$B$11,Paramètres!$A$1:$I$89,5,0)</f>
        <v>14.11020000000018</v>
      </c>
      <c r="BF161" s="13">
        <f t="shared" si="167"/>
        <v>4.7783677814795205</v>
      </c>
      <c r="BG161" s="20">
        <f t="shared" si="168"/>
        <v>32.897588886077138</v>
      </c>
      <c r="BH161" s="59">
        <f t="shared" si="116"/>
        <v>320.45811311250912</v>
      </c>
      <c r="BI161" s="59">
        <f ca="1">AVERAGE(OFFSET($BH$3,0,0,'Données projet'!$E$11+1,1))-AVERAGE(OFFSET($H$3,0,0,'Données projet'!$E$11+1,1))</f>
        <v>458.88102603650725</v>
      </c>
      <c r="BJ161" s="59">
        <f t="shared" si="146"/>
        <v>277.79020316059552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90.780625796661838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90.780625796661838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19.8100000000004</v>
      </c>
      <c r="BZ161" s="13">
        <f>BY161*VLOOKUP('Données projet'!$B$12,Paramètres!$A$1:$I$89,3,0)*VLOOKUP('Données projet'!$B$12,Paramètres!$A$1:$I$89,5,0)</f>
        <v>18.851196000000382</v>
      </c>
      <c r="CA161" s="13">
        <f t="shared" si="170"/>
        <v>6.172221809210666</v>
      </c>
      <c r="CB161" s="20">
        <f t="shared" si="171"/>
        <v>43.582452684375909</v>
      </c>
      <c r="CC161" s="59">
        <f t="shared" si="119"/>
        <v>331.14297691080787</v>
      </c>
      <c r="CD161" s="59">
        <f ca="1">AVERAGE(OFFSET($CC$3,0,0,'Données projet'!$E$12+1,1))-AVERAGE(OFFSET($H$3,0,0,'Données projet'!$E$12+1,1))</f>
        <v>592.58528888957346</v>
      </c>
      <c r="CE161" s="59">
        <f t="shared" si="148"/>
        <v>311.31528017256846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170.72155764937074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170.72155764937074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0.8600000000003547</v>
      </c>
      <c r="CU161" s="17">
        <f>CT161*VLOOKUP('Données projet'!$B$13,Paramètres!$A$1:$I$89,3,0)*VLOOKUP('Données projet'!$B$13,Paramètres!$A$1:$I$89,5,0)</f>
        <v>0.48074000000019829</v>
      </c>
      <c r="CV161" s="13">
        <f t="shared" si="173"/>
        <v>0.24126147010950588</v>
      </c>
      <c r="CW161" s="20">
        <f t="shared" si="174"/>
        <v>1.2574858937744013</v>
      </c>
      <c r="CX161" s="59">
        <f t="shared" si="122"/>
        <v>288.8180101202064</v>
      </c>
      <c r="CY161" s="59">
        <f ca="1">AVERAGE(OFFSET($CX$3,0,0,'Données projet'!$E$13+1,1))-AVERAGE(OFFSET($H$3,0,0,'Données projet'!$E$13+1,1))</f>
        <v>420.4890915162182</v>
      </c>
      <c r="CZ161" s="59">
        <f t="shared" si="150"/>
        <v>553.48432338023565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48.351420587525311</v>
      </c>
      <c r="DG161" s="21">
        <f>EXP(-LN(2)/25)*DG160+(1-EXP(-LN(2)/25))/(LN(2)/25)*Calculateur!DB161*Calculateur!DD161*VLOOKUP('Données projet'!$B$13,Paramètres!$A$1:$I$89,3,0)*0.475*44/12</f>
        <v>1.4542206108639131</v>
      </c>
      <c r="DH161" s="21">
        <f>EXP(-LN(2)/2)*DH160+(1-EXP(-LN(2)/2))/(LN(2)/2)*DB161*DE161*VLOOKUP('Données projet'!$B$13,Paramètres!$A$1:$I$89,3,0)*0.475*44/12</f>
        <v>4.0111172253826237E-20</v>
      </c>
      <c r="DI161" s="22">
        <f t="shared" si="175"/>
        <v>49.805641198389225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19.8100000000004</v>
      </c>
      <c r="DP161" s="17">
        <f>DO161*VLOOKUP('Données projet'!$B$14,Paramètres!$A$1:$I$89,3,0)*VLOOKUP('Données projet'!$B$14,Paramètres!$A$1:$I$89,5,0)</f>
        <v>21.323484000000427</v>
      </c>
      <c r="DQ161" s="13">
        <f t="shared" si="176"/>
        <v>6.88226100850307</v>
      </c>
      <c r="DR161" s="20">
        <f t="shared" si="177"/>
        <v>49.125005889810261</v>
      </c>
      <c r="DS161" s="59">
        <f t="shared" si="125"/>
        <v>336.68553011624226</v>
      </c>
      <c r="DT161" s="59">
        <f ca="1">AVERAGE(OFFSET($DS$3,0,0,'Données projet'!$E$14+1,1))-AVERAGE(OFFSET($H$3,0,0,'Données projet'!$E$14+1,1))</f>
        <v>659.55755908012691</v>
      </c>
      <c r="DU161" s="59">
        <f t="shared" si="152"/>
        <v>343.96647464823627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193.11127012797675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193.11127012797675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19.8100000000004</v>
      </c>
      <c r="EK161" s="17">
        <f>EJ161*VLOOKUP('Données projet'!$B$15,Paramètres!$A$1:$I$89,3,0)*VLOOKUP('Données projet'!$B$15,Paramètres!$A$1:$I$89,5,0)</f>
        <v>19.160232000000388</v>
      </c>
      <c r="EL161" s="13">
        <f t="shared" si="179"/>
        <v>6.2615431735370342</v>
      </c>
      <c r="EM161" s="20">
        <f t="shared" si="180"/>
        <v>44.27625842724435</v>
      </c>
      <c r="EN161" s="59">
        <f t="shared" si="128"/>
        <v>331.83678265367632</v>
      </c>
      <c r="EO161" s="59">
        <f ca="1">AVERAGE(OFFSET($EN$3,0,0,'Données projet'!$E$15+1,1))-AVERAGE(OFFSET($H$3,0,0,'Données projet'!$E$15+1,1))</f>
        <v>600.96600099541388</v>
      </c>
      <c r="EP161" s="59">
        <f t="shared" si="154"/>
        <v>315.40159257508969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173.52027170919641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173.52027170919641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17.924088000000364</v>
      </c>
      <c r="P162" s="13">
        <f t="shared" si="141"/>
        <v>5.9032212091029486</v>
      </c>
      <c r="Q162" s="20">
        <f t="shared" si="162"/>
        <v>41.499230205854936</v>
      </c>
      <c r="R162" s="59">
        <f t="shared" si="109"/>
        <v>329.15989976422389</v>
      </c>
      <c r="S162" s="59">
        <f ca="1">AVERAGE(OFFSET($R$3,0,0,'Données projet'!$E$9+1,1))-AVERAGE(OFFSET($H$3,0,0,'Données projet'!$E$9+1,1))</f>
        <v>567.42635821336114</v>
      </c>
      <c r="T162" s="59">
        <f t="shared" si="142"/>
        <v>299.0473530693472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159.14231308125599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159.14231308125599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475.00000000000023</v>
      </c>
      <c r="AJ162" s="13">
        <f>AI162*VLOOKUP('Données projet'!$B$10,Paramètres!$A$1:$I$89,3,0)*VLOOKUP('Données projet'!$B$10,Paramètres!$A$1:$I$89,5,0)</f>
        <v>407.5500000000003</v>
      </c>
      <c r="AK162" s="13">
        <f t="shared" si="164"/>
        <v>93.305642095357683</v>
      </c>
      <c r="AL162" s="20">
        <f t="shared" si="165"/>
        <v>872.32357664941526</v>
      </c>
      <c r="AM162" s="59">
        <f t="shared" si="113"/>
        <v>1159.9842462077843</v>
      </c>
      <c r="AN162" s="59">
        <f ca="1">AVERAGE(OFFSET($AM$3,0,0,'Données projet'!$E$10+1,1))-AVERAGE(OFFSET($H$3,0,0,'Données projet'!$E$10+1,1))</f>
        <v>570.05585579662738</v>
      </c>
      <c r="AO162" s="59">
        <f t="shared" si="144"/>
        <v>331.25104323342907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56.45658939744316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56.45658939744316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16.750000000000213</v>
      </c>
      <c r="BE162" s="13">
        <f>BD162*VLOOKUP('Données projet'!$B$11,Paramètres!$A$1:$I$89,3,0)*VLOOKUP('Données projet'!$B$11,Paramètres!$A$1:$I$89,5,0)</f>
        <v>14.11020000000018</v>
      </c>
      <c r="BF162" s="13">
        <f t="shared" si="167"/>
        <v>4.7783677814795205</v>
      </c>
      <c r="BG162" s="20">
        <f t="shared" si="168"/>
        <v>32.897588886077138</v>
      </c>
      <c r="BH162" s="59">
        <f t="shared" si="116"/>
        <v>320.5582584444461</v>
      </c>
      <c r="BI162" s="59">
        <f ca="1">AVERAGE(OFFSET($BH$3,0,0,'Données projet'!$E$11+1,1))-AVERAGE(OFFSET($H$3,0,0,'Données projet'!$E$11+1,1))</f>
        <v>458.88102603650725</v>
      </c>
      <c r="BJ162" s="59">
        <f t="shared" si="146"/>
        <v>277.79020316059552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89.000473095503637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89.000473095503637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19.8100000000004</v>
      </c>
      <c r="BZ162" s="13">
        <f>BY162*VLOOKUP('Données projet'!$B$12,Paramètres!$A$1:$I$89,3,0)*VLOOKUP('Données projet'!$B$12,Paramètres!$A$1:$I$89,5,0)</f>
        <v>18.851196000000382</v>
      </c>
      <c r="CA162" s="13">
        <f t="shared" si="170"/>
        <v>6.172221809210666</v>
      </c>
      <c r="CB162" s="20">
        <f t="shared" si="171"/>
        <v>43.582452684375909</v>
      </c>
      <c r="CC162" s="59">
        <f t="shared" si="119"/>
        <v>331.2431222427449</v>
      </c>
      <c r="CD162" s="59">
        <f ca="1">AVERAGE(OFFSET($CC$3,0,0,'Données projet'!$E$12+1,1))-AVERAGE(OFFSET($H$3,0,0,'Données projet'!$E$12+1,1))</f>
        <v>592.58528888957346</v>
      </c>
      <c r="CE162" s="59">
        <f t="shared" si="148"/>
        <v>311.31528017256846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167.37381203373477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167.37381203373477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0.8600000000003547</v>
      </c>
      <c r="CU162" s="17">
        <f>CT162*VLOOKUP('Données projet'!$B$13,Paramètres!$A$1:$I$89,3,0)*VLOOKUP('Données projet'!$B$13,Paramètres!$A$1:$I$89,5,0)</f>
        <v>0.48074000000019829</v>
      </c>
      <c r="CV162" s="13">
        <f t="shared" si="173"/>
        <v>0.24126147010950588</v>
      </c>
      <c r="CW162" s="20">
        <f t="shared" si="174"/>
        <v>1.2574858937744013</v>
      </c>
      <c r="CX162" s="59">
        <f t="shared" si="122"/>
        <v>288.91815545214337</v>
      </c>
      <c r="CY162" s="59">
        <f ca="1">AVERAGE(OFFSET($CX$3,0,0,'Données projet'!$E$13+1,1))-AVERAGE(OFFSET($H$3,0,0,'Données projet'!$E$13+1,1))</f>
        <v>420.4890915162182</v>
      </c>
      <c r="CZ162" s="59">
        <f t="shared" si="150"/>
        <v>553.48432338023565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47.403278721258459</v>
      </c>
      <c r="DG162" s="21">
        <f>EXP(-LN(2)/25)*DG161+(1-EXP(-LN(2)/25))/(LN(2)/25)*Calculateur!DB162*Calculateur!DD162*VLOOKUP('Données projet'!$B$13,Paramètres!$A$1:$I$89,3,0)*0.475*44/12</f>
        <v>1.4144548717857011</v>
      </c>
      <c r="DH162" s="21">
        <f>EXP(-LN(2)/2)*DH161+(1-EXP(-LN(2)/2))/(LN(2)/2)*DB162*DE162*VLOOKUP('Données projet'!$B$13,Paramètres!$A$1:$I$89,3,0)*0.475*44/12</f>
        <v>2.8362881902022224E-20</v>
      </c>
      <c r="DI162" s="22">
        <f t="shared" si="175"/>
        <v>48.81773359304416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19.8100000000004</v>
      </c>
      <c r="DP162" s="17">
        <f>DO162*VLOOKUP('Données projet'!$B$14,Paramètres!$A$1:$I$89,3,0)*VLOOKUP('Données projet'!$B$14,Paramètres!$A$1:$I$89,5,0)</f>
        <v>21.323484000000427</v>
      </c>
      <c r="DQ162" s="13">
        <f t="shared" si="176"/>
        <v>6.88226100850307</v>
      </c>
      <c r="DR162" s="20">
        <f t="shared" si="177"/>
        <v>49.125005889810261</v>
      </c>
      <c r="DS162" s="59">
        <f t="shared" si="125"/>
        <v>336.78567544817923</v>
      </c>
      <c r="DT162" s="59">
        <f ca="1">AVERAGE(OFFSET($DS$3,0,0,'Données projet'!$E$14+1,1))-AVERAGE(OFFSET($H$3,0,0,'Données projet'!$E$14+1,1))</f>
        <v>659.55755908012691</v>
      </c>
      <c r="DU162" s="59">
        <f t="shared" si="152"/>
        <v>343.96647464823627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189.32447590701148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189.32447590701148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19.8100000000004</v>
      </c>
      <c r="EK162" s="17">
        <f>EJ162*VLOOKUP('Données projet'!$B$15,Paramètres!$A$1:$I$89,3,0)*VLOOKUP('Données projet'!$B$15,Paramètres!$A$1:$I$89,5,0)</f>
        <v>19.160232000000388</v>
      </c>
      <c r="EL162" s="13">
        <f t="shared" si="179"/>
        <v>6.2615431735370342</v>
      </c>
      <c r="EM162" s="20">
        <f t="shared" si="180"/>
        <v>44.27625842724435</v>
      </c>
      <c r="EN162" s="59">
        <f t="shared" si="128"/>
        <v>331.93692798561329</v>
      </c>
      <c r="EO162" s="59">
        <f ca="1">AVERAGE(OFFSET($EN$3,0,0,'Données projet'!$E$15+1,1))-AVERAGE(OFFSET($H$3,0,0,'Données projet'!$E$15+1,1))</f>
        <v>600.96600099541388</v>
      </c>
      <c r="EP162" s="59">
        <f t="shared" si="154"/>
        <v>315.40159257508969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170.11764501789429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170.11764501789429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17.924088000000364</v>
      </c>
      <c r="P163" s="13">
        <f t="shared" si="141"/>
        <v>5.9032212091029486</v>
      </c>
      <c r="Q163" s="20">
        <f t="shared" si="162"/>
        <v>41.499230205854936</v>
      </c>
      <c r="R163" s="59">
        <f t="shared" si="109"/>
        <v>329.25830779854329</v>
      </c>
      <c r="S163" s="59">
        <f ca="1">AVERAGE(OFFSET($R$3,0,0,'Données projet'!$E$9+1,1))-AVERAGE(OFFSET($H$3,0,0,'Données projet'!$E$9+1,1))</f>
        <v>567.42635821336114</v>
      </c>
      <c r="T163" s="59">
        <f t="shared" si="142"/>
        <v>299.0473530693472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156.02162938895896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156.02162938895896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475.00000000000023</v>
      </c>
      <c r="AJ163" s="13">
        <f>AI163*VLOOKUP('Données projet'!$B$10,Paramètres!$A$1:$I$89,3,0)*VLOOKUP('Données projet'!$B$10,Paramètres!$A$1:$I$89,5,0)</f>
        <v>407.5500000000003</v>
      </c>
      <c r="AK163" s="13">
        <f t="shared" si="164"/>
        <v>93.305642095357683</v>
      </c>
      <c r="AL163" s="20">
        <f t="shared" si="165"/>
        <v>872.32357664941526</v>
      </c>
      <c r="AM163" s="59">
        <f t="shared" si="113"/>
        <v>1160.0826542421037</v>
      </c>
      <c r="AN163" s="59">
        <f ca="1">AVERAGE(OFFSET($AM$3,0,0,'Données projet'!$E$10+1,1))-AVERAGE(OFFSET($H$3,0,0,'Données projet'!$E$10+1,1))</f>
        <v>570.05585579662738</v>
      </c>
      <c r="AO163" s="59">
        <f t="shared" si="144"/>
        <v>331.25104323342907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55.349510114478647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55.349510114478647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16.750000000000213</v>
      </c>
      <c r="BE163" s="13">
        <f>BD163*VLOOKUP('Données projet'!$B$11,Paramètres!$A$1:$I$89,3,0)*VLOOKUP('Données projet'!$B$11,Paramètres!$A$1:$I$89,5,0)</f>
        <v>14.11020000000018</v>
      </c>
      <c r="BF163" s="13">
        <f t="shared" si="167"/>
        <v>4.7783677814795205</v>
      </c>
      <c r="BG163" s="20">
        <f t="shared" si="168"/>
        <v>32.897588886077138</v>
      </c>
      <c r="BH163" s="59">
        <f t="shared" si="116"/>
        <v>320.65666647876549</v>
      </c>
      <c r="BI163" s="59">
        <f ca="1">AVERAGE(OFFSET($BH$3,0,0,'Données projet'!$E$11+1,1))-AVERAGE(OFFSET($H$3,0,0,'Données projet'!$E$11+1,1))</f>
        <v>458.88102603650725</v>
      </c>
      <c r="BJ163" s="59">
        <f t="shared" si="146"/>
        <v>277.79020316059552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87.255228103029211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87.255228103029211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19.8100000000004</v>
      </c>
      <c r="BZ163" s="13">
        <f>BY163*VLOOKUP('Données projet'!$B$12,Paramètres!$A$1:$I$89,3,0)*VLOOKUP('Données projet'!$B$12,Paramètres!$A$1:$I$89,5,0)</f>
        <v>18.851196000000382</v>
      </c>
      <c r="CA163" s="13">
        <f t="shared" si="170"/>
        <v>6.172221809210666</v>
      </c>
      <c r="CB163" s="20">
        <f t="shared" si="171"/>
        <v>43.582452684375909</v>
      </c>
      <c r="CC163" s="59">
        <f t="shared" si="119"/>
        <v>331.34153027706429</v>
      </c>
      <c r="CD163" s="59">
        <f ca="1">AVERAGE(OFFSET($CC$3,0,0,'Données projet'!$E$12+1,1))-AVERAGE(OFFSET($H$3,0,0,'Données projet'!$E$12+1,1))</f>
        <v>592.58528888957346</v>
      </c>
      <c r="CE163" s="59">
        <f t="shared" si="148"/>
        <v>311.31528017256846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164.09171366769823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164.09171366769823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0.8600000000003547</v>
      </c>
      <c r="CU163" s="17">
        <f>CT163*VLOOKUP('Données projet'!$B$13,Paramètres!$A$1:$I$89,3,0)*VLOOKUP('Données projet'!$B$13,Paramètres!$A$1:$I$89,5,0)</f>
        <v>0.48074000000019829</v>
      </c>
      <c r="CV163" s="13">
        <f t="shared" si="173"/>
        <v>0.24126147010950588</v>
      </c>
      <c r="CW163" s="20">
        <f t="shared" si="174"/>
        <v>1.2574858937744013</v>
      </c>
      <c r="CX163" s="59">
        <f t="shared" si="122"/>
        <v>289.01656348646276</v>
      </c>
      <c r="CY163" s="59">
        <f ca="1">AVERAGE(OFFSET($CX$3,0,0,'Données projet'!$E$13+1,1))-AVERAGE(OFFSET($H$3,0,0,'Données projet'!$E$13+1,1))</f>
        <v>420.4890915162182</v>
      </c>
      <c r="CZ163" s="59">
        <f t="shared" si="150"/>
        <v>553.48432338023565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46.473729338679668</v>
      </c>
      <c r="DG163" s="21">
        <f>EXP(-LN(2)/25)*DG162+(1-EXP(-LN(2)/25))/(LN(2)/25)*Calculateur!DB163*Calculateur!DD163*VLOOKUP('Données projet'!$B$13,Paramètres!$A$1:$I$89,3,0)*0.475*44/12</f>
        <v>1.3757765289337722</v>
      </c>
      <c r="DH163" s="21">
        <f>EXP(-LN(2)/2)*DH162+(1-EXP(-LN(2)/2))/(LN(2)/2)*DB163*DE163*VLOOKUP('Données projet'!$B$13,Paramètres!$A$1:$I$89,3,0)*0.475*44/12</f>
        <v>2.0055586126913119E-20</v>
      </c>
      <c r="DI163" s="22">
        <f t="shared" si="175"/>
        <v>47.849505867613438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19.8100000000004</v>
      </c>
      <c r="DP163" s="17">
        <f>DO163*VLOOKUP('Données projet'!$B$14,Paramètres!$A$1:$I$89,3,0)*VLOOKUP('Données projet'!$B$14,Paramètres!$A$1:$I$89,5,0)</f>
        <v>21.323484000000427</v>
      </c>
      <c r="DQ163" s="13">
        <f t="shared" si="176"/>
        <v>6.88226100850307</v>
      </c>
      <c r="DR163" s="20">
        <f t="shared" si="177"/>
        <v>49.125005889810261</v>
      </c>
      <c r="DS163" s="59">
        <f t="shared" si="125"/>
        <v>336.88408348249862</v>
      </c>
      <c r="DT163" s="59">
        <f ca="1">AVERAGE(OFFSET($DS$3,0,0,'Données projet'!$E$14+1,1))-AVERAGE(OFFSET($H$3,0,0,'Données projet'!$E$14+1,1))</f>
        <v>659.55755908012691</v>
      </c>
      <c r="DU163" s="59">
        <f t="shared" si="152"/>
        <v>343.96647464823627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185.61193841100291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185.61193841100291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19.8100000000004</v>
      </c>
      <c r="EK163" s="17">
        <f>EJ163*VLOOKUP('Données projet'!$B$15,Paramètres!$A$1:$I$89,3,0)*VLOOKUP('Données projet'!$B$15,Paramètres!$A$1:$I$89,5,0)</f>
        <v>19.160232000000388</v>
      </c>
      <c r="EL163" s="13">
        <f t="shared" si="179"/>
        <v>6.2615431735370342</v>
      </c>
      <c r="EM163" s="20">
        <f t="shared" si="180"/>
        <v>44.27625842724435</v>
      </c>
      <c r="EN163" s="59">
        <f t="shared" si="128"/>
        <v>332.03533601993269</v>
      </c>
      <c r="EO163" s="59">
        <f ca="1">AVERAGE(OFFSET($EN$3,0,0,'Données projet'!$E$15+1,1))-AVERAGE(OFFSET($H$3,0,0,'Données projet'!$E$15+1,1))</f>
        <v>600.96600099541388</v>
      </c>
      <c r="EP163" s="59">
        <f t="shared" si="154"/>
        <v>315.40159257508969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166.78174176061125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166.78174176061125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17.924088000000364</v>
      </c>
      <c r="P164" s="13">
        <f t="shared" si="141"/>
        <v>5.9032212091029486</v>
      </c>
      <c r="Q164" s="20">
        <f t="shared" si="162"/>
        <v>41.499230205854936</v>
      </c>
      <c r="R164" s="59">
        <f t="shared" si="109"/>
        <v>329.35500867347463</v>
      </c>
      <c r="S164" s="59">
        <f ca="1">AVERAGE(OFFSET($R$3,0,0,'Données projet'!$E$9+1,1))-AVERAGE(OFFSET($H$3,0,0,'Données projet'!$E$9+1,1))</f>
        <v>567.42635821336114</v>
      </c>
      <c r="T164" s="59">
        <f t="shared" si="142"/>
        <v>299.0473530693472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152.96214040043876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152.96214040043876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475.00000000000023</v>
      </c>
      <c r="AJ164" s="13">
        <f>AI164*VLOOKUP('Données projet'!$B$10,Paramètres!$A$1:$I$89,3,0)*VLOOKUP('Données projet'!$B$10,Paramètres!$A$1:$I$89,5,0)</f>
        <v>407.5500000000003</v>
      </c>
      <c r="AK164" s="13">
        <f t="shared" si="164"/>
        <v>93.305642095357683</v>
      </c>
      <c r="AL164" s="20">
        <f t="shared" si="165"/>
        <v>872.32357664941526</v>
      </c>
      <c r="AM164" s="59">
        <f t="shared" si="113"/>
        <v>1160.1793551170349</v>
      </c>
      <c r="AN164" s="59">
        <f ca="1">AVERAGE(OFFSET($AM$3,0,0,'Données projet'!$E$10+1,1))-AVERAGE(OFFSET($H$3,0,0,'Données projet'!$E$10+1,1))</f>
        <v>570.05585579662738</v>
      </c>
      <c r="AO164" s="59">
        <f t="shared" si="144"/>
        <v>331.25104323342907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54.264139981001378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54.264139981001378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16.750000000000213</v>
      </c>
      <c r="BE164" s="13">
        <f>BD164*VLOOKUP('Données projet'!$B$11,Paramètres!$A$1:$I$89,3,0)*VLOOKUP('Données projet'!$B$11,Paramètres!$A$1:$I$89,5,0)</f>
        <v>14.11020000000018</v>
      </c>
      <c r="BF164" s="13">
        <f t="shared" si="167"/>
        <v>4.7783677814795205</v>
      </c>
      <c r="BG164" s="20">
        <f t="shared" si="168"/>
        <v>32.897588886077138</v>
      </c>
      <c r="BH164" s="59">
        <f t="shared" si="116"/>
        <v>320.75336735369683</v>
      </c>
      <c r="BI164" s="59">
        <f ca="1">AVERAGE(OFFSET($BH$3,0,0,'Données projet'!$E$11+1,1))-AVERAGE(OFFSET($H$3,0,0,'Données projet'!$E$11+1,1))</f>
        <v>458.88102603650725</v>
      </c>
      <c r="BJ164" s="59">
        <f t="shared" si="146"/>
        <v>277.79020316059552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85.544206300362873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85.544206300362873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19.8100000000004</v>
      </c>
      <c r="BZ164" s="13">
        <f>BY164*VLOOKUP('Données projet'!$B$12,Paramètres!$A$1:$I$89,3,0)*VLOOKUP('Données projet'!$B$12,Paramètres!$A$1:$I$89,5,0)</f>
        <v>18.851196000000382</v>
      </c>
      <c r="CA164" s="13">
        <f t="shared" si="170"/>
        <v>6.172221809210666</v>
      </c>
      <c r="CB164" s="20">
        <f t="shared" si="171"/>
        <v>43.582452684375909</v>
      </c>
      <c r="CC164" s="59">
        <f t="shared" si="119"/>
        <v>331.43823115199564</v>
      </c>
      <c r="CD164" s="59">
        <f ca="1">AVERAGE(OFFSET($CC$3,0,0,'Données projet'!$E$12+1,1))-AVERAGE(OFFSET($H$3,0,0,'Données projet'!$E$12+1,1))</f>
        <v>592.58528888957346</v>
      </c>
      <c r="CE164" s="59">
        <f t="shared" si="148"/>
        <v>311.31528017256846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160.87397524873734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160.87397524873734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0.8600000000003547</v>
      </c>
      <c r="CU164" s="17">
        <f>CT164*VLOOKUP('Données projet'!$B$13,Paramètres!$A$1:$I$89,3,0)*VLOOKUP('Données projet'!$B$13,Paramètres!$A$1:$I$89,5,0)</f>
        <v>0.48074000000019829</v>
      </c>
      <c r="CV164" s="13">
        <f t="shared" si="173"/>
        <v>0.24126147010950588</v>
      </c>
      <c r="CW164" s="20">
        <f t="shared" si="174"/>
        <v>1.2574858937744013</v>
      </c>
      <c r="CX164" s="59">
        <f t="shared" si="122"/>
        <v>289.1132643613941</v>
      </c>
      <c r="CY164" s="59">
        <f ca="1">AVERAGE(OFFSET($CX$3,0,0,'Données projet'!$E$13+1,1))-AVERAGE(OFFSET($H$3,0,0,'Données projet'!$E$13+1,1))</f>
        <v>420.4890915162182</v>
      </c>
      <c r="CZ164" s="59">
        <f t="shared" si="150"/>
        <v>553.48432338023565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45.562407852524103</v>
      </c>
      <c r="DG164" s="21">
        <f>EXP(-LN(2)/25)*DG163+(1-EXP(-LN(2)/25))/(LN(2)/25)*Calculateur!DB164*Calculateur!DD164*VLOOKUP('Données projet'!$B$13,Paramètres!$A$1:$I$89,3,0)*0.475*44/12</f>
        <v>1.338155847401135</v>
      </c>
      <c r="DH164" s="21">
        <f>EXP(-LN(2)/2)*DH163+(1-EXP(-LN(2)/2))/(LN(2)/2)*DB164*DE164*VLOOKUP('Données projet'!$B$13,Paramètres!$A$1:$I$89,3,0)*0.475*44/12</f>
        <v>1.4181440951011112E-20</v>
      </c>
      <c r="DI164" s="22">
        <f t="shared" si="175"/>
        <v>46.900563699925236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19.8100000000004</v>
      </c>
      <c r="DP164" s="17">
        <f>DO164*VLOOKUP('Données projet'!$B$14,Paramètres!$A$1:$I$89,3,0)*VLOOKUP('Données projet'!$B$14,Paramètres!$A$1:$I$89,5,0)</f>
        <v>21.323484000000427</v>
      </c>
      <c r="DQ164" s="13">
        <f t="shared" si="176"/>
        <v>6.88226100850307</v>
      </c>
      <c r="DR164" s="20">
        <f t="shared" si="177"/>
        <v>49.125005889810261</v>
      </c>
      <c r="DS164" s="59">
        <f t="shared" si="125"/>
        <v>336.98078435742997</v>
      </c>
      <c r="DT164" s="59">
        <f ca="1">AVERAGE(OFFSET($DS$3,0,0,'Données projet'!$E$14+1,1))-AVERAGE(OFFSET($H$3,0,0,'Données projet'!$E$14+1,1))</f>
        <v>659.55755908012691</v>
      </c>
      <c r="DU164" s="59">
        <f t="shared" si="152"/>
        <v>343.96647464823627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181.9722015108668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181.9722015108668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19.8100000000004</v>
      </c>
      <c r="EK164" s="17">
        <f>EJ164*VLOOKUP('Données projet'!$B$15,Paramètres!$A$1:$I$89,3,0)*VLOOKUP('Données projet'!$B$15,Paramètres!$A$1:$I$89,5,0)</f>
        <v>19.160232000000388</v>
      </c>
      <c r="EL164" s="13">
        <f t="shared" si="179"/>
        <v>6.2615431735370342</v>
      </c>
      <c r="EM164" s="20">
        <f t="shared" si="180"/>
        <v>44.27625842724435</v>
      </c>
      <c r="EN164" s="59">
        <f t="shared" si="128"/>
        <v>332.13203689486403</v>
      </c>
      <c r="EO164" s="59">
        <f ca="1">AVERAGE(OFFSET($EN$3,0,0,'Données projet'!$E$15+1,1))-AVERAGE(OFFSET($H$3,0,0,'Données projet'!$E$15+1,1))</f>
        <v>600.96600099541388</v>
      </c>
      <c r="EP164" s="59">
        <f t="shared" si="154"/>
        <v>315.40159257508969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163.51125353150346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163.51125353150346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17.924088000000364</v>
      </c>
      <c r="P165" s="13">
        <f t="shared" si="141"/>
        <v>5.9032212091029486</v>
      </c>
      <c r="Q165" s="20">
        <f t="shared" si="162"/>
        <v>41.499230205854936</v>
      </c>
      <c r="R165" s="59">
        <f t="shared" si="109"/>
        <v>329.45003200441664</v>
      </c>
      <c r="S165" s="59">
        <f ca="1">AVERAGE(OFFSET($R$3,0,0,'Données projet'!$E$9+1,1))-AVERAGE(OFFSET($H$3,0,0,'Données projet'!$E$9+1,1))</f>
        <v>567.42635821336114</v>
      </c>
      <c r="T165" s="59">
        <f t="shared" si="142"/>
        <v>299.0473530693472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149.96264612487943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149.96264612487943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475.00000000000023</v>
      </c>
      <c r="AJ165" s="13">
        <f>AI165*VLOOKUP('Données projet'!$B$10,Paramètres!$A$1:$I$89,3,0)*VLOOKUP('Données projet'!$B$10,Paramètres!$A$1:$I$89,5,0)</f>
        <v>407.5500000000003</v>
      </c>
      <c r="AK165" s="13">
        <f t="shared" si="164"/>
        <v>93.305642095357683</v>
      </c>
      <c r="AL165" s="20">
        <f t="shared" si="165"/>
        <v>872.32357664941526</v>
      </c>
      <c r="AM165" s="59">
        <f t="shared" si="113"/>
        <v>1160.2743784479769</v>
      </c>
      <c r="AN165" s="59">
        <f ca="1">AVERAGE(OFFSET($AM$3,0,0,'Données projet'!$E$10+1,1))-AVERAGE(OFFSET($H$3,0,0,'Données projet'!$E$10+1,1))</f>
        <v>570.05585579662738</v>
      </c>
      <c r="AO165" s="59">
        <f t="shared" si="144"/>
        <v>331.25104323342907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53.200053293831189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53.200053293831189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16.750000000000213</v>
      </c>
      <c r="BE165" s="13">
        <f>BD165*VLOOKUP('Données projet'!$B$11,Paramètres!$A$1:$I$89,3,0)*VLOOKUP('Données projet'!$B$11,Paramètres!$A$1:$I$89,5,0)</f>
        <v>14.11020000000018</v>
      </c>
      <c r="BF165" s="13">
        <f t="shared" si="167"/>
        <v>4.7783677814795205</v>
      </c>
      <c r="BG165" s="20">
        <f t="shared" si="168"/>
        <v>32.897588886077138</v>
      </c>
      <c r="BH165" s="59">
        <f t="shared" si="116"/>
        <v>320.84839068463884</v>
      </c>
      <c r="BI165" s="59">
        <f ca="1">AVERAGE(OFFSET($BH$3,0,0,'Données projet'!$E$11+1,1))-AVERAGE(OFFSET($H$3,0,0,'Données projet'!$E$11+1,1))</f>
        <v>458.88102603650725</v>
      </c>
      <c r="BJ165" s="59">
        <f t="shared" si="146"/>
        <v>277.79020316059552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83.866736591626562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83.866736591626562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19.8100000000004</v>
      </c>
      <c r="BZ165" s="13">
        <f>BY165*VLOOKUP('Données projet'!$B$12,Paramètres!$A$1:$I$89,3,0)*VLOOKUP('Données projet'!$B$12,Paramètres!$A$1:$I$89,5,0)</f>
        <v>18.851196000000382</v>
      </c>
      <c r="CA165" s="13">
        <f t="shared" si="170"/>
        <v>6.172221809210666</v>
      </c>
      <c r="CB165" s="20">
        <f t="shared" si="171"/>
        <v>43.582452684375909</v>
      </c>
      <c r="CC165" s="59">
        <f t="shared" si="119"/>
        <v>331.53325448293765</v>
      </c>
      <c r="CD165" s="59">
        <f ca="1">AVERAGE(OFFSET($CC$3,0,0,'Données projet'!$E$12+1,1))-AVERAGE(OFFSET($H$3,0,0,'Données projet'!$E$12+1,1))</f>
        <v>592.58528888957346</v>
      </c>
      <c r="CE165" s="59">
        <f t="shared" si="148"/>
        <v>311.31528017256846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157.71933471754562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157.71933471754562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0.8600000000003547</v>
      </c>
      <c r="CU165" s="17">
        <f>CT165*VLOOKUP('Données projet'!$B$13,Paramètres!$A$1:$I$89,3,0)*VLOOKUP('Données projet'!$B$13,Paramètres!$A$1:$I$89,5,0)</f>
        <v>0.48074000000019829</v>
      </c>
      <c r="CV165" s="13">
        <f t="shared" si="173"/>
        <v>0.24126147010950588</v>
      </c>
      <c r="CW165" s="20">
        <f t="shared" si="174"/>
        <v>1.2574858937744013</v>
      </c>
      <c r="CX165" s="59">
        <f t="shared" si="122"/>
        <v>289.20828769233611</v>
      </c>
      <c r="CY165" s="59">
        <f ca="1">AVERAGE(OFFSET($CX$3,0,0,'Données projet'!$E$13+1,1))-AVERAGE(OFFSET($H$3,0,0,'Données projet'!$E$13+1,1))</f>
        <v>420.4890915162182</v>
      </c>
      <c r="CZ165" s="59">
        <f t="shared" si="150"/>
        <v>553.48432338023565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44.668956824860828</v>
      </c>
      <c r="DG165" s="21">
        <f>EXP(-LN(2)/25)*DG164+(1-EXP(-LN(2)/25))/(LN(2)/25)*Calculateur!DB165*Calculateur!DD165*VLOOKUP('Données projet'!$B$13,Paramètres!$A$1:$I$89,3,0)*0.475*44/12</f>
        <v>1.3015639053833934</v>
      </c>
      <c r="DH165" s="21">
        <f>EXP(-LN(2)/2)*DH164+(1-EXP(-LN(2)/2))/(LN(2)/2)*DB165*DE165*VLOOKUP('Données projet'!$B$13,Paramètres!$A$1:$I$89,3,0)*0.475*44/12</f>
        <v>1.0027793063456559E-20</v>
      </c>
      <c r="DI165" s="22">
        <f t="shared" si="175"/>
        <v>45.970520730244225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19.8100000000004</v>
      </c>
      <c r="DP165" s="17">
        <f>DO165*VLOOKUP('Données projet'!$B$14,Paramètres!$A$1:$I$89,3,0)*VLOOKUP('Données projet'!$B$14,Paramètres!$A$1:$I$89,5,0)</f>
        <v>21.323484000000427</v>
      </c>
      <c r="DQ165" s="13">
        <f t="shared" si="176"/>
        <v>6.88226100850307</v>
      </c>
      <c r="DR165" s="20">
        <f t="shared" si="177"/>
        <v>49.125005889810261</v>
      </c>
      <c r="DS165" s="59">
        <f t="shared" si="125"/>
        <v>337.07580768837198</v>
      </c>
      <c r="DT165" s="59">
        <f ca="1">AVERAGE(OFFSET($DS$3,0,0,'Données projet'!$E$14+1,1))-AVERAGE(OFFSET($H$3,0,0,'Données projet'!$E$14+1,1))</f>
        <v>659.55755908012691</v>
      </c>
      <c r="DU165" s="59">
        <f t="shared" si="152"/>
        <v>343.96647464823627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178.40383763132206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178.40383763132206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19.8100000000004</v>
      </c>
      <c r="EK165" s="17">
        <f>EJ165*VLOOKUP('Données projet'!$B$15,Paramètres!$A$1:$I$89,3,0)*VLOOKUP('Données projet'!$B$15,Paramètres!$A$1:$I$89,5,0)</f>
        <v>19.160232000000388</v>
      </c>
      <c r="EL165" s="13">
        <f t="shared" si="179"/>
        <v>6.2615431735370342</v>
      </c>
      <c r="EM165" s="20">
        <f t="shared" si="180"/>
        <v>44.27625842724435</v>
      </c>
      <c r="EN165" s="59">
        <f t="shared" si="128"/>
        <v>332.22706022580604</v>
      </c>
      <c r="EO165" s="59">
        <f ca="1">AVERAGE(OFFSET($EN$3,0,0,'Données projet'!$E$15+1,1))-AVERAGE(OFFSET($H$3,0,0,'Données projet'!$E$15+1,1))</f>
        <v>600.96600099541388</v>
      </c>
      <c r="EP165" s="59">
        <f t="shared" si="154"/>
        <v>315.40159257508969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160.30489758176762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160.30489758176762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17.924088000000364</v>
      </c>
      <c r="P166" s="13">
        <f t="shared" si="141"/>
        <v>5.9032212091029486</v>
      </c>
      <c r="Q166" s="20">
        <f t="shared" si="162"/>
        <v>41.499230205854936</v>
      </c>
      <c r="R166" s="59">
        <f t="shared" si="109"/>
        <v>329.54340689300716</v>
      </c>
      <c r="S166" s="59">
        <f ca="1">AVERAGE(OFFSET($R$3,0,0,'Données projet'!$E$9+1,1))-AVERAGE(OFFSET($H$3,0,0,'Données projet'!$E$9+1,1))</f>
        <v>567.42635821336114</v>
      </c>
      <c r="T166" s="59">
        <f t="shared" si="142"/>
        <v>299.0473530693472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147.02197010255296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147.02197010255296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475.00000000000023</v>
      </c>
      <c r="AJ166" s="13">
        <f>AI166*VLOOKUP('Données projet'!$B$10,Paramètres!$A$1:$I$89,3,0)*VLOOKUP('Données projet'!$B$10,Paramètres!$A$1:$I$89,5,0)</f>
        <v>407.5500000000003</v>
      </c>
      <c r="AK166" s="13">
        <f t="shared" si="164"/>
        <v>93.305642095357683</v>
      </c>
      <c r="AL166" s="20">
        <f t="shared" si="165"/>
        <v>872.32357664941526</v>
      </c>
      <c r="AM166" s="59">
        <f t="shared" si="113"/>
        <v>1160.3677533365676</v>
      </c>
      <c r="AN166" s="59">
        <f ca="1">AVERAGE(OFFSET($AM$3,0,0,'Données projet'!$E$10+1,1))-AVERAGE(OFFSET($H$3,0,0,'Données projet'!$E$10+1,1))</f>
        <v>570.05585579662738</v>
      </c>
      <c r="AO166" s="59">
        <f t="shared" si="144"/>
        <v>331.25104323342907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52.156832697567616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52.156832697567616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16.750000000000213</v>
      </c>
      <c r="BE166" s="13">
        <f>BD166*VLOOKUP('Données projet'!$B$11,Paramètres!$A$1:$I$89,3,0)*VLOOKUP('Données projet'!$B$11,Paramètres!$A$1:$I$89,5,0)</f>
        <v>14.11020000000018</v>
      </c>
      <c r="BF166" s="13">
        <f t="shared" si="167"/>
        <v>4.7783677814795205</v>
      </c>
      <c r="BG166" s="20">
        <f t="shared" si="168"/>
        <v>32.897588886077138</v>
      </c>
      <c r="BH166" s="59">
        <f t="shared" si="116"/>
        <v>320.94176557322936</v>
      </c>
      <c r="BI166" s="59">
        <f ca="1">AVERAGE(OFFSET($BH$3,0,0,'Données projet'!$E$11+1,1))-AVERAGE(OFFSET($H$3,0,0,'Données projet'!$E$11+1,1))</f>
        <v>458.88102603650725</v>
      </c>
      <c r="BJ166" s="59">
        <f t="shared" si="146"/>
        <v>277.79020316059552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82.22216104072308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82.22216104072308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19.8100000000004</v>
      </c>
      <c r="BZ166" s="13">
        <f>BY166*VLOOKUP('Données projet'!$B$12,Paramètres!$A$1:$I$89,3,0)*VLOOKUP('Données projet'!$B$12,Paramètres!$A$1:$I$89,5,0)</f>
        <v>18.851196000000382</v>
      </c>
      <c r="CA166" s="13">
        <f t="shared" si="170"/>
        <v>6.172221809210666</v>
      </c>
      <c r="CB166" s="20">
        <f t="shared" si="171"/>
        <v>43.582452684375909</v>
      </c>
      <c r="CC166" s="59">
        <f t="shared" si="119"/>
        <v>331.62662937152811</v>
      </c>
      <c r="CD166" s="59">
        <f ca="1">AVERAGE(OFFSET($CC$3,0,0,'Données projet'!$E$12+1,1))-AVERAGE(OFFSET($H$3,0,0,'Données projet'!$E$12+1,1))</f>
        <v>592.58528888957346</v>
      </c>
      <c r="CE166" s="59">
        <f t="shared" si="148"/>
        <v>311.31528017256846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154.62655476302984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154.62655476302984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0.8600000000003547</v>
      </c>
      <c r="CU166" s="17">
        <f>CT166*VLOOKUP('Données projet'!$B$13,Paramètres!$A$1:$I$89,3,0)*VLOOKUP('Données projet'!$B$13,Paramètres!$A$1:$I$89,5,0)</f>
        <v>0.48074000000019829</v>
      </c>
      <c r="CV166" s="13">
        <f t="shared" si="173"/>
        <v>0.24126147010950588</v>
      </c>
      <c r="CW166" s="20">
        <f t="shared" si="174"/>
        <v>1.2574858937744013</v>
      </c>
      <c r="CX166" s="59">
        <f t="shared" si="122"/>
        <v>289.30166258092663</v>
      </c>
      <c r="CY166" s="59">
        <f ca="1">AVERAGE(OFFSET($CX$3,0,0,'Données projet'!$E$13+1,1))-AVERAGE(OFFSET($H$3,0,0,'Données projet'!$E$13+1,1))</f>
        <v>420.4890915162182</v>
      </c>
      <c r="CZ166" s="59">
        <f t="shared" si="150"/>
        <v>553.48432338023565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43.793025826898713</v>
      </c>
      <c r="DG166" s="21">
        <f>EXP(-LN(2)/25)*DG165+(1-EXP(-LN(2)/25))/(LN(2)/25)*Calculateur!DB166*Calculateur!DD166*VLOOKUP('Données projet'!$B$13,Paramètres!$A$1:$I$89,3,0)*0.475*44/12</f>
        <v>1.2659725719444135</v>
      </c>
      <c r="DH166" s="21">
        <f>EXP(-LN(2)/2)*DH165+(1-EXP(-LN(2)/2))/(LN(2)/2)*DB166*DE166*VLOOKUP('Données projet'!$B$13,Paramètres!$A$1:$I$89,3,0)*0.475*44/12</f>
        <v>7.0907204755055561E-21</v>
      </c>
      <c r="DI166" s="22">
        <f t="shared" si="175"/>
        <v>45.05899839884313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19.8100000000004</v>
      </c>
      <c r="DP166" s="17">
        <f>DO166*VLOOKUP('Données projet'!$B$14,Paramètres!$A$1:$I$89,3,0)*VLOOKUP('Données projet'!$B$14,Paramètres!$A$1:$I$89,5,0)</f>
        <v>21.323484000000427</v>
      </c>
      <c r="DQ166" s="13">
        <f t="shared" si="176"/>
        <v>6.88226100850307</v>
      </c>
      <c r="DR166" s="20">
        <f t="shared" si="177"/>
        <v>49.125005889810261</v>
      </c>
      <c r="DS166" s="59">
        <f t="shared" si="125"/>
        <v>337.1691825769625</v>
      </c>
      <c r="DT166" s="59">
        <f ca="1">AVERAGE(OFFSET($DS$3,0,0,'Données projet'!$E$14+1,1))-AVERAGE(OFFSET($H$3,0,0,'Données projet'!$E$14+1,1))</f>
        <v>659.55755908012691</v>
      </c>
      <c r="DU166" s="59">
        <f t="shared" si="152"/>
        <v>343.96647464823627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174.90544719096815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174.90544719096815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19.8100000000004</v>
      </c>
      <c r="EK166" s="17">
        <f>EJ166*VLOOKUP('Données projet'!$B$15,Paramètres!$A$1:$I$89,3,0)*VLOOKUP('Données projet'!$B$15,Paramètres!$A$1:$I$89,5,0)</f>
        <v>19.160232000000388</v>
      </c>
      <c r="EL166" s="13">
        <f t="shared" si="179"/>
        <v>6.2615431735370342</v>
      </c>
      <c r="EM166" s="20">
        <f t="shared" si="180"/>
        <v>44.27625842724435</v>
      </c>
      <c r="EN166" s="59">
        <f t="shared" si="128"/>
        <v>332.32043511439656</v>
      </c>
      <c r="EO166" s="59">
        <f ca="1">AVERAGE(OFFSET($EN$3,0,0,'Données projet'!$E$15+1,1))-AVERAGE(OFFSET($H$3,0,0,'Données projet'!$E$15+1,1))</f>
        <v>600.96600099541388</v>
      </c>
      <c r="EP166" s="59">
        <f t="shared" si="154"/>
        <v>315.40159257508969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157.16141631652206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157.16141631652206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17.924088000000364</v>
      </c>
      <c r="P167" s="13">
        <f t="shared" si="141"/>
        <v>5.9032212091029486</v>
      </c>
      <c r="Q167" s="20">
        <f t="shared" si="162"/>
        <v>41.499230205854936</v>
      </c>
      <c r="R167" s="59">
        <f t="shared" si="109"/>
        <v>329.63516193603562</v>
      </c>
      <c r="S167" s="59">
        <f ca="1">AVERAGE(OFFSET($R$3,0,0,'Données projet'!$E$9+1,1))-AVERAGE(OFFSET($H$3,0,0,'Données projet'!$E$9+1,1))</f>
        <v>567.42635821336114</v>
      </c>
      <c r="T167" s="59">
        <f t="shared" si="142"/>
        <v>299.0473530693472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144.13895894338904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144.13895894338904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475.00000000000023</v>
      </c>
      <c r="AJ167" s="13">
        <f>AI167*VLOOKUP('Données projet'!$B$10,Paramètres!$A$1:$I$89,3,0)*VLOOKUP('Données projet'!$B$10,Paramètres!$A$1:$I$89,5,0)</f>
        <v>407.5500000000003</v>
      </c>
      <c r="AK167" s="13">
        <f t="shared" si="164"/>
        <v>93.305642095357683</v>
      </c>
      <c r="AL167" s="20">
        <f t="shared" si="165"/>
        <v>872.32357664941526</v>
      </c>
      <c r="AM167" s="59">
        <f t="shared" si="113"/>
        <v>1160.4595083795959</v>
      </c>
      <c r="AN167" s="59">
        <f ca="1">AVERAGE(OFFSET($AM$3,0,0,'Données projet'!$E$10+1,1))-AVERAGE(OFFSET($H$3,0,0,'Données projet'!$E$10+1,1))</f>
        <v>570.05585579662738</v>
      </c>
      <c r="AO167" s="59">
        <f t="shared" si="144"/>
        <v>331.25104323342907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51.134069020895033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51.134069020895033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16.750000000000213</v>
      </c>
      <c r="BE167" s="13">
        <f>BD167*VLOOKUP('Données projet'!$B$11,Paramètres!$A$1:$I$89,3,0)*VLOOKUP('Données projet'!$B$11,Paramètres!$A$1:$I$89,5,0)</f>
        <v>14.11020000000018</v>
      </c>
      <c r="BF167" s="13">
        <f t="shared" si="167"/>
        <v>4.7783677814795205</v>
      </c>
      <c r="BG167" s="20">
        <f t="shared" si="168"/>
        <v>32.897588886077138</v>
      </c>
      <c r="BH167" s="59">
        <f t="shared" si="116"/>
        <v>321.03352061625782</v>
      </c>
      <c r="BI167" s="59">
        <f ca="1">AVERAGE(OFFSET($BH$3,0,0,'Données projet'!$E$11+1,1))-AVERAGE(OFFSET($H$3,0,0,'Données projet'!$E$11+1,1))</f>
        <v>458.88102603650725</v>
      </c>
      <c r="BJ167" s="59">
        <f t="shared" si="146"/>
        <v>277.79020316059552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80.609834613280782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80.609834613280782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19.8100000000004</v>
      </c>
      <c r="BZ167" s="13">
        <f>BY167*VLOOKUP('Données projet'!$B$12,Paramètres!$A$1:$I$89,3,0)*VLOOKUP('Données projet'!$B$12,Paramètres!$A$1:$I$89,5,0)</f>
        <v>18.851196000000382</v>
      </c>
      <c r="CA167" s="13">
        <f t="shared" si="170"/>
        <v>6.172221809210666</v>
      </c>
      <c r="CB167" s="20">
        <f t="shared" si="171"/>
        <v>43.582452684375909</v>
      </c>
      <c r="CC167" s="59">
        <f t="shared" si="119"/>
        <v>331.71838441455657</v>
      </c>
      <c r="CD167" s="59">
        <f ca="1">AVERAGE(OFFSET($CC$3,0,0,'Données projet'!$E$12+1,1))-AVERAGE(OFFSET($H$3,0,0,'Données projet'!$E$12+1,1))</f>
        <v>592.58528888957346</v>
      </c>
      <c r="CE167" s="59">
        <f t="shared" si="148"/>
        <v>311.31528017256846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151.59442233701262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151.59442233701262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0.8600000000003547</v>
      </c>
      <c r="CU167" s="17">
        <f>CT167*VLOOKUP('Données projet'!$B$13,Paramètres!$A$1:$I$89,3,0)*VLOOKUP('Données projet'!$B$13,Paramètres!$A$1:$I$89,5,0)</f>
        <v>0.48074000000019829</v>
      </c>
      <c r="CV167" s="13">
        <f t="shared" si="173"/>
        <v>0.24126147010950588</v>
      </c>
      <c r="CW167" s="20">
        <f t="shared" si="174"/>
        <v>1.2574858937744013</v>
      </c>
      <c r="CX167" s="59">
        <f t="shared" si="122"/>
        <v>289.39341762395509</v>
      </c>
      <c r="CY167" s="59">
        <f ca="1">AVERAGE(OFFSET($CX$3,0,0,'Données projet'!$E$13+1,1))-AVERAGE(OFFSET($H$3,0,0,'Données projet'!$E$13+1,1))</f>
        <v>420.4890915162182</v>
      </c>
      <c r="CZ167" s="59">
        <f t="shared" si="150"/>
        <v>553.48432338023565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42.934271301541479</v>
      </c>
      <c r="DG167" s="21">
        <f>EXP(-LN(2)/25)*DG166+(1-EXP(-LN(2)/25))/(LN(2)/25)*Calculateur!DB167*Calculateur!DD167*VLOOKUP('Données projet'!$B$13,Paramètres!$A$1:$I$89,3,0)*0.475*44/12</f>
        <v>1.2313544853899894</v>
      </c>
      <c r="DH167" s="21">
        <f>EXP(-LN(2)/2)*DH166+(1-EXP(-LN(2)/2))/(LN(2)/2)*DB167*DE167*VLOOKUP('Données projet'!$B$13,Paramètres!$A$1:$I$89,3,0)*0.475*44/12</f>
        <v>5.0138965317282796E-21</v>
      </c>
      <c r="DI167" s="22">
        <f t="shared" si="175"/>
        <v>44.165625786931471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19.8100000000004</v>
      </c>
      <c r="DP167" s="17">
        <f>DO167*VLOOKUP('Données projet'!$B$14,Paramètres!$A$1:$I$89,3,0)*VLOOKUP('Données projet'!$B$14,Paramètres!$A$1:$I$89,5,0)</f>
        <v>21.323484000000427</v>
      </c>
      <c r="DQ167" s="13">
        <f t="shared" si="176"/>
        <v>6.88226100850307</v>
      </c>
      <c r="DR167" s="20">
        <f t="shared" si="177"/>
        <v>49.125005889810261</v>
      </c>
      <c r="DS167" s="59">
        <f t="shared" si="125"/>
        <v>337.26093761999095</v>
      </c>
      <c r="DT167" s="59">
        <f ca="1">AVERAGE(OFFSET($DS$3,0,0,'Données projet'!$E$14+1,1))-AVERAGE(OFFSET($H$3,0,0,'Données projet'!$E$14+1,1))</f>
        <v>659.55755908012691</v>
      </c>
      <c r="DU167" s="59">
        <f t="shared" si="152"/>
        <v>343.96647464823627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171.4756580533421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171.4756580533421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19.8100000000004</v>
      </c>
      <c r="EK167" s="17">
        <f>EJ167*VLOOKUP('Données projet'!$B$15,Paramètres!$A$1:$I$89,3,0)*VLOOKUP('Données projet'!$B$15,Paramètres!$A$1:$I$89,5,0)</f>
        <v>19.160232000000388</v>
      </c>
      <c r="EL167" s="13">
        <f t="shared" si="179"/>
        <v>6.2615431735370342</v>
      </c>
      <c r="EM167" s="20">
        <f t="shared" si="180"/>
        <v>44.27625842724435</v>
      </c>
      <c r="EN167" s="59">
        <f t="shared" si="128"/>
        <v>332.41219015742502</v>
      </c>
      <c r="EO167" s="59">
        <f ca="1">AVERAGE(OFFSET($EN$3,0,0,'Données projet'!$E$15+1,1))-AVERAGE(OFFSET($H$3,0,0,'Données projet'!$E$15+1,1))</f>
        <v>600.96600099541388</v>
      </c>
      <c r="EP167" s="59">
        <f t="shared" si="154"/>
        <v>315.40159257508969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154.07957680155374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154.07957680155374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17.924088000000364</v>
      </c>
      <c r="P168" s="13">
        <f t="shared" si="141"/>
        <v>5.9032212091029486</v>
      </c>
      <c r="Q168" s="20">
        <f t="shared" si="162"/>
        <v>41.499230205854936</v>
      </c>
      <c r="R168" s="59">
        <f t="shared" si="109"/>
        <v>329.72532523420108</v>
      </c>
      <c r="S168" s="59">
        <f ca="1">AVERAGE(OFFSET($R$3,0,0,'Données projet'!$E$9+1,1))-AVERAGE(OFFSET($H$3,0,0,'Données projet'!$E$9+1,1))</f>
        <v>567.42635821336114</v>
      </c>
      <c r="T168" s="59">
        <f t="shared" si="142"/>
        <v>299.0473530693472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141.31248187459315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141.31248187459315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475.00000000000023</v>
      </c>
      <c r="AJ168" s="13">
        <f>AI168*VLOOKUP('Données projet'!$B$10,Paramètres!$A$1:$I$89,3,0)*VLOOKUP('Données projet'!$B$10,Paramètres!$A$1:$I$89,5,0)</f>
        <v>407.5500000000003</v>
      </c>
      <c r="AK168" s="13">
        <f t="shared" si="164"/>
        <v>93.305642095357683</v>
      </c>
      <c r="AL168" s="20">
        <f t="shared" si="165"/>
        <v>872.32357664941526</v>
      </c>
      <c r="AM168" s="59">
        <f t="shared" si="113"/>
        <v>1160.5496716777614</v>
      </c>
      <c r="AN168" s="59">
        <f ca="1">AVERAGE(OFFSET($AM$3,0,0,'Données projet'!$E$10+1,1))-AVERAGE(OFFSET($H$3,0,0,'Données projet'!$E$10+1,1))</f>
        <v>570.05585579662738</v>
      </c>
      <c r="AO168" s="59">
        <f t="shared" si="144"/>
        <v>331.25104323342907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50.131361116097757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50.131361116097757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16.750000000000213</v>
      </c>
      <c r="BE168" s="13">
        <f>BD168*VLOOKUP('Données projet'!$B$11,Paramètres!$A$1:$I$89,3,0)*VLOOKUP('Données projet'!$B$11,Paramètres!$A$1:$I$89,5,0)</f>
        <v>14.11020000000018</v>
      </c>
      <c r="BF168" s="13">
        <f t="shared" si="167"/>
        <v>4.7783677814795205</v>
      </c>
      <c r="BG168" s="20">
        <f t="shared" si="168"/>
        <v>32.897588886077138</v>
      </c>
      <c r="BH168" s="59">
        <f t="shared" si="116"/>
        <v>321.12368391442328</v>
      </c>
      <c r="BI168" s="59">
        <f ca="1">AVERAGE(OFFSET($BH$3,0,0,'Données projet'!$E$11+1,1))-AVERAGE(OFFSET($H$3,0,0,'Données projet'!$E$11+1,1))</f>
        <v>458.88102603650725</v>
      </c>
      <c r="BJ168" s="59">
        <f t="shared" si="146"/>
        <v>277.79020316059552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79.029124923658614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79.029124923658614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19.8100000000004</v>
      </c>
      <c r="BZ168" s="13">
        <f>BY168*VLOOKUP('Données projet'!$B$12,Paramètres!$A$1:$I$89,3,0)*VLOOKUP('Données projet'!$B$12,Paramètres!$A$1:$I$89,5,0)</f>
        <v>18.851196000000382</v>
      </c>
      <c r="CA168" s="13">
        <f t="shared" si="170"/>
        <v>6.172221809210666</v>
      </c>
      <c r="CB168" s="20">
        <f t="shared" si="171"/>
        <v>43.582452684375909</v>
      </c>
      <c r="CC168" s="59">
        <f t="shared" si="119"/>
        <v>331.80854771272209</v>
      </c>
      <c r="CD168" s="59">
        <f ca="1">AVERAGE(OFFSET($CC$3,0,0,'Données projet'!$E$12+1,1))-AVERAGE(OFFSET($H$3,0,0,'Données projet'!$E$12+1,1))</f>
        <v>592.58528888957346</v>
      </c>
      <c r="CE168" s="59">
        <f t="shared" si="148"/>
        <v>311.31528017256846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148.62174817845141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148.62174817845141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0.8600000000003547</v>
      </c>
      <c r="CU168" s="17">
        <f>CT168*VLOOKUP('Données projet'!$B$13,Paramètres!$A$1:$I$89,3,0)*VLOOKUP('Données projet'!$B$13,Paramètres!$A$1:$I$89,5,0)</f>
        <v>0.48074000000019829</v>
      </c>
      <c r="CV168" s="13">
        <f t="shared" si="173"/>
        <v>0.24126147010950588</v>
      </c>
      <c r="CW168" s="20">
        <f t="shared" si="174"/>
        <v>1.2574858937744013</v>
      </c>
      <c r="CX168" s="59">
        <f t="shared" si="122"/>
        <v>289.48358092212055</v>
      </c>
      <c r="CY168" s="59">
        <f ca="1">AVERAGE(OFFSET($CX$3,0,0,'Données projet'!$E$13+1,1))-AVERAGE(OFFSET($H$3,0,0,'Données projet'!$E$13+1,1))</f>
        <v>420.4890915162182</v>
      </c>
      <c r="CZ168" s="59">
        <f t="shared" si="150"/>
        <v>553.48432338023565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42.092356428637963</v>
      </c>
      <c r="DG168" s="21">
        <f>EXP(-LN(2)/25)*DG167+(1-EXP(-LN(2)/25))/(LN(2)/25)*Calculateur!DB168*Calculateur!DD168*VLOOKUP('Données projet'!$B$13,Paramètres!$A$1:$I$89,3,0)*0.475*44/12</f>
        <v>1.197683032232882</v>
      </c>
      <c r="DH168" s="21">
        <f>EXP(-LN(2)/2)*DH167+(1-EXP(-LN(2)/2))/(LN(2)/2)*DB168*DE168*VLOOKUP('Données projet'!$B$13,Paramètres!$A$1:$I$89,3,0)*0.475*44/12</f>
        <v>3.5453602377527781E-21</v>
      </c>
      <c r="DI168" s="22">
        <f t="shared" si="175"/>
        <v>43.290039460870844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19.8100000000004</v>
      </c>
      <c r="DP168" s="17">
        <f>DO168*VLOOKUP('Données projet'!$B$14,Paramètres!$A$1:$I$89,3,0)*VLOOKUP('Données projet'!$B$14,Paramètres!$A$1:$I$89,5,0)</f>
        <v>21.323484000000427</v>
      </c>
      <c r="DQ168" s="13">
        <f t="shared" si="176"/>
        <v>6.88226100850307</v>
      </c>
      <c r="DR168" s="20">
        <f t="shared" si="177"/>
        <v>49.125005889810261</v>
      </c>
      <c r="DS168" s="59">
        <f t="shared" si="125"/>
        <v>337.35110091815642</v>
      </c>
      <c r="DT168" s="59">
        <f ca="1">AVERAGE(OFFSET($DS$3,0,0,'Données projet'!$E$14+1,1))-AVERAGE(OFFSET($H$3,0,0,'Données projet'!$E$14+1,1))</f>
        <v>659.55755908012691</v>
      </c>
      <c r="DU168" s="59">
        <f t="shared" si="152"/>
        <v>343.96647464823627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168.11312498874008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168.11312498874008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19.8100000000004</v>
      </c>
      <c r="EK168" s="17">
        <f>EJ168*VLOOKUP('Données projet'!$B$15,Paramètres!$A$1:$I$89,3,0)*VLOOKUP('Données projet'!$B$15,Paramètres!$A$1:$I$89,5,0)</f>
        <v>19.160232000000388</v>
      </c>
      <c r="EL168" s="13">
        <f t="shared" si="179"/>
        <v>6.2615431735370342</v>
      </c>
      <c r="EM168" s="20">
        <f t="shared" si="180"/>
        <v>44.27625842724435</v>
      </c>
      <c r="EN168" s="59">
        <f t="shared" si="128"/>
        <v>332.50235345559048</v>
      </c>
      <c r="EO168" s="59">
        <f ca="1">AVERAGE(OFFSET($EN$3,0,0,'Données projet'!$E$15+1,1))-AVERAGE(OFFSET($H$3,0,0,'Données projet'!$E$15+1,1))</f>
        <v>600.96600099541388</v>
      </c>
      <c r="EP168" s="59">
        <f t="shared" si="154"/>
        <v>315.40159257508969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151.05817027973745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151.05817027973745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17.924088000000364</v>
      </c>
      <c r="P169" s="13">
        <f t="shared" si="141"/>
        <v>5.9032212091029486</v>
      </c>
      <c r="Q169" s="20">
        <f t="shared" si="162"/>
        <v>41.499230205854936</v>
      </c>
      <c r="R169" s="59">
        <f t="shared" si="109"/>
        <v>329.81392440071835</v>
      </c>
      <c r="S169" s="59">
        <f ca="1">AVERAGE(OFFSET($R$3,0,0,'Données projet'!$E$9+1,1))-AVERAGE(OFFSET($H$3,0,0,'Données projet'!$E$9+1,1))</f>
        <v>567.42635821336114</v>
      </c>
      <c r="T169" s="59">
        <f t="shared" si="142"/>
        <v>299.0473530693472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138.54143029713555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138.54143029713555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475.00000000000023</v>
      </c>
      <c r="AJ169" s="13">
        <f>AI169*VLOOKUP('Données projet'!$B$10,Paramètres!$A$1:$I$89,3,0)*VLOOKUP('Données projet'!$B$10,Paramètres!$A$1:$I$89,5,0)</f>
        <v>407.5500000000003</v>
      </c>
      <c r="AK169" s="13">
        <f t="shared" si="164"/>
        <v>93.305642095357683</v>
      </c>
      <c r="AL169" s="20">
        <f t="shared" si="165"/>
        <v>872.32357664941526</v>
      </c>
      <c r="AM169" s="59">
        <f t="shared" si="113"/>
        <v>1160.6382708442786</v>
      </c>
      <c r="AN169" s="59">
        <f ca="1">AVERAGE(OFFSET($AM$3,0,0,'Données projet'!$E$10+1,1))-AVERAGE(OFFSET($H$3,0,0,'Données projet'!$E$10+1,1))</f>
        <v>570.05585579662738</v>
      </c>
      <c r="AO169" s="59">
        <f t="shared" si="144"/>
        <v>331.25104323342907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49.148315701722119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49.148315701722119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16.750000000000213</v>
      </c>
      <c r="BE169" s="13">
        <f>BD169*VLOOKUP('Données projet'!$B$11,Paramètres!$A$1:$I$89,3,0)*VLOOKUP('Données projet'!$B$11,Paramètres!$A$1:$I$89,5,0)</f>
        <v>14.11020000000018</v>
      </c>
      <c r="BF169" s="13">
        <f t="shared" si="167"/>
        <v>4.7783677814795205</v>
      </c>
      <c r="BG169" s="20">
        <f t="shared" si="168"/>
        <v>32.897588886077138</v>
      </c>
      <c r="BH169" s="59">
        <f t="shared" si="116"/>
        <v>321.21228308094055</v>
      </c>
      <c r="BI169" s="59">
        <f ca="1">AVERAGE(OFFSET($BH$3,0,0,'Données projet'!$E$11+1,1))-AVERAGE(OFFSET($H$3,0,0,'Données projet'!$E$11+1,1))</f>
        <v>458.88102603650725</v>
      </c>
      <c r="BJ169" s="59">
        <f t="shared" si="146"/>
        <v>277.79020316059552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77.479411986912226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77.479411986912226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19.8100000000004</v>
      </c>
      <c r="BZ169" s="13">
        <f>BY169*VLOOKUP('Données projet'!$B$12,Paramètres!$A$1:$I$89,3,0)*VLOOKUP('Données projet'!$B$12,Paramètres!$A$1:$I$89,5,0)</f>
        <v>18.851196000000382</v>
      </c>
      <c r="CA169" s="13">
        <f t="shared" si="170"/>
        <v>6.172221809210666</v>
      </c>
      <c r="CB169" s="20">
        <f t="shared" si="171"/>
        <v>43.582452684375909</v>
      </c>
      <c r="CC169" s="59">
        <f t="shared" si="119"/>
        <v>331.89714687923936</v>
      </c>
      <c r="CD169" s="59">
        <f ca="1">AVERAGE(OFFSET($CC$3,0,0,'Données projet'!$E$12+1,1))-AVERAGE(OFFSET($H$3,0,0,'Données projet'!$E$12+1,1))</f>
        <v>592.58528888957346</v>
      </c>
      <c r="CE169" s="59">
        <f t="shared" si="148"/>
        <v>311.31528017256846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145.70736634698738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145.70736634698738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0.8600000000003547</v>
      </c>
      <c r="CU169" s="17">
        <f>CT169*VLOOKUP('Données projet'!$B$13,Paramètres!$A$1:$I$89,3,0)*VLOOKUP('Données projet'!$B$13,Paramètres!$A$1:$I$89,5,0)</f>
        <v>0.48074000000019829</v>
      </c>
      <c r="CV169" s="13">
        <f t="shared" si="173"/>
        <v>0.24126147010950588</v>
      </c>
      <c r="CW169" s="20">
        <f t="shared" si="174"/>
        <v>1.2574858937744013</v>
      </c>
      <c r="CX169" s="59">
        <f t="shared" si="122"/>
        <v>289.57218008863782</v>
      </c>
      <c r="CY169" s="59">
        <f ca="1">AVERAGE(OFFSET($CX$3,0,0,'Données projet'!$E$13+1,1))-AVERAGE(OFFSET($H$3,0,0,'Données projet'!$E$13+1,1))</f>
        <v>420.4890915162182</v>
      </c>
      <c r="CZ169" s="59">
        <f t="shared" si="150"/>
        <v>553.48432338023565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41.266950992874719</v>
      </c>
      <c r="DG169" s="21">
        <f>EXP(-LN(2)/25)*DG168+(1-EXP(-LN(2)/25))/(LN(2)/25)*Calculateur!DB169*Calculateur!DD169*VLOOKUP('Données projet'!$B$13,Paramètres!$A$1:$I$89,3,0)*0.475*44/12</f>
        <v>1.1649323267330605</v>
      </c>
      <c r="DH169" s="21">
        <f>EXP(-LN(2)/2)*DH168+(1-EXP(-LN(2)/2))/(LN(2)/2)*DB169*DE169*VLOOKUP('Données projet'!$B$13,Paramètres!$A$1:$I$89,3,0)*0.475*44/12</f>
        <v>2.5069482658641398E-21</v>
      </c>
      <c r="DI169" s="22">
        <f t="shared" si="175"/>
        <v>42.431883319607778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19.8100000000004</v>
      </c>
      <c r="DP169" s="17">
        <f>DO169*VLOOKUP('Données projet'!$B$14,Paramètres!$A$1:$I$89,3,0)*VLOOKUP('Données projet'!$B$14,Paramètres!$A$1:$I$89,5,0)</f>
        <v>21.323484000000427</v>
      </c>
      <c r="DQ169" s="13">
        <f t="shared" si="176"/>
        <v>6.88226100850307</v>
      </c>
      <c r="DR169" s="20">
        <f t="shared" si="177"/>
        <v>49.125005889810261</v>
      </c>
      <c r="DS169" s="59">
        <f t="shared" si="125"/>
        <v>337.43970008467369</v>
      </c>
      <c r="DT169" s="59">
        <f ca="1">AVERAGE(OFFSET($DS$3,0,0,'Données projet'!$E$14+1,1))-AVERAGE(OFFSET($H$3,0,0,'Données projet'!$E$14+1,1))</f>
        <v>659.55755908012691</v>
      </c>
      <c r="DU169" s="59">
        <f t="shared" si="152"/>
        <v>343.96647464823627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164.81652914659225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164.81652914659225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19.8100000000004</v>
      </c>
      <c r="EK169" s="17">
        <f>EJ169*VLOOKUP('Données projet'!$B$15,Paramètres!$A$1:$I$89,3,0)*VLOOKUP('Données projet'!$B$15,Paramètres!$A$1:$I$89,5,0)</f>
        <v>19.160232000000388</v>
      </c>
      <c r="EL169" s="13">
        <f t="shared" si="179"/>
        <v>6.2615431735370342</v>
      </c>
      <c r="EM169" s="20">
        <f t="shared" si="180"/>
        <v>44.27625842724435</v>
      </c>
      <c r="EN169" s="59">
        <f t="shared" si="128"/>
        <v>332.59095262210775</v>
      </c>
      <c r="EO169" s="59">
        <f ca="1">AVERAGE(OFFSET($EN$3,0,0,'Données projet'!$E$15+1,1))-AVERAGE(OFFSET($H$3,0,0,'Données projet'!$E$15+1,1))</f>
        <v>600.96600099541388</v>
      </c>
      <c r="EP169" s="59">
        <f t="shared" si="154"/>
        <v>315.40159257508969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148.09601169693795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148.09601169693795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17.924088000000364</v>
      </c>
      <c r="P170" s="13">
        <f t="shared" si="141"/>
        <v>5.9032212091029486</v>
      </c>
      <c r="Q170" s="20">
        <f t="shared" si="162"/>
        <v>41.499230205854936</v>
      </c>
      <c r="R170" s="59">
        <f t="shared" si="109"/>
        <v>329.90098656977455</v>
      </c>
      <c r="S170" s="59">
        <f ca="1">AVERAGE(OFFSET($R$3,0,0,'Données projet'!$E$9+1,1))-AVERAGE(OFFSET($H$3,0,0,'Données projet'!$E$9+1,1))</f>
        <v>567.42635821336114</v>
      </c>
      <c r="T170" s="59">
        <f t="shared" si="142"/>
        <v>299.0473530693472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135.82471735093733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135.82471735093733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475.00000000000023</v>
      </c>
      <c r="AJ170" s="13">
        <f>AI170*VLOOKUP('Données projet'!$B$10,Paramètres!$A$1:$I$89,3,0)*VLOOKUP('Données projet'!$B$10,Paramètres!$A$1:$I$89,5,0)</f>
        <v>407.5500000000003</v>
      </c>
      <c r="AK170" s="13">
        <f t="shared" si="164"/>
        <v>93.305642095357683</v>
      </c>
      <c r="AL170" s="20">
        <f t="shared" si="165"/>
        <v>872.32357664941526</v>
      </c>
      <c r="AM170" s="59">
        <f t="shared" si="113"/>
        <v>1160.7253330133349</v>
      </c>
      <c r="AN170" s="59">
        <f ca="1">AVERAGE(OFFSET($AM$3,0,0,'Données projet'!$E$10+1,1))-AVERAGE(OFFSET($H$3,0,0,'Données projet'!$E$10+1,1))</f>
        <v>570.05585579662738</v>
      </c>
      <c r="AO170" s="59">
        <f t="shared" si="144"/>
        <v>331.25104323342907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48.184547208323892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48.184547208323892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16.750000000000213</v>
      </c>
      <c r="BE170" s="13">
        <f>BD170*VLOOKUP('Données projet'!$B$11,Paramètres!$A$1:$I$89,3,0)*VLOOKUP('Données projet'!$B$11,Paramètres!$A$1:$I$89,5,0)</f>
        <v>14.11020000000018</v>
      </c>
      <c r="BF170" s="13">
        <f t="shared" si="167"/>
        <v>4.7783677814795205</v>
      </c>
      <c r="BG170" s="20">
        <f t="shared" si="168"/>
        <v>32.897588886077138</v>
      </c>
      <c r="BH170" s="59">
        <f t="shared" si="116"/>
        <v>321.29934524999675</v>
      </c>
      <c r="BI170" s="59">
        <f ca="1">AVERAGE(OFFSET($BH$3,0,0,'Données projet'!$E$11+1,1))-AVERAGE(OFFSET($H$3,0,0,'Données projet'!$E$11+1,1))</f>
        <v>458.88102603650725</v>
      </c>
      <c r="BJ170" s="59">
        <f t="shared" si="146"/>
        <v>277.79020316059552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75.960087975623864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75.960087975623864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19.8100000000004</v>
      </c>
      <c r="BZ170" s="13">
        <f>BY170*VLOOKUP('Données projet'!$B$12,Paramètres!$A$1:$I$89,3,0)*VLOOKUP('Données projet'!$B$12,Paramètres!$A$1:$I$89,5,0)</f>
        <v>18.851196000000382</v>
      </c>
      <c r="CA170" s="13">
        <f t="shared" si="170"/>
        <v>6.172221809210666</v>
      </c>
      <c r="CB170" s="20">
        <f t="shared" si="171"/>
        <v>43.582452684375909</v>
      </c>
      <c r="CC170" s="59">
        <f t="shared" si="119"/>
        <v>331.9842090482955</v>
      </c>
      <c r="CD170" s="59">
        <f ca="1">AVERAGE(OFFSET($CC$3,0,0,'Données projet'!$E$12+1,1))-AVERAGE(OFFSET($H$3,0,0,'Données projet'!$E$12+1,1))</f>
        <v>592.58528888957346</v>
      </c>
      <c r="CE170" s="59">
        <f t="shared" si="148"/>
        <v>311.31528017256846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142.85013376564098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142.85013376564098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0.8600000000003547</v>
      </c>
      <c r="CU170" s="17">
        <f>CT170*VLOOKUP('Données projet'!$B$13,Paramètres!$A$1:$I$89,3,0)*VLOOKUP('Données projet'!$B$13,Paramètres!$A$1:$I$89,5,0)</f>
        <v>0.48074000000019829</v>
      </c>
      <c r="CV170" s="13">
        <f t="shared" si="173"/>
        <v>0.24126147010950588</v>
      </c>
      <c r="CW170" s="20">
        <f t="shared" si="174"/>
        <v>1.2574858937744013</v>
      </c>
      <c r="CX170" s="59">
        <f t="shared" si="122"/>
        <v>289.65924225769402</v>
      </c>
      <c r="CY170" s="59">
        <f ca="1">AVERAGE(OFFSET($CX$3,0,0,'Données projet'!$E$13+1,1))-AVERAGE(OFFSET($H$3,0,0,'Données projet'!$E$13+1,1))</f>
        <v>420.4890915162182</v>
      </c>
      <c r="CZ170" s="59">
        <f t="shared" si="150"/>
        <v>553.48432338023565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40.457731254259187</v>
      </c>
      <c r="DG170" s="21">
        <f>EXP(-LN(2)/25)*DG169+(1-EXP(-LN(2)/25))/(LN(2)/25)*Calculateur!DB170*Calculateur!DD170*VLOOKUP('Données projet'!$B$13,Paramètres!$A$1:$I$89,3,0)*0.475*44/12</f>
        <v>1.1330771909974164</v>
      </c>
      <c r="DH170" s="21">
        <f>EXP(-LN(2)/2)*DH169+(1-EXP(-LN(2)/2))/(LN(2)/2)*DB170*DE170*VLOOKUP('Données projet'!$B$13,Paramètres!$A$1:$I$89,3,0)*0.475*44/12</f>
        <v>1.772680118876389E-21</v>
      </c>
      <c r="DI170" s="22">
        <f t="shared" si="175"/>
        <v>41.590808445256606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19.8100000000004</v>
      </c>
      <c r="DP170" s="17">
        <f>DO170*VLOOKUP('Données projet'!$B$14,Paramètres!$A$1:$I$89,3,0)*VLOOKUP('Données projet'!$B$14,Paramètres!$A$1:$I$89,5,0)</f>
        <v>21.323484000000427</v>
      </c>
      <c r="DQ170" s="13">
        <f t="shared" si="176"/>
        <v>6.88226100850307</v>
      </c>
      <c r="DR170" s="20">
        <f t="shared" si="177"/>
        <v>49.125005889810261</v>
      </c>
      <c r="DS170" s="59">
        <f t="shared" si="125"/>
        <v>337.52676225372988</v>
      </c>
      <c r="DT170" s="59">
        <f ca="1">AVERAGE(OFFSET($DS$3,0,0,'Données projet'!$E$14+1,1))-AVERAGE(OFFSET($H$3,0,0,'Données projet'!$E$14+1,1))</f>
        <v>659.55755908012691</v>
      </c>
      <c r="DU170" s="59">
        <f t="shared" si="152"/>
        <v>343.96647464823627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161.58457753818402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161.58457753818402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19.8100000000004</v>
      </c>
      <c r="EK170" s="17">
        <f>EJ170*VLOOKUP('Données projet'!$B$15,Paramètres!$A$1:$I$89,3,0)*VLOOKUP('Données projet'!$B$15,Paramètres!$A$1:$I$89,5,0)</f>
        <v>19.160232000000388</v>
      </c>
      <c r="EL170" s="13">
        <f t="shared" si="179"/>
        <v>6.2615431735370342</v>
      </c>
      <c r="EM170" s="20">
        <f t="shared" si="180"/>
        <v>44.27625842724435</v>
      </c>
      <c r="EN170" s="59">
        <f t="shared" si="128"/>
        <v>332.67801479116395</v>
      </c>
      <c r="EO170" s="59">
        <f ca="1">AVERAGE(OFFSET($EN$3,0,0,'Données projet'!$E$15+1,1))-AVERAGE(OFFSET($H$3,0,0,'Données projet'!$E$15+1,1))</f>
        <v>600.96600099541388</v>
      </c>
      <c r="EP170" s="59">
        <f t="shared" si="154"/>
        <v>315.40159257508969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145.19193923720883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145.19193923720883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17.924088000000364</v>
      </c>
      <c r="P171" s="13">
        <f t="shared" si="141"/>
        <v>5.9032212091029486</v>
      </c>
      <c r="Q171" s="20">
        <f t="shared" si="162"/>
        <v>41.499230205854936</v>
      </c>
      <c r="R171" s="59">
        <f t="shared" si="109"/>
        <v>329.98653840483945</v>
      </c>
      <c r="S171" s="59">
        <f ca="1">AVERAGE(OFFSET($R$3,0,0,'Données projet'!$E$9+1,1))-AVERAGE(OFFSET($H$3,0,0,'Données projet'!$E$9+1,1))</f>
        <v>567.42635821336114</v>
      </c>
      <c r="T171" s="59">
        <f t="shared" si="142"/>
        <v>299.0473530693472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133.16127748858278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133.16127748858278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475.00000000000023</v>
      </c>
      <c r="AJ171" s="13">
        <f>AI171*VLOOKUP('Données projet'!$B$10,Paramètres!$A$1:$I$89,3,0)*VLOOKUP('Données projet'!$B$10,Paramètres!$A$1:$I$89,5,0)</f>
        <v>407.5500000000003</v>
      </c>
      <c r="AK171" s="13">
        <f t="shared" si="164"/>
        <v>93.305642095357683</v>
      </c>
      <c r="AL171" s="20">
        <f t="shared" si="165"/>
        <v>872.32357664941526</v>
      </c>
      <c r="AM171" s="59">
        <f t="shared" si="113"/>
        <v>1160.8108848483998</v>
      </c>
      <c r="AN171" s="59">
        <f ca="1">AVERAGE(OFFSET($AM$3,0,0,'Données projet'!$E$10+1,1))-AVERAGE(OFFSET($H$3,0,0,'Données projet'!$E$10+1,1))</f>
        <v>570.05585579662738</v>
      </c>
      <c r="AO171" s="59">
        <f t="shared" si="144"/>
        <v>331.25104323342907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47.239677627240468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47.239677627240468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16.750000000000213</v>
      </c>
      <c r="BE171" s="13">
        <f>BD171*VLOOKUP('Données projet'!$B$11,Paramètres!$A$1:$I$89,3,0)*VLOOKUP('Données projet'!$B$11,Paramètres!$A$1:$I$89,5,0)</f>
        <v>14.11020000000018</v>
      </c>
      <c r="BF171" s="13">
        <f t="shared" si="167"/>
        <v>4.7783677814795205</v>
      </c>
      <c r="BG171" s="20">
        <f t="shared" si="168"/>
        <v>32.897588886077138</v>
      </c>
      <c r="BH171" s="59">
        <f t="shared" si="116"/>
        <v>321.38489708506165</v>
      </c>
      <c r="BI171" s="59">
        <f ca="1">AVERAGE(OFFSET($BH$3,0,0,'Données projet'!$E$11+1,1))-AVERAGE(OFFSET($H$3,0,0,'Données projet'!$E$11+1,1))</f>
        <v>458.88102603650725</v>
      </c>
      <c r="BJ171" s="59">
        <f t="shared" si="146"/>
        <v>277.79020316059552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74.470556981500735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74.470556981500735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19.8100000000004</v>
      </c>
      <c r="BZ171" s="13">
        <f>BY171*VLOOKUP('Données projet'!$B$12,Paramètres!$A$1:$I$89,3,0)*VLOOKUP('Données projet'!$B$12,Paramètres!$A$1:$I$89,5,0)</f>
        <v>18.851196000000382</v>
      </c>
      <c r="CA171" s="13">
        <f t="shared" si="170"/>
        <v>6.172221809210666</v>
      </c>
      <c r="CB171" s="20">
        <f t="shared" si="171"/>
        <v>43.582452684375909</v>
      </c>
      <c r="CC171" s="59">
        <f t="shared" si="119"/>
        <v>332.06976088336046</v>
      </c>
      <c r="CD171" s="59">
        <f ca="1">AVERAGE(OFFSET($CC$3,0,0,'Données projet'!$E$12+1,1))-AVERAGE(OFFSET($H$3,0,0,'Données projet'!$E$12+1,1))</f>
        <v>592.58528888957346</v>
      </c>
      <c r="CE171" s="59">
        <f t="shared" si="148"/>
        <v>311.31528017256846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140.04892977247499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140.04892977247499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0.8600000000003547</v>
      </c>
      <c r="CU171" s="17">
        <f>CT171*VLOOKUP('Données projet'!$B$13,Paramètres!$A$1:$I$89,3,0)*VLOOKUP('Données projet'!$B$13,Paramètres!$A$1:$I$89,5,0)</f>
        <v>0.48074000000019829</v>
      </c>
      <c r="CV171" s="13">
        <f t="shared" si="173"/>
        <v>0.24126147010950588</v>
      </c>
      <c r="CW171" s="20">
        <f t="shared" si="174"/>
        <v>1.2574858937744013</v>
      </c>
      <c r="CX171" s="59">
        <f t="shared" si="122"/>
        <v>289.74479409275892</v>
      </c>
      <c r="CY171" s="59">
        <f ca="1">AVERAGE(OFFSET($CX$3,0,0,'Données projet'!$E$13+1,1))-AVERAGE(OFFSET($H$3,0,0,'Données projet'!$E$13+1,1))</f>
        <v>420.4890915162182</v>
      </c>
      <c r="CZ171" s="59">
        <f t="shared" si="150"/>
        <v>553.48432338023565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39.664379821142603</v>
      </c>
      <c r="DG171" s="21">
        <f>EXP(-LN(2)/25)*DG170+(1-EXP(-LN(2)/25))/(LN(2)/25)*Calculateur!DB171*Calculateur!DD171*VLOOKUP('Données projet'!$B$13,Paramètres!$A$1:$I$89,3,0)*0.475*44/12</f>
        <v>1.1020931356236523</v>
      </c>
      <c r="DH171" s="21">
        <f>EXP(-LN(2)/2)*DH170+(1-EXP(-LN(2)/2))/(LN(2)/2)*DB171*DE171*VLOOKUP('Données projet'!$B$13,Paramètres!$A$1:$I$89,3,0)*0.475*44/12</f>
        <v>1.2534741329320699E-21</v>
      </c>
      <c r="DI171" s="22">
        <f t="shared" si="175"/>
        <v>40.766472956766258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19.8100000000004</v>
      </c>
      <c r="DP171" s="17">
        <f>DO171*VLOOKUP('Données projet'!$B$14,Paramètres!$A$1:$I$89,3,0)*VLOOKUP('Données projet'!$B$14,Paramètres!$A$1:$I$89,5,0)</f>
        <v>21.323484000000427</v>
      </c>
      <c r="DQ171" s="13">
        <f t="shared" si="176"/>
        <v>6.88226100850307</v>
      </c>
      <c r="DR171" s="20">
        <f t="shared" si="177"/>
        <v>49.125005889810261</v>
      </c>
      <c r="DS171" s="59">
        <f t="shared" si="125"/>
        <v>337.61231408879479</v>
      </c>
      <c r="DT171" s="59">
        <f ca="1">AVERAGE(OFFSET($DS$3,0,0,'Données projet'!$E$14+1,1))-AVERAGE(OFFSET($H$3,0,0,'Données projet'!$E$14+1,1))</f>
        <v>659.55755908012691</v>
      </c>
      <c r="DU171" s="59">
        <f t="shared" si="152"/>
        <v>343.96647464823627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158.41600252952085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158.41600252952085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19.8100000000004</v>
      </c>
      <c r="EK171" s="17">
        <f>EJ171*VLOOKUP('Données projet'!$B$15,Paramètres!$A$1:$I$89,3,0)*VLOOKUP('Données projet'!$B$15,Paramètres!$A$1:$I$89,5,0)</f>
        <v>19.160232000000388</v>
      </c>
      <c r="EL171" s="13">
        <f t="shared" si="179"/>
        <v>6.2615431735370342</v>
      </c>
      <c r="EM171" s="20">
        <f t="shared" si="180"/>
        <v>44.27625842724435</v>
      </c>
      <c r="EN171" s="59">
        <f t="shared" si="128"/>
        <v>332.76356662622885</v>
      </c>
      <c r="EO171" s="59">
        <f ca="1">AVERAGE(OFFSET($EN$3,0,0,'Données projet'!$E$15+1,1))-AVERAGE(OFFSET($H$3,0,0,'Données projet'!$E$15+1,1))</f>
        <v>600.96600099541388</v>
      </c>
      <c r="EP171" s="59">
        <f t="shared" si="154"/>
        <v>315.40159257508969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142.3448138671057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142.3448138671057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17.924088000000364</v>
      </c>
      <c r="P172" s="13">
        <f t="shared" si="141"/>
        <v>5.9032212091029486</v>
      </c>
      <c r="Q172" s="20">
        <f t="shared" si="162"/>
        <v>41.499230205854936</v>
      </c>
      <c r="R172" s="59">
        <f t="shared" si="109"/>
        <v>330.07060610683135</v>
      </c>
      <c r="S172" s="59">
        <f ca="1">AVERAGE(OFFSET($R$3,0,0,'Données projet'!$E$9+1,1))-AVERAGE(OFFSET($H$3,0,0,'Données projet'!$E$9+1,1))</f>
        <v>567.42635821336114</v>
      </c>
      <c r="T172" s="59">
        <f t="shared" si="142"/>
        <v>299.0473530693472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130.55006605739109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130.55006605739109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475.00000000000023</v>
      </c>
      <c r="AJ172" s="13">
        <f>AI172*VLOOKUP('Données projet'!$B$10,Paramètres!$A$1:$I$89,3,0)*VLOOKUP('Données projet'!$B$10,Paramètres!$A$1:$I$89,5,0)</f>
        <v>407.5500000000003</v>
      </c>
      <c r="AK172" s="13">
        <f t="shared" si="164"/>
        <v>93.305642095357683</v>
      </c>
      <c r="AL172" s="20">
        <f t="shared" si="165"/>
        <v>872.32357664941526</v>
      </c>
      <c r="AM172" s="59">
        <f t="shared" si="113"/>
        <v>1160.8949525503917</v>
      </c>
      <c r="AN172" s="59">
        <f ca="1">AVERAGE(OFFSET($AM$3,0,0,'Données projet'!$E$10+1,1))-AVERAGE(OFFSET($H$3,0,0,'Données projet'!$E$10+1,1))</f>
        <v>570.05585579662738</v>
      </c>
      <c r="AO172" s="59">
        <f t="shared" si="144"/>
        <v>331.25104323342907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46.313336362328549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46.313336362328549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16.750000000000213</v>
      </c>
      <c r="BE172" s="13">
        <f>BD172*VLOOKUP('Données projet'!$B$11,Paramètres!$A$1:$I$89,3,0)*VLOOKUP('Données projet'!$B$11,Paramètres!$A$1:$I$89,5,0)</f>
        <v>14.11020000000018</v>
      </c>
      <c r="BF172" s="13">
        <f t="shared" si="167"/>
        <v>4.7783677814795205</v>
      </c>
      <c r="BG172" s="20">
        <f t="shared" si="168"/>
        <v>32.897588886077138</v>
      </c>
      <c r="BH172" s="59">
        <f t="shared" si="116"/>
        <v>321.46896478705355</v>
      </c>
      <c r="BI172" s="59">
        <f ca="1">AVERAGE(OFFSET($BH$3,0,0,'Données projet'!$E$11+1,1))-AVERAGE(OFFSET($H$3,0,0,'Données projet'!$E$11+1,1))</f>
        <v>458.88102603650725</v>
      </c>
      <c r="BJ172" s="59">
        <f t="shared" si="146"/>
        <v>277.79020316059552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73.010234781648165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73.010234781648165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19.8100000000004</v>
      </c>
      <c r="BZ172" s="13">
        <f>BY172*VLOOKUP('Données projet'!$B$12,Paramètres!$A$1:$I$89,3,0)*VLOOKUP('Données projet'!$B$12,Paramètres!$A$1:$I$89,5,0)</f>
        <v>18.851196000000382</v>
      </c>
      <c r="CA172" s="13">
        <f t="shared" si="170"/>
        <v>6.172221809210666</v>
      </c>
      <c r="CB172" s="20">
        <f t="shared" si="171"/>
        <v>43.582452684375909</v>
      </c>
      <c r="CC172" s="59">
        <f t="shared" si="119"/>
        <v>332.15382858535236</v>
      </c>
      <c r="CD172" s="59">
        <f ca="1">AVERAGE(OFFSET($CC$3,0,0,'Données projet'!$E$12+1,1))-AVERAGE(OFFSET($H$3,0,0,'Données projet'!$E$12+1,1))</f>
        <v>592.58528888957346</v>
      </c>
      <c r="CE172" s="59">
        <f t="shared" si="148"/>
        <v>311.31528017256846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137.30265568104926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137.30265568104926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0.8600000000003547</v>
      </c>
      <c r="CU172" s="17">
        <f>CT172*VLOOKUP('Données projet'!$B$13,Paramètres!$A$1:$I$89,3,0)*VLOOKUP('Données projet'!$B$13,Paramètres!$A$1:$I$89,5,0)</f>
        <v>0.48074000000019829</v>
      </c>
      <c r="CV172" s="13">
        <f t="shared" si="173"/>
        <v>0.24126147010950588</v>
      </c>
      <c r="CW172" s="20">
        <f t="shared" si="174"/>
        <v>1.2574858937744013</v>
      </c>
      <c r="CX172" s="59">
        <f t="shared" si="122"/>
        <v>289.82886179475082</v>
      </c>
      <c r="CY172" s="59">
        <f ca="1">AVERAGE(OFFSET($CX$3,0,0,'Données projet'!$E$13+1,1))-AVERAGE(OFFSET($H$3,0,0,'Données projet'!$E$13+1,1))</f>
        <v>420.4890915162182</v>
      </c>
      <c r="CZ172" s="59">
        <f t="shared" si="150"/>
        <v>553.48432338023565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38.886585525732841</v>
      </c>
      <c r="DG172" s="21">
        <f>EXP(-LN(2)/25)*DG171+(1-EXP(-LN(2)/25))/(LN(2)/25)*Calculateur!DB172*Calculateur!DD172*VLOOKUP('Données projet'!$B$13,Paramètres!$A$1:$I$89,3,0)*0.475*44/12</f>
        <v>1.0719563408734645</v>
      </c>
      <c r="DH172" s="21">
        <f>EXP(-LN(2)/2)*DH171+(1-EXP(-LN(2)/2))/(LN(2)/2)*DB172*DE172*VLOOKUP('Données projet'!$B$13,Paramètres!$A$1:$I$89,3,0)*0.475*44/12</f>
        <v>8.8634005943819451E-22</v>
      </c>
      <c r="DI172" s="22">
        <f t="shared" si="175"/>
        <v>39.958541866606303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19.8100000000004</v>
      </c>
      <c r="DP172" s="17">
        <f>DO172*VLOOKUP('Données projet'!$B$14,Paramètres!$A$1:$I$89,3,0)*VLOOKUP('Données projet'!$B$14,Paramètres!$A$1:$I$89,5,0)</f>
        <v>21.323484000000427</v>
      </c>
      <c r="DQ172" s="13">
        <f t="shared" si="176"/>
        <v>6.88226100850307</v>
      </c>
      <c r="DR172" s="20">
        <f t="shared" si="177"/>
        <v>49.125005889810261</v>
      </c>
      <c r="DS172" s="59">
        <f t="shared" si="125"/>
        <v>337.69638179078669</v>
      </c>
      <c r="DT172" s="59">
        <f ca="1">AVERAGE(OFFSET($DS$3,0,0,'Données projet'!$E$14+1,1))-AVERAGE(OFFSET($H$3,0,0,'Données projet'!$E$14+1,1))</f>
        <v>659.55755908012691</v>
      </c>
      <c r="DU172" s="59">
        <f t="shared" si="152"/>
        <v>343.96647464823627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155.30956134413765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155.30956134413765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19.8100000000004</v>
      </c>
      <c r="EK172" s="17">
        <f>EJ172*VLOOKUP('Données projet'!$B$15,Paramètres!$A$1:$I$89,3,0)*VLOOKUP('Données projet'!$B$15,Paramètres!$A$1:$I$89,5,0)</f>
        <v>19.160232000000388</v>
      </c>
      <c r="EL172" s="13">
        <f t="shared" si="179"/>
        <v>6.2615431735370342</v>
      </c>
      <c r="EM172" s="20">
        <f t="shared" si="180"/>
        <v>44.27625842724435</v>
      </c>
      <c r="EN172" s="59">
        <f t="shared" si="128"/>
        <v>332.84763432822075</v>
      </c>
      <c r="EO172" s="59">
        <f ca="1">AVERAGE(OFFSET($EN$3,0,0,'Données projet'!$E$15+1,1))-AVERAGE(OFFSET($H$3,0,0,'Données projet'!$E$15+1,1))</f>
        <v>600.96600099541388</v>
      </c>
      <c r="EP172" s="59">
        <f t="shared" si="154"/>
        <v>315.40159257508969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139.55351888893529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139.55351888893529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17.924088000000364</v>
      </c>
      <c r="P173" s="13">
        <f t="shared" si="141"/>
        <v>5.9032212091029486</v>
      </c>
      <c r="Q173" s="20">
        <f t="shared" si="162"/>
        <v>41.499230205854936</v>
      </c>
      <c r="R173" s="59">
        <f t="shared" si="109"/>
        <v>330.15321542214082</v>
      </c>
      <c r="S173" s="59">
        <f ca="1">AVERAGE(OFFSET($R$3,0,0,'Données projet'!$E$9+1,1))-AVERAGE(OFFSET($H$3,0,0,'Données projet'!$E$9+1,1))</f>
        <v>567.42635821336114</v>
      </c>
      <c r="T173" s="59">
        <f t="shared" si="142"/>
        <v>299.0473530693472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127.99005888968337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127.99005888968337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475.00000000000023</v>
      </c>
      <c r="AJ173" s="13">
        <f>AI173*VLOOKUP('Données projet'!$B$10,Paramètres!$A$1:$I$89,3,0)*VLOOKUP('Données projet'!$B$10,Paramètres!$A$1:$I$89,5,0)</f>
        <v>407.5500000000003</v>
      </c>
      <c r="AK173" s="13">
        <f t="shared" si="164"/>
        <v>93.305642095357683</v>
      </c>
      <c r="AL173" s="20">
        <f t="shared" si="165"/>
        <v>872.32357664941526</v>
      </c>
      <c r="AM173" s="59">
        <f t="shared" si="113"/>
        <v>1160.9775618657011</v>
      </c>
      <c r="AN173" s="59">
        <f ca="1">AVERAGE(OFFSET($AM$3,0,0,'Données projet'!$E$10+1,1))-AVERAGE(OFFSET($H$3,0,0,'Données projet'!$E$10+1,1))</f>
        <v>570.05585579662738</v>
      </c>
      <c r="AO173" s="59">
        <f t="shared" si="144"/>
        <v>331.25104323342907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45.405160084609172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45.405160084609172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16.750000000000213</v>
      </c>
      <c r="BE173" s="13">
        <f>BD173*VLOOKUP('Données projet'!$B$11,Paramètres!$A$1:$I$89,3,0)*VLOOKUP('Données projet'!$B$11,Paramètres!$A$1:$I$89,5,0)</f>
        <v>14.11020000000018</v>
      </c>
      <c r="BF173" s="13">
        <f t="shared" si="167"/>
        <v>4.7783677814795205</v>
      </c>
      <c r="BG173" s="20">
        <f t="shared" si="168"/>
        <v>32.897588886077138</v>
      </c>
      <c r="BH173" s="59">
        <f t="shared" si="116"/>
        <v>321.55157410236302</v>
      </c>
      <c r="BI173" s="59">
        <f ca="1">AVERAGE(OFFSET($BH$3,0,0,'Données projet'!$E$11+1,1))-AVERAGE(OFFSET($H$3,0,0,'Données projet'!$E$11+1,1))</f>
        <v>458.88102603650725</v>
      </c>
      <c r="BJ173" s="59">
        <f t="shared" si="146"/>
        <v>277.79020316059552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71.578548609426107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71.578548609426107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19.8100000000004</v>
      </c>
      <c r="BZ173" s="13">
        <f>BY173*VLOOKUP('Données projet'!$B$12,Paramètres!$A$1:$I$89,3,0)*VLOOKUP('Données projet'!$B$12,Paramètres!$A$1:$I$89,5,0)</f>
        <v>18.851196000000382</v>
      </c>
      <c r="CA173" s="13">
        <f t="shared" si="170"/>
        <v>6.172221809210666</v>
      </c>
      <c r="CB173" s="20">
        <f t="shared" si="171"/>
        <v>43.582452684375909</v>
      </c>
      <c r="CC173" s="59">
        <f t="shared" si="119"/>
        <v>332.23643790066183</v>
      </c>
      <c r="CD173" s="59">
        <f ca="1">AVERAGE(OFFSET($CC$3,0,0,'Données projet'!$E$12+1,1))-AVERAGE(OFFSET($H$3,0,0,'Données projet'!$E$12+1,1))</f>
        <v>592.58528888957346</v>
      </c>
      <c r="CE173" s="59">
        <f t="shared" si="148"/>
        <v>311.31528017256846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134.61023434949459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134.61023434949459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0.8600000000003547</v>
      </c>
      <c r="CU173" s="17">
        <f>CT173*VLOOKUP('Données projet'!$B$13,Paramètres!$A$1:$I$89,3,0)*VLOOKUP('Données projet'!$B$13,Paramètres!$A$1:$I$89,5,0)</f>
        <v>0.48074000000019829</v>
      </c>
      <c r="CV173" s="13">
        <f t="shared" si="173"/>
        <v>0.24126147010950588</v>
      </c>
      <c r="CW173" s="20">
        <f t="shared" si="174"/>
        <v>1.2574858937744013</v>
      </c>
      <c r="CX173" s="59">
        <f t="shared" si="122"/>
        <v>289.91147111006029</v>
      </c>
      <c r="CY173" s="59">
        <f ca="1">AVERAGE(OFFSET($CX$3,0,0,'Données projet'!$E$13+1,1))-AVERAGE(OFFSET($H$3,0,0,'Données projet'!$E$13+1,1))</f>
        <v>420.4890915162182</v>
      </c>
      <c r="CZ173" s="59">
        <f t="shared" si="150"/>
        <v>553.48432338023565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38.124043302048385</v>
      </c>
      <c r="DG173" s="21">
        <f>EXP(-LN(2)/25)*DG172+(1-EXP(-LN(2)/25))/(LN(2)/25)*Calculateur!DB173*Calculateur!DD173*VLOOKUP('Données projet'!$B$13,Paramètres!$A$1:$I$89,3,0)*0.475*44/12</f>
        <v>1.0426436383605455</v>
      </c>
      <c r="DH173" s="21">
        <f>EXP(-LN(2)/2)*DH172+(1-EXP(-LN(2)/2))/(LN(2)/2)*DB173*DE173*VLOOKUP('Données projet'!$B$13,Paramètres!$A$1:$I$89,3,0)*0.475*44/12</f>
        <v>6.2673706646603495E-22</v>
      </c>
      <c r="DI173" s="22">
        <f t="shared" si="175"/>
        <v>39.16668694040893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19.8100000000004</v>
      </c>
      <c r="DP173" s="17">
        <f>DO173*VLOOKUP('Données projet'!$B$14,Paramètres!$A$1:$I$89,3,0)*VLOOKUP('Données projet'!$B$14,Paramètres!$A$1:$I$89,5,0)</f>
        <v>21.323484000000427</v>
      </c>
      <c r="DQ173" s="13">
        <f t="shared" si="176"/>
        <v>6.88226100850307</v>
      </c>
      <c r="DR173" s="20">
        <f t="shared" si="177"/>
        <v>49.125005889810261</v>
      </c>
      <c r="DS173" s="59">
        <f t="shared" si="125"/>
        <v>337.77899110609616</v>
      </c>
      <c r="DT173" s="59">
        <f ca="1">AVERAGE(OFFSET($DS$3,0,0,'Données projet'!$E$14+1,1))-AVERAGE(OFFSET($H$3,0,0,'Données projet'!$E$14+1,1))</f>
        <v>659.55755908012691</v>
      </c>
      <c r="DU173" s="59">
        <f t="shared" si="152"/>
        <v>343.96647464823627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152.26403557565777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152.26403557565777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19.8100000000004</v>
      </c>
      <c r="EK173" s="17">
        <f>EJ173*VLOOKUP('Données projet'!$B$15,Paramètres!$A$1:$I$89,3,0)*VLOOKUP('Données projet'!$B$15,Paramètres!$A$1:$I$89,5,0)</f>
        <v>19.160232000000388</v>
      </c>
      <c r="EL173" s="13">
        <f t="shared" si="179"/>
        <v>6.2615431735370342</v>
      </c>
      <c r="EM173" s="20">
        <f t="shared" si="180"/>
        <v>44.27625842724435</v>
      </c>
      <c r="EN173" s="59">
        <f t="shared" si="128"/>
        <v>332.93024364353022</v>
      </c>
      <c r="EO173" s="59">
        <f ca="1">AVERAGE(OFFSET($EN$3,0,0,'Données projet'!$E$15+1,1))-AVERAGE(OFFSET($H$3,0,0,'Données projet'!$E$15+1,1))</f>
        <v>600.96600099541388</v>
      </c>
      <c r="EP173" s="59">
        <f t="shared" si="154"/>
        <v>315.40159257508969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136.81695950276497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136.81695950276497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17.924088000000364</v>
      </c>
      <c r="P174" s="13">
        <f t="shared" si="141"/>
        <v>5.9032212091029486</v>
      </c>
      <c r="Q174" s="20">
        <f t="shared" si="162"/>
        <v>41.499230205854936</v>
      </c>
      <c r="R174" s="59">
        <f t="shared" si="109"/>
        <v>330.23439165051644</v>
      </c>
      <c r="S174" s="59">
        <f ca="1">AVERAGE(OFFSET($R$3,0,0,'Données projet'!$E$9+1,1))-AVERAGE(OFFSET($H$3,0,0,'Données projet'!$E$9+1,1))</f>
        <v>567.42635821336114</v>
      </c>
      <c r="T174" s="59">
        <f t="shared" si="142"/>
        <v>299.0473530693472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125.4802519010842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125.4802519010842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475.00000000000023</v>
      </c>
      <c r="AJ174" s="13">
        <f>AI174*VLOOKUP('Données projet'!$B$10,Paramètres!$A$1:$I$89,3,0)*VLOOKUP('Données projet'!$B$10,Paramètres!$A$1:$I$89,5,0)</f>
        <v>407.5500000000003</v>
      </c>
      <c r="AK174" s="13">
        <f t="shared" si="164"/>
        <v>93.305642095357683</v>
      </c>
      <c r="AL174" s="20">
        <f t="shared" si="165"/>
        <v>872.32357664941526</v>
      </c>
      <c r="AM174" s="59">
        <f t="shared" si="113"/>
        <v>1161.0587380940767</v>
      </c>
      <c r="AN174" s="59">
        <f ca="1">AVERAGE(OFFSET($AM$3,0,0,'Données projet'!$E$10+1,1))-AVERAGE(OFFSET($H$3,0,0,'Données projet'!$E$10+1,1))</f>
        <v>570.05585579662738</v>
      </c>
      <c r="AO174" s="59">
        <f t="shared" si="144"/>
        <v>331.25104323342907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44.51479258976304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44.51479258976304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16.750000000000213</v>
      </c>
      <c r="BE174" s="13">
        <f>BD174*VLOOKUP('Données projet'!$B$11,Paramètres!$A$1:$I$89,3,0)*VLOOKUP('Données projet'!$B$11,Paramètres!$A$1:$I$89,5,0)</f>
        <v>14.11020000000018</v>
      </c>
      <c r="BF174" s="13">
        <f t="shared" si="167"/>
        <v>4.7783677814795205</v>
      </c>
      <c r="BG174" s="20">
        <f t="shared" si="168"/>
        <v>32.897588886077138</v>
      </c>
      <c r="BH174" s="59">
        <f t="shared" si="116"/>
        <v>321.63275033073865</v>
      </c>
      <c r="BI174" s="59">
        <f ca="1">AVERAGE(OFFSET($BH$3,0,0,'Données projet'!$E$11+1,1))-AVERAGE(OFFSET($H$3,0,0,'Données projet'!$E$11+1,1))</f>
        <v>458.88102603650725</v>
      </c>
      <c r="BJ174" s="59">
        <f t="shared" si="146"/>
        <v>277.79020316059552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70.174936929798989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70.174936929798989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19.8100000000004</v>
      </c>
      <c r="BZ174" s="13">
        <f>BY174*VLOOKUP('Données projet'!$B$12,Paramètres!$A$1:$I$89,3,0)*VLOOKUP('Données projet'!$B$12,Paramètres!$A$1:$I$89,5,0)</f>
        <v>18.851196000000382</v>
      </c>
      <c r="CA174" s="13">
        <f t="shared" si="170"/>
        <v>6.172221809210666</v>
      </c>
      <c r="CB174" s="20">
        <f t="shared" si="171"/>
        <v>43.582452684375909</v>
      </c>
      <c r="CC174" s="59">
        <f t="shared" si="119"/>
        <v>332.31761412903745</v>
      </c>
      <c r="CD174" s="59">
        <f ca="1">AVERAGE(OFFSET($CC$3,0,0,'Données projet'!$E$12+1,1))-AVERAGE(OFFSET($H$3,0,0,'Données projet'!$E$12+1,1))</f>
        <v>592.58528888957346</v>
      </c>
      <c r="CE174" s="59">
        <f t="shared" si="148"/>
        <v>311.31528017256846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131.97060975803686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131.97060975803686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0.8600000000003547</v>
      </c>
      <c r="CU174" s="17">
        <f>CT174*VLOOKUP('Données projet'!$B$13,Paramètres!$A$1:$I$89,3,0)*VLOOKUP('Données projet'!$B$13,Paramètres!$A$1:$I$89,5,0)</f>
        <v>0.48074000000019829</v>
      </c>
      <c r="CV174" s="13">
        <f t="shared" si="173"/>
        <v>0.24126147010950588</v>
      </c>
      <c r="CW174" s="20">
        <f t="shared" si="174"/>
        <v>1.2574858937744013</v>
      </c>
      <c r="CX174" s="59">
        <f t="shared" si="122"/>
        <v>289.99264733843592</v>
      </c>
      <c r="CY174" s="59">
        <f ca="1">AVERAGE(OFFSET($CX$3,0,0,'Données projet'!$E$13+1,1))-AVERAGE(OFFSET($H$3,0,0,'Données projet'!$E$13+1,1))</f>
        <v>420.4890915162182</v>
      </c>
      <c r="CZ174" s="59">
        <f t="shared" si="150"/>
        <v>553.48432338023565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37.376454066265552</v>
      </c>
      <c r="DG174" s="21">
        <f>EXP(-LN(2)/25)*DG173+(1-EXP(-LN(2)/25))/(LN(2)/25)*Calculateur!DB174*Calculateur!DD174*VLOOKUP('Données projet'!$B$13,Paramètres!$A$1:$I$89,3,0)*0.475*44/12</f>
        <v>1.0141324932393305</v>
      </c>
      <c r="DH174" s="21">
        <f>EXP(-LN(2)/2)*DH173+(1-EXP(-LN(2)/2))/(LN(2)/2)*DB174*DE174*VLOOKUP('Données projet'!$B$13,Paramètres!$A$1:$I$89,3,0)*0.475*44/12</f>
        <v>4.4317002971909726E-22</v>
      </c>
      <c r="DI174" s="22">
        <f t="shared" si="175"/>
        <v>38.390586559504882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19.8100000000004</v>
      </c>
      <c r="DP174" s="17">
        <f>DO174*VLOOKUP('Données projet'!$B$14,Paramètres!$A$1:$I$89,3,0)*VLOOKUP('Données projet'!$B$14,Paramètres!$A$1:$I$89,5,0)</f>
        <v>21.323484000000427</v>
      </c>
      <c r="DQ174" s="13">
        <f t="shared" si="176"/>
        <v>6.88226100850307</v>
      </c>
      <c r="DR174" s="20">
        <f t="shared" si="177"/>
        <v>49.125005889810261</v>
      </c>
      <c r="DS174" s="59">
        <f t="shared" si="125"/>
        <v>337.86016733447178</v>
      </c>
      <c r="DT174" s="59">
        <f ca="1">AVERAGE(OFFSET($DS$3,0,0,'Données projet'!$E$14+1,1))-AVERAGE(OFFSET($H$3,0,0,'Données projet'!$E$14+1,1))</f>
        <v>659.55755908012691</v>
      </c>
      <c r="DU174" s="59">
        <f t="shared" si="152"/>
        <v>343.96647464823627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149.27823070991047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149.27823070991047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19.8100000000004</v>
      </c>
      <c r="EK174" s="17">
        <f>EJ174*VLOOKUP('Données projet'!$B$15,Paramètres!$A$1:$I$89,3,0)*VLOOKUP('Données projet'!$B$15,Paramètres!$A$1:$I$89,5,0)</f>
        <v>19.160232000000388</v>
      </c>
      <c r="EL174" s="13">
        <f t="shared" si="179"/>
        <v>6.2615431735370342</v>
      </c>
      <c r="EM174" s="20">
        <f t="shared" si="180"/>
        <v>44.27625842724435</v>
      </c>
      <c r="EN174" s="59">
        <f t="shared" si="128"/>
        <v>333.01141987190584</v>
      </c>
      <c r="EO174" s="59">
        <f ca="1">AVERAGE(OFFSET($EN$3,0,0,'Données projet'!$E$15+1,1))-AVERAGE(OFFSET($H$3,0,0,'Données projet'!$E$15+1,1))</f>
        <v>600.96600099541388</v>
      </c>
      <c r="EP174" s="59">
        <f t="shared" si="154"/>
        <v>315.40159257508969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134.13406237702102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134.13406237702102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17.924088000000364</v>
      </c>
      <c r="P175" s="13">
        <f t="shared" si="141"/>
        <v>5.9032212091029486</v>
      </c>
      <c r="Q175" s="20">
        <f t="shared" si="162"/>
        <v>41.499230205854936</v>
      </c>
      <c r="R175" s="59">
        <f t="shared" si="109"/>
        <v>330.31415965281258</v>
      </c>
      <c r="S175" s="59">
        <f ca="1">AVERAGE(OFFSET($R$3,0,0,'Données projet'!$E$9+1,1))-AVERAGE(OFFSET($H$3,0,0,'Données projet'!$E$9+1,1))</f>
        <v>567.42635821336114</v>
      </c>
      <c r="T175" s="59">
        <f t="shared" si="142"/>
        <v>299.0473530693472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123.01966069670036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123.01966069670036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475.00000000000023</v>
      </c>
      <c r="AJ175" s="13">
        <f>AI175*VLOOKUP('Données projet'!$B$10,Paramètres!$A$1:$I$89,3,0)*VLOOKUP('Données projet'!$B$10,Paramètres!$A$1:$I$89,5,0)</f>
        <v>407.5500000000003</v>
      </c>
      <c r="AK175" s="13">
        <f t="shared" si="164"/>
        <v>93.305642095357683</v>
      </c>
      <c r="AL175" s="20">
        <f t="shared" si="165"/>
        <v>872.32357664941526</v>
      </c>
      <c r="AM175" s="59">
        <f t="shared" si="113"/>
        <v>1161.138506096373</v>
      </c>
      <c r="AN175" s="59">
        <f ca="1">AVERAGE(OFFSET($AM$3,0,0,'Données projet'!$E$10+1,1))-AVERAGE(OFFSET($H$3,0,0,'Données projet'!$E$10+1,1))</f>
        <v>570.05585579662738</v>
      </c>
      <c r="AO175" s="59">
        <f t="shared" si="144"/>
        <v>331.25104323342907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43.641884658420295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43.641884658420295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16.750000000000213</v>
      </c>
      <c r="BE175" s="13">
        <f>BD175*VLOOKUP('Données projet'!$B$11,Paramètres!$A$1:$I$89,3,0)*VLOOKUP('Données projet'!$B$11,Paramètres!$A$1:$I$89,5,0)</f>
        <v>14.11020000000018</v>
      </c>
      <c r="BF175" s="13">
        <f t="shared" si="167"/>
        <v>4.7783677814795205</v>
      </c>
      <c r="BG175" s="20">
        <f t="shared" si="168"/>
        <v>32.897588886077138</v>
      </c>
      <c r="BH175" s="59">
        <f t="shared" si="116"/>
        <v>321.71251833303478</v>
      </c>
      <c r="BI175" s="59">
        <f ca="1">AVERAGE(OFFSET($BH$3,0,0,'Données projet'!$E$11+1,1))-AVERAGE(OFFSET($H$3,0,0,'Données projet'!$E$11+1,1))</f>
        <v>458.88102603650725</v>
      </c>
      <c r="BJ175" s="59">
        <f t="shared" si="146"/>
        <v>277.79020316059552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68.798849219090769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68.798849219090769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19.8100000000004</v>
      </c>
      <c r="BZ175" s="13">
        <f>BY175*VLOOKUP('Données projet'!$B$12,Paramètres!$A$1:$I$89,3,0)*VLOOKUP('Données projet'!$B$12,Paramètres!$A$1:$I$89,5,0)</f>
        <v>18.851196000000382</v>
      </c>
      <c r="CA175" s="13">
        <f t="shared" si="170"/>
        <v>6.172221809210666</v>
      </c>
      <c r="CB175" s="20">
        <f t="shared" si="171"/>
        <v>43.582452684375909</v>
      </c>
      <c r="CC175" s="59">
        <f t="shared" si="119"/>
        <v>332.39738213133353</v>
      </c>
      <c r="CD175" s="59">
        <f ca="1">AVERAGE(OFFSET($CC$3,0,0,'Données projet'!$E$12+1,1))-AVERAGE(OFFSET($H$3,0,0,'Données projet'!$E$12+1,1))</f>
        <v>592.58528888957346</v>
      </c>
      <c r="CE175" s="59">
        <f t="shared" si="148"/>
        <v>311.31528017256846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129.38274659480558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129.38274659480558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0.8600000000003547</v>
      </c>
      <c r="CU175" s="17">
        <f>CT175*VLOOKUP('Données projet'!$B$13,Paramètres!$A$1:$I$89,3,0)*VLOOKUP('Données projet'!$B$13,Paramètres!$A$1:$I$89,5,0)</f>
        <v>0.48074000000019829</v>
      </c>
      <c r="CV175" s="13">
        <f t="shared" si="173"/>
        <v>0.24126147010950588</v>
      </c>
      <c r="CW175" s="20">
        <f t="shared" si="174"/>
        <v>1.2574858937744013</v>
      </c>
      <c r="CX175" s="59">
        <f t="shared" si="122"/>
        <v>290.07241534073205</v>
      </c>
      <c r="CY175" s="59">
        <f ca="1">AVERAGE(OFFSET($CX$3,0,0,'Données projet'!$E$13+1,1))-AVERAGE(OFFSET($H$3,0,0,'Données projet'!$E$13+1,1))</f>
        <v>420.4890915162182</v>
      </c>
      <c r="CZ175" s="59">
        <f t="shared" si="150"/>
        <v>553.48432338023565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36.643524599412011</v>
      </c>
      <c r="DG175" s="21">
        <f>EXP(-LN(2)/25)*DG174+(1-EXP(-LN(2)/25))/(LN(2)/25)*Calculateur!DB175*Calculateur!DD175*VLOOKUP('Données projet'!$B$13,Paramètres!$A$1:$I$89,3,0)*0.475*44/12</f>
        <v>0.98640098688079103</v>
      </c>
      <c r="DH175" s="21">
        <f>EXP(-LN(2)/2)*DH174+(1-EXP(-LN(2)/2))/(LN(2)/2)*DB175*DE175*VLOOKUP('Données projet'!$B$13,Paramètres!$A$1:$I$89,3,0)*0.475*44/12</f>
        <v>3.1336853323301748E-22</v>
      </c>
      <c r="DI175" s="22">
        <f t="shared" si="175"/>
        <v>37.629925586292799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19.8100000000004</v>
      </c>
      <c r="DP175" s="17">
        <f>DO175*VLOOKUP('Données projet'!$B$14,Paramètres!$A$1:$I$89,3,0)*VLOOKUP('Données projet'!$B$14,Paramètres!$A$1:$I$89,5,0)</f>
        <v>21.323484000000427</v>
      </c>
      <c r="DQ175" s="13">
        <f t="shared" si="176"/>
        <v>6.88226100850307</v>
      </c>
      <c r="DR175" s="20">
        <f t="shared" si="177"/>
        <v>49.125005889810261</v>
      </c>
      <c r="DS175" s="59">
        <f t="shared" si="125"/>
        <v>337.93993533676792</v>
      </c>
      <c r="DT175" s="59">
        <f ca="1">AVERAGE(OFFSET($DS$3,0,0,'Données projet'!$E$14+1,1))-AVERAGE(OFFSET($H$3,0,0,'Données projet'!$E$14+1,1))</f>
        <v>659.55755908012691</v>
      </c>
      <c r="DU175" s="59">
        <f t="shared" si="152"/>
        <v>343.96647464823627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146.35097565641934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146.35097565641934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19.8100000000004</v>
      </c>
      <c r="EK175" s="17">
        <f>EJ175*VLOOKUP('Données projet'!$B$15,Paramètres!$A$1:$I$89,3,0)*VLOOKUP('Données projet'!$B$15,Paramètres!$A$1:$I$89,5,0)</f>
        <v>19.160232000000388</v>
      </c>
      <c r="EL175" s="13">
        <f t="shared" si="179"/>
        <v>6.2615431735370342</v>
      </c>
      <c r="EM175" s="20">
        <f t="shared" si="180"/>
        <v>44.27625842724435</v>
      </c>
      <c r="EN175" s="59">
        <f t="shared" si="128"/>
        <v>333.09118787420198</v>
      </c>
      <c r="EO175" s="59">
        <f ca="1">AVERAGE(OFFSET($EN$3,0,0,'Données projet'!$E$15+1,1))-AVERAGE(OFFSET($H$3,0,0,'Données projet'!$E$15+1,1))</f>
        <v>600.96600099541388</v>
      </c>
      <c r="EP175" s="59">
        <f t="shared" si="154"/>
        <v>315.40159257508969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131.50377522750725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131.50377522750725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17.924088000000364</v>
      </c>
      <c r="P176" s="13">
        <f t="shared" si="141"/>
        <v>5.9032212091029486</v>
      </c>
      <c r="Q176" s="20">
        <f t="shared" si="162"/>
        <v>41.499230205854936</v>
      </c>
      <c r="R176" s="59">
        <f t="shared" si="109"/>
        <v>330.3925438586034</v>
      </c>
      <c r="S176" s="59">
        <f ca="1">AVERAGE(OFFSET($R$3,0,0,'Données projet'!$E$9+1,1))-AVERAGE(OFFSET($H$3,0,0,'Données projet'!$E$9+1,1))</f>
        <v>567.42635821336114</v>
      </c>
      <c r="T176" s="59">
        <f t="shared" si="142"/>
        <v>299.0473530693472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120.60732018502203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120.60732018502203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475.00000000000023</v>
      </c>
      <c r="AJ176" s="13">
        <f>AI176*VLOOKUP('Données projet'!$B$10,Paramètres!$A$1:$I$89,3,0)*VLOOKUP('Données projet'!$B$10,Paramètres!$A$1:$I$89,5,0)</f>
        <v>407.5500000000003</v>
      </c>
      <c r="AK176" s="13">
        <f t="shared" si="164"/>
        <v>93.305642095357683</v>
      </c>
      <c r="AL176" s="20">
        <f t="shared" si="165"/>
        <v>872.32357664941526</v>
      </c>
      <c r="AM176" s="59">
        <f t="shared" si="113"/>
        <v>1161.2168903021638</v>
      </c>
      <c r="AN176" s="59">
        <f ca="1">AVERAGE(OFFSET($AM$3,0,0,'Données projet'!$E$10+1,1))-AVERAGE(OFFSET($H$3,0,0,'Données projet'!$E$10+1,1))</f>
        <v>570.05585579662738</v>
      </c>
      <c r="AO176" s="59">
        <f t="shared" si="144"/>
        <v>331.25104323342907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42.786093919189916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42.786093919189916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16.750000000000213</v>
      </c>
      <c r="BE176" s="13">
        <f>BD176*VLOOKUP('Données projet'!$B$11,Paramètres!$A$1:$I$89,3,0)*VLOOKUP('Données projet'!$B$11,Paramètres!$A$1:$I$89,5,0)</f>
        <v>14.11020000000018</v>
      </c>
      <c r="BF176" s="13">
        <f t="shared" si="167"/>
        <v>4.7783677814795205</v>
      </c>
      <c r="BG176" s="20">
        <f t="shared" si="168"/>
        <v>32.897588886077138</v>
      </c>
      <c r="BH176" s="59">
        <f t="shared" si="116"/>
        <v>321.79090253882561</v>
      </c>
      <c r="BI176" s="59">
        <f ca="1">AVERAGE(OFFSET($BH$3,0,0,'Données projet'!$E$11+1,1))-AVERAGE(OFFSET($H$3,0,0,'Données projet'!$E$11+1,1))</f>
        <v>458.88102603650725</v>
      </c>
      <c r="BJ176" s="59">
        <f t="shared" si="146"/>
        <v>277.79020316059552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67.449745749058906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67.449745749058906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19.8100000000004</v>
      </c>
      <c r="BZ176" s="13">
        <f>BY176*VLOOKUP('Données projet'!$B$12,Paramètres!$A$1:$I$89,3,0)*VLOOKUP('Données projet'!$B$12,Paramètres!$A$1:$I$89,5,0)</f>
        <v>18.851196000000382</v>
      </c>
      <c r="CA176" s="13">
        <f t="shared" si="170"/>
        <v>6.172221809210666</v>
      </c>
      <c r="CB176" s="20">
        <f t="shared" si="171"/>
        <v>43.582452684375909</v>
      </c>
      <c r="CC176" s="59">
        <f t="shared" si="119"/>
        <v>332.47576633712436</v>
      </c>
      <c r="CD176" s="59">
        <f ca="1">AVERAGE(OFFSET($CC$3,0,0,'Données projet'!$E$12+1,1))-AVERAGE(OFFSET($H$3,0,0,'Données projet'!$E$12+1,1))</f>
        <v>592.58528888957346</v>
      </c>
      <c r="CE176" s="59">
        <f t="shared" si="148"/>
        <v>311.31528017256846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126.84562984976459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126.84562984976459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0.8600000000003547</v>
      </c>
      <c r="CU176" s="17">
        <f>CT176*VLOOKUP('Données projet'!$B$13,Paramètres!$A$1:$I$89,3,0)*VLOOKUP('Données projet'!$B$13,Paramètres!$A$1:$I$89,5,0)</f>
        <v>0.48074000000019829</v>
      </c>
      <c r="CV176" s="13">
        <f t="shared" si="173"/>
        <v>0.24126147010950588</v>
      </c>
      <c r="CW176" s="20">
        <f t="shared" si="174"/>
        <v>1.2574858937744013</v>
      </c>
      <c r="CX176" s="59">
        <f t="shared" si="122"/>
        <v>290.15079954652288</v>
      </c>
      <c r="CY176" s="59">
        <f ca="1">AVERAGE(OFFSET($CX$3,0,0,'Données projet'!$E$13+1,1))-AVERAGE(OFFSET($H$3,0,0,'Données projet'!$E$13+1,1))</f>
        <v>420.4890915162182</v>
      </c>
      <c r="CZ176" s="59">
        <f t="shared" si="150"/>
        <v>553.48432338023565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35.924967432360631</v>
      </c>
      <c r="DG176" s="21">
        <f>EXP(-LN(2)/25)*DG175+(1-EXP(-LN(2)/25))/(LN(2)/25)*Calculateur!DB176*Calculateur!DD176*VLOOKUP('Données projet'!$B$13,Paramètres!$A$1:$I$89,3,0)*0.475*44/12</f>
        <v>0.95942780002196237</v>
      </c>
      <c r="DH176" s="21">
        <f>EXP(-LN(2)/2)*DH175+(1-EXP(-LN(2)/2))/(LN(2)/2)*DB176*DE176*VLOOKUP('Données projet'!$B$13,Paramètres!$A$1:$I$89,3,0)*0.475*44/12</f>
        <v>2.2158501485954863E-22</v>
      </c>
      <c r="DI176" s="22">
        <f t="shared" si="175"/>
        <v>36.884395232382595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19.8100000000004</v>
      </c>
      <c r="DP176" s="17">
        <f>DO176*VLOOKUP('Données projet'!$B$14,Paramètres!$A$1:$I$89,3,0)*VLOOKUP('Données projet'!$B$14,Paramètres!$A$1:$I$89,5,0)</f>
        <v>21.323484000000427</v>
      </c>
      <c r="DQ176" s="13">
        <f t="shared" si="176"/>
        <v>6.88226100850307</v>
      </c>
      <c r="DR176" s="20">
        <f t="shared" si="177"/>
        <v>49.125005889810261</v>
      </c>
      <c r="DS176" s="59">
        <f t="shared" si="125"/>
        <v>338.01831954255874</v>
      </c>
      <c r="DT176" s="59">
        <f ca="1">AVERAGE(OFFSET($DS$3,0,0,'Données projet'!$E$14+1,1))-AVERAGE(OFFSET($H$3,0,0,'Données projet'!$E$14+1,1))</f>
        <v>659.55755908012691</v>
      </c>
      <c r="DU176" s="59">
        <f t="shared" si="152"/>
        <v>343.96647464823627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143.48112228907789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143.48112228907789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19.8100000000004</v>
      </c>
      <c r="EK176" s="17">
        <f>EJ176*VLOOKUP('Données projet'!$B$15,Paramètres!$A$1:$I$89,3,0)*VLOOKUP('Données projet'!$B$15,Paramètres!$A$1:$I$89,5,0)</f>
        <v>19.160232000000388</v>
      </c>
      <c r="EL176" s="13">
        <f t="shared" si="179"/>
        <v>6.2615431735370342</v>
      </c>
      <c r="EM176" s="20">
        <f t="shared" si="180"/>
        <v>44.27625842724435</v>
      </c>
      <c r="EN176" s="59">
        <f t="shared" si="128"/>
        <v>333.1695720799928</v>
      </c>
      <c r="EO176" s="59">
        <f ca="1">AVERAGE(OFFSET($EN$3,0,0,'Données projet'!$E$15+1,1))-AVERAGE(OFFSET($H$3,0,0,'Données projet'!$E$15+1,1))</f>
        <v>600.96600099541388</v>
      </c>
      <c r="EP176" s="59">
        <f t="shared" si="154"/>
        <v>315.40159257508969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128.92506640467869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128.92506640467869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17.924088000000364</v>
      </c>
      <c r="P177" s="13">
        <f t="shared" si="141"/>
        <v>5.9032212091029486</v>
      </c>
      <c r="Q177" s="20">
        <f t="shared" si="162"/>
        <v>41.499230205854936</v>
      </c>
      <c r="R177" s="59">
        <f t="shared" si="109"/>
        <v>330.46956827366466</v>
      </c>
      <c r="S177" s="59">
        <f ca="1">AVERAGE(OFFSET($R$3,0,0,'Données projet'!$E$9+1,1))-AVERAGE(OFFSET($H$3,0,0,'Données projet'!$E$9+1,1))</f>
        <v>567.42635821336114</v>
      </c>
      <c r="T177" s="59">
        <f t="shared" si="142"/>
        <v>299.0473530693472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118.2422841993953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118.2422841993953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475.00000000000023</v>
      </c>
      <c r="AJ177" s="13">
        <f>AI177*VLOOKUP('Données projet'!$B$10,Paramètres!$A$1:$I$89,3,0)*VLOOKUP('Données projet'!$B$10,Paramètres!$A$1:$I$89,5,0)</f>
        <v>407.5500000000003</v>
      </c>
      <c r="AK177" s="13">
        <f t="shared" si="164"/>
        <v>93.305642095357683</v>
      </c>
      <c r="AL177" s="20">
        <f t="shared" si="165"/>
        <v>872.32357664941526</v>
      </c>
      <c r="AM177" s="59">
        <f t="shared" si="113"/>
        <v>1161.2939147172251</v>
      </c>
      <c r="AN177" s="59">
        <f ca="1">AVERAGE(OFFSET($AM$3,0,0,'Données projet'!$E$10+1,1))-AVERAGE(OFFSET($H$3,0,0,'Données projet'!$E$10+1,1))</f>
        <v>570.05585579662738</v>
      </c>
      <c r="AO177" s="59">
        <f t="shared" si="144"/>
        <v>331.25104323342907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41.947084714375031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41.947084714375031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16.750000000000213</v>
      </c>
      <c r="BE177" s="13">
        <f>BD177*VLOOKUP('Données projet'!$B$11,Paramètres!$A$1:$I$89,3,0)*VLOOKUP('Données projet'!$B$11,Paramètres!$A$1:$I$89,5,0)</f>
        <v>14.11020000000018</v>
      </c>
      <c r="BF177" s="13">
        <f t="shared" si="167"/>
        <v>4.7783677814795205</v>
      </c>
      <c r="BG177" s="20">
        <f t="shared" si="168"/>
        <v>32.897588886077138</v>
      </c>
      <c r="BH177" s="59">
        <f t="shared" si="116"/>
        <v>321.86792695388687</v>
      </c>
      <c r="BI177" s="59">
        <f ca="1">AVERAGE(OFFSET($BH$3,0,0,'Données projet'!$E$11+1,1))-AVERAGE(OFFSET($H$3,0,0,'Données projet'!$E$11+1,1))</f>
        <v>458.88102603650725</v>
      </c>
      <c r="BJ177" s="59">
        <f t="shared" si="146"/>
        <v>277.79020316059552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66.127097375202496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66.127097375202496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19.8100000000004</v>
      </c>
      <c r="BZ177" s="13">
        <f>BY177*VLOOKUP('Données projet'!$B$12,Paramètres!$A$1:$I$89,3,0)*VLOOKUP('Données projet'!$B$12,Paramètres!$A$1:$I$89,5,0)</f>
        <v>18.851196000000382</v>
      </c>
      <c r="CA177" s="13">
        <f t="shared" si="170"/>
        <v>6.172221809210666</v>
      </c>
      <c r="CB177" s="20">
        <f t="shared" si="171"/>
        <v>43.582452684375909</v>
      </c>
      <c r="CC177" s="59">
        <f t="shared" si="119"/>
        <v>332.55279075218562</v>
      </c>
      <c r="CD177" s="59">
        <f ca="1">AVERAGE(OFFSET($CC$3,0,0,'Données projet'!$E$12+1,1))-AVERAGE(OFFSET($H$3,0,0,'Données projet'!$E$12+1,1))</f>
        <v>592.58528888957346</v>
      </c>
      <c r="CE177" s="59">
        <f t="shared" si="148"/>
        <v>311.31528017256846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124.35826441660544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124.35826441660544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0.8600000000003547</v>
      </c>
      <c r="CU177" s="17">
        <f>CT177*VLOOKUP('Données projet'!$B$13,Paramètres!$A$1:$I$89,3,0)*VLOOKUP('Données projet'!$B$13,Paramètres!$A$1:$I$89,5,0)</f>
        <v>0.48074000000019829</v>
      </c>
      <c r="CV177" s="13">
        <f t="shared" si="173"/>
        <v>0.24126147010950588</v>
      </c>
      <c r="CW177" s="20">
        <f t="shared" si="174"/>
        <v>1.2574858937744013</v>
      </c>
      <c r="CX177" s="59">
        <f t="shared" si="122"/>
        <v>290.22782396158414</v>
      </c>
      <c r="CY177" s="59">
        <f ca="1">AVERAGE(OFFSET($CX$3,0,0,'Données projet'!$E$13+1,1))-AVERAGE(OFFSET($H$3,0,0,'Données projet'!$E$13+1,1))</f>
        <v>420.4890915162182</v>
      </c>
      <c r="CZ177" s="59">
        <f t="shared" si="150"/>
        <v>553.48432338023565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35.220500733078538</v>
      </c>
      <c r="DG177" s="21">
        <f>EXP(-LN(2)/25)*DG176+(1-EXP(-LN(2)/25))/(LN(2)/25)*Calculateur!DB177*Calculateur!DD177*VLOOKUP('Données projet'!$B$13,Paramètres!$A$1:$I$89,3,0)*0.475*44/12</f>
        <v>0.93319219637624662</v>
      </c>
      <c r="DH177" s="21">
        <f>EXP(-LN(2)/2)*DH176+(1-EXP(-LN(2)/2))/(LN(2)/2)*DB177*DE177*VLOOKUP('Données projet'!$B$13,Paramètres!$A$1:$I$89,3,0)*0.475*44/12</f>
        <v>1.5668426661650874E-22</v>
      </c>
      <c r="DI177" s="22">
        <f t="shared" si="175"/>
        <v>36.153692929454785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19.8100000000004</v>
      </c>
      <c r="DP177" s="17">
        <f>DO177*VLOOKUP('Données projet'!$B$14,Paramètres!$A$1:$I$89,3,0)*VLOOKUP('Données projet'!$B$14,Paramètres!$A$1:$I$89,5,0)</f>
        <v>21.323484000000427</v>
      </c>
      <c r="DQ177" s="13">
        <f t="shared" si="176"/>
        <v>6.88226100850307</v>
      </c>
      <c r="DR177" s="20">
        <f t="shared" si="177"/>
        <v>49.125005889810261</v>
      </c>
      <c r="DS177" s="59">
        <f t="shared" si="125"/>
        <v>338.09534395762</v>
      </c>
      <c r="DT177" s="59">
        <f ca="1">AVERAGE(OFFSET($DS$3,0,0,'Données projet'!$E$14+1,1))-AVERAGE(OFFSET($H$3,0,0,'Données projet'!$E$14+1,1))</f>
        <v>659.55755908012691</v>
      </c>
      <c r="DU177" s="59">
        <f t="shared" si="152"/>
        <v>343.96647464823627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140.66754499583229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140.66754499583229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19.8100000000004</v>
      </c>
      <c r="EK177" s="17">
        <f>EJ177*VLOOKUP('Données projet'!$B$15,Paramètres!$A$1:$I$89,3,0)*VLOOKUP('Données projet'!$B$15,Paramètres!$A$1:$I$89,5,0)</f>
        <v>19.160232000000388</v>
      </c>
      <c r="EL177" s="13">
        <f t="shared" si="179"/>
        <v>6.2615431735370342</v>
      </c>
      <c r="EM177" s="20">
        <f t="shared" si="180"/>
        <v>44.27625842724435</v>
      </c>
      <c r="EN177" s="59">
        <f t="shared" si="128"/>
        <v>333.24659649505406</v>
      </c>
      <c r="EO177" s="59">
        <f ca="1">AVERAGE(OFFSET($EN$3,0,0,'Données projet'!$E$15+1,1))-AVERAGE(OFFSET($H$3,0,0,'Données projet'!$E$15+1,1))</f>
        <v>600.96600099541388</v>
      </c>
      <c r="EP177" s="59">
        <f t="shared" si="154"/>
        <v>315.40159257508969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126.39692448900874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126.39692448900874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17.924088000000364</v>
      </c>
      <c r="P178" s="13">
        <f t="shared" si="141"/>
        <v>5.9032212091029486</v>
      </c>
      <c r="Q178" s="20">
        <f t="shared" si="162"/>
        <v>41.499230205854936</v>
      </c>
      <c r="R178" s="59">
        <f t="shared" si="109"/>
        <v>330.54525648732533</v>
      </c>
      <c r="S178" s="59">
        <f ca="1">AVERAGE(OFFSET($R$3,0,0,'Données projet'!$E$9+1,1))-AVERAGE(OFFSET($H$3,0,0,'Données projet'!$E$9+1,1))</f>
        <v>567.42635821336114</v>
      </c>
      <c r="T178" s="59">
        <f t="shared" si="142"/>
        <v>299.0473530693472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115.9236251269172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115.9236251269172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475.00000000000023</v>
      </c>
      <c r="AJ178" s="13">
        <f>AI178*VLOOKUP('Données projet'!$B$10,Paramètres!$A$1:$I$89,3,0)*VLOOKUP('Données projet'!$B$10,Paramètres!$A$1:$I$89,5,0)</f>
        <v>407.5500000000003</v>
      </c>
      <c r="AK178" s="13">
        <f t="shared" si="164"/>
        <v>93.305642095357683</v>
      </c>
      <c r="AL178" s="20">
        <f t="shared" si="165"/>
        <v>872.32357664941526</v>
      </c>
      <c r="AM178" s="59">
        <f t="shared" si="113"/>
        <v>1161.3696029308858</v>
      </c>
      <c r="AN178" s="59">
        <f ca="1">AVERAGE(OFFSET($AM$3,0,0,'Données projet'!$E$10+1,1))-AVERAGE(OFFSET($H$3,0,0,'Données projet'!$E$10+1,1))</f>
        <v>570.05585579662738</v>
      </c>
      <c r="AO178" s="59">
        <f t="shared" si="144"/>
        <v>331.25104323342907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41.12452796832148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41.12452796832148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16.750000000000213</v>
      </c>
      <c r="BE178" s="13">
        <f>BD178*VLOOKUP('Données projet'!$B$11,Paramètres!$A$1:$I$89,3,0)*VLOOKUP('Données projet'!$B$11,Paramètres!$A$1:$I$89,5,0)</f>
        <v>14.11020000000018</v>
      </c>
      <c r="BF178" s="13">
        <f t="shared" si="167"/>
        <v>4.7783677814795205</v>
      </c>
      <c r="BG178" s="20">
        <f t="shared" si="168"/>
        <v>32.897588886077138</v>
      </c>
      <c r="BH178" s="59">
        <f t="shared" si="116"/>
        <v>321.94361516754753</v>
      </c>
      <c r="BI178" s="59">
        <f ca="1">AVERAGE(OFFSET($BH$3,0,0,'Données projet'!$E$11+1,1))-AVERAGE(OFFSET($H$3,0,0,'Données projet'!$E$11+1,1))</f>
        <v>458.88102603650725</v>
      </c>
      <c r="BJ178" s="59">
        <f t="shared" si="146"/>
        <v>277.79020316059552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64.830385329221571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64.830385329221571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19.8100000000004</v>
      </c>
      <c r="BZ178" s="13">
        <f>BY178*VLOOKUP('Données projet'!$B$12,Paramètres!$A$1:$I$89,3,0)*VLOOKUP('Données projet'!$B$12,Paramètres!$A$1:$I$89,5,0)</f>
        <v>18.851196000000382</v>
      </c>
      <c r="CA178" s="13">
        <f t="shared" si="170"/>
        <v>6.172221809210666</v>
      </c>
      <c r="CB178" s="20">
        <f t="shared" si="171"/>
        <v>43.582452684375909</v>
      </c>
      <c r="CC178" s="59">
        <f t="shared" si="119"/>
        <v>332.62847896584628</v>
      </c>
      <c r="CD178" s="59">
        <f ca="1">AVERAGE(OFFSET($CC$3,0,0,'Données projet'!$E$12+1,1))-AVERAGE(OFFSET($H$3,0,0,'Données projet'!$E$12+1,1))</f>
        <v>592.58528888957346</v>
      </c>
      <c r="CE178" s="59">
        <f t="shared" si="148"/>
        <v>311.31528017256846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121.91967470244742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121.91967470244742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0.8600000000003547</v>
      </c>
      <c r="CU178" s="17">
        <f>CT178*VLOOKUP('Données projet'!$B$13,Paramètres!$A$1:$I$89,3,0)*VLOOKUP('Données projet'!$B$13,Paramètres!$A$1:$I$89,5,0)</f>
        <v>0.48074000000019829</v>
      </c>
      <c r="CV178" s="13">
        <f t="shared" si="173"/>
        <v>0.24126147010950588</v>
      </c>
      <c r="CW178" s="20">
        <f t="shared" si="174"/>
        <v>1.2574858937744013</v>
      </c>
      <c r="CX178" s="59">
        <f t="shared" si="122"/>
        <v>290.3035121752448</v>
      </c>
      <c r="CY178" s="59">
        <f ca="1">AVERAGE(OFFSET($CX$3,0,0,'Données projet'!$E$13+1,1))-AVERAGE(OFFSET($H$3,0,0,'Données projet'!$E$13+1,1))</f>
        <v>420.4890915162182</v>
      </c>
      <c r="CZ178" s="59">
        <f t="shared" si="150"/>
        <v>553.48432338023565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34.529848196087109</v>
      </c>
      <c r="DG178" s="21">
        <f>EXP(-LN(2)/25)*DG177+(1-EXP(-LN(2)/25))/(LN(2)/25)*Calculateur!DB178*Calculateur!DD178*VLOOKUP('Données projet'!$B$13,Paramètres!$A$1:$I$89,3,0)*0.475*44/12</f>
        <v>0.90767400669189335</v>
      </c>
      <c r="DH178" s="21">
        <f>EXP(-LN(2)/2)*DH177+(1-EXP(-LN(2)/2))/(LN(2)/2)*DB178*DE178*VLOOKUP('Données projet'!$B$13,Paramètres!$A$1:$I$89,3,0)*0.475*44/12</f>
        <v>1.1079250742977431E-22</v>
      </c>
      <c r="DI178" s="22">
        <f t="shared" si="175"/>
        <v>35.437522202779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19.8100000000004</v>
      </c>
      <c r="DP178" s="17">
        <f>DO178*VLOOKUP('Données projet'!$B$14,Paramètres!$A$1:$I$89,3,0)*VLOOKUP('Données projet'!$B$14,Paramètres!$A$1:$I$89,5,0)</f>
        <v>21.323484000000427</v>
      </c>
      <c r="DQ178" s="13">
        <f t="shared" si="176"/>
        <v>6.88226100850307</v>
      </c>
      <c r="DR178" s="20">
        <f t="shared" si="177"/>
        <v>49.125005889810261</v>
      </c>
      <c r="DS178" s="59">
        <f t="shared" si="125"/>
        <v>338.17103217128067</v>
      </c>
      <c r="DT178" s="59">
        <f ca="1">AVERAGE(OFFSET($DS$3,0,0,'Données projet'!$E$14+1,1))-AVERAGE(OFFSET($H$3,0,0,'Données projet'!$E$14+1,1))</f>
        <v>659.55755908012691</v>
      </c>
      <c r="DU178" s="59">
        <f t="shared" si="152"/>
        <v>343.96647464823627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137.90914023719455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137.90914023719455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19.8100000000004</v>
      </c>
      <c r="EK178" s="17">
        <f>EJ178*VLOOKUP('Données projet'!$B$15,Paramètres!$A$1:$I$89,3,0)*VLOOKUP('Données projet'!$B$15,Paramètres!$A$1:$I$89,5,0)</f>
        <v>19.160232000000388</v>
      </c>
      <c r="EL178" s="13">
        <f t="shared" si="179"/>
        <v>6.2615431735370342</v>
      </c>
      <c r="EM178" s="20">
        <f t="shared" si="180"/>
        <v>44.27625842724435</v>
      </c>
      <c r="EN178" s="59">
        <f t="shared" si="128"/>
        <v>333.32228470871473</v>
      </c>
      <c r="EO178" s="59">
        <f ca="1">AVERAGE(OFFSET($EN$3,0,0,'Données projet'!$E$15+1,1))-AVERAGE(OFFSET($H$3,0,0,'Données projet'!$E$15+1,1))</f>
        <v>600.96600099541388</v>
      </c>
      <c r="EP178" s="59">
        <f t="shared" si="154"/>
        <v>315.40159257508969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123.91835789429076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123.91835789429076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17.924088000000364</v>
      </c>
      <c r="P179" s="13">
        <f t="shared" si="141"/>
        <v>5.9032212091029486</v>
      </c>
      <c r="Q179" s="20">
        <f t="shared" si="162"/>
        <v>41.499230205854936</v>
      </c>
      <c r="R179" s="59">
        <f t="shared" si="109"/>
        <v>330.61963167969253</v>
      </c>
      <c r="S179" s="59">
        <f ca="1">AVERAGE(OFFSET($R$3,0,0,'Données projet'!$E$9+1,1))-AVERAGE(OFFSET($H$3,0,0,'Données projet'!$E$9+1,1))</f>
        <v>567.42635821336114</v>
      </c>
      <c r="T179" s="59">
        <f t="shared" si="142"/>
        <v>299.0473530693472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113.65043354460801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113.65043354460801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475.00000000000023</v>
      </c>
      <c r="AJ179" s="13">
        <f>AI179*VLOOKUP('Données projet'!$B$10,Paramètres!$A$1:$I$89,3,0)*VLOOKUP('Données projet'!$B$10,Paramètres!$A$1:$I$89,5,0)</f>
        <v>407.5500000000003</v>
      </c>
      <c r="AK179" s="13">
        <f t="shared" si="164"/>
        <v>93.305642095357683</v>
      </c>
      <c r="AL179" s="20">
        <f t="shared" si="165"/>
        <v>872.32357664941526</v>
      </c>
      <c r="AM179" s="59">
        <f t="shared" si="113"/>
        <v>1161.4439781232529</v>
      </c>
      <c r="AN179" s="59">
        <f ca="1">AVERAGE(OFFSET($AM$3,0,0,'Données projet'!$E$10+1,1))-AVERAGE(OFFSET($H$3,0,0,'Données projet'!$E$10+1,1))</f>
        <v>570.05585579662738</v>
      </c>
      <c r="AO179" s="59">
        <f t="shared" si="144"/>
        <v>331.25104323342907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40.31810105834797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40.31810105834797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16.750000000000213</v>
      </c>
      <c r="BE179" s="13">
        <f>BD179*VLOOKUP('Données projet'!$B$11,Paramètres!$A$1:$I$89,3,0)*VLOOKUP('Données projet'!$B$11,Paramètres!$A$1:$I$89,5,0)</f>
        <v>14.11020000000018</v>
      </c>
      <c r="BF179" s="13">
        <f t="shared" si="167"/>
        <v>4.7783677814795205</v>
      </c>
      <c r="BG179" s="20">
        <f t="shared" si="168"/>
        <v>32.897588886077138</v>
      </c>
      <c r="BH179" s="59">
        <f t="shared" si="116"/>
        <v>322.01799035991473</v>
      </c>
      <c r="BI179" s="59">
        <f ca="1">AVERAGE(OFFSET($BH$3,0,0,'Données projet'!$E$11+1,1))-AVERAGE(OFFSET($H$3,0,0,'Données projet'!$E$11+1,1))</f>
        <v>458.88102603650725</v>
      </c>
      <c r="BJ179" s="59">
        <f t="shared" si="146"/>
        <v>277.79020316059552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63.559101015546076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63.559101015546076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19.8100000000004</v>
      </c>
      <c r="BZ179" s="13">
        <f>BY179*VLOOKUP('Données projet'!$B$12,Paramètres!$A$1:$I$89,3,0)*VLOOKUP('Données projet'!$B$12,Paramètres!$A$1:$I$89,5,0)</f>
        <v>18.851196000000382</v>
      </c>
      <c r="CA179" s="13">
        <f t="shared" si="170"/>
        <v>6.172221809210666</v>
      </c>
      <c r="CB179" s="20">
        <f t="shared" si="171"/>
        <v>43.582452684375909</v>
      </c>
      <c r="CC179" s="59">
        <f t="shared" si="119"/>
        <v>332.70285415821354</v>
      </c>
      <c r="CD179" s="59">
        <f ca="1">AVERAGE(OFFSET($CC$3,0,0,'Données projet'!$E$12+1,1))-AVERAGE(OFFSET($H$3,0,0,'Données projet'!$E$12+1,1))</f>
        <v>592.58528888957346</v>
      </c>
      <c r="CE179" s="59">
        <f t="shared" si="148"/>
        <v>311.31528017256846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119.5289042451912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119.5289042451912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0.8600000000003547</v>
      </c>
      <c r="CU179" s="17">
        <f>CT179*VLOOKUP('Données projet'!$B$13,Paramètres!$A$1:$I$89,3,0)*VLOOKUP('Données projet'!$B$13,Paramètres!$A$1:$I$89,5,0)</f>
        <v>0.48074000000019829</v>
      </c>
      <c r="CV179" s="13">
        <f t="shared" si="173"/>
        <v>0.24126147010950588</v>
      </c>
      <c r="CW179" s="20">
        <f t="shared" si="174"/>
        <v>1.2574858937744013</v>
      </c>
      <c r="CX179" s="59">
        <f t="shared" si="122"/>
        <v>290.377887367612</v>
      </c>
      <c r="CY179" s="59">
        <f ca="1">AVERAGE(OFFSET($CX$3,0,0,'Données projet'!$E$13+1,1))-AVERAGE(OFFSET($H$3,0,0,'Données projet'!$E$13+1,1))</f>
        <v>420.4890915162182</v>
      </c>
      <c r="CZ179" s="59">
        <f t="shared" si="150"/>
        <v>553.48432338023565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33.852738934089629</v>
      </c>
      <c r="DG179" s="21">
        <f>EXP(-LN(2)/25)*DG178+(1-EXP(-LN(2)/25))/(LN(2)/25)*Calculateur!DB179*Calculateur!DD179*VLOOKUP('Données projet'!$B$13,Paramètres!$A$1:$I$89,3,0)*0.475*44/12</f>
        <v>0.88285361324640199</v>
      </c>
      <c r="DH179" s="21">
        <f>EXP(-LN(2)/2)*DH178+(1-EXP(-LN(2)/2))/(LN(2)/2)*DB179*DE179*VLOOKUP('Données projet'!$B$13,Paramètres!$A$1:$I$89,3,0)*0.475*44/12</f>
        <v>7.8342133308254369E-23</v>
      </c>
      <c r="DI179" s="22">
        <f t="shared" si="175"/>
        <v>34.735592547336033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19.8100000000004</v>
      </c>
      <c r="DP179" s="17">
        <f>DO179*VLOOKUP('Données projet'!$B$14,Paramètres!$A$1:$I$89,3,0)*VLOOKUP('Données projet'!$B$14,Paramètres!$A$1:$I$89,5,0)</f>
        <v>21.323484000000427</v>
      </c>
      <c r="DQ179" s="13">
        <f t="shared" si="176"/>
        <v>6.88226100850307</v>
      </c>
      <c r="DR179" s="20">
        <f t="shared" si="177"/>
        <v>49.125005889810261</v>
      </c>
      <c r="DS179" s="59">
        <f t="shared" si="125"/>
        <v>338.24540736364787</v>
      </c>
      <c r="DT179" s="59">
        <f ca="1">AVERAGE(OFFSET($DS$3,0,0,'Données projet'!$E$14+1,1))-AVERAGE(OFFSET($H$3,0,0,'Données projet'!$E$14+1,1))</f>
        <v>659.55755908012691</v>
      </c>
      <c r="DU179" s="59">
        <f t="shared" si="152"/>
        <v>343.96647464823627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135.20482611341291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135.20482611341291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19.8100000000004</v>
      </c>
      <c r="EK179" s="17">
        <f>EJ179*VLOOKUP('Données projet'!$B$15,Paramètres!$A$1:$I$89,3,0)*VLOOKUP('Données projet'!$B$15,Paramètres!$A$1:$I$89,5,0)</f>
        <v>19.160232000000388</v>
      </c>
      <c r="EL179" s="13">
        <f t="shared" si="179"/>
        <v>6.2615431735370342</v>
      </c>
      <c r="EM179" s="20">
        <f t="shared" si="180"/>
        <v>44.27625842724435</v>
      </c>
      <c r="EN179" s="59">
        <f t="shared" si="128"/>
        <v>333.39665990108193</v>
      </c>
      <c r="EO179" s="59">
        <f ca="1">AVERAGE(OFFSET($EN$3,0,0,'Données projet'!$E$15+1,1))-AVERAGE(OFFSET($H$3,0,0,'Données projet'!$E$15+1,1))</f>
        <v>600.96600099541388</v>
      </c>
      <c r="EP179" s="59">
        <f t="shared" si="154"/>
        <v>315.40159257508969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121.48839447871886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121.48839447871886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17.924088000000364</v>
      </c>
      <c r="P180" s="13">
        <f t="shared" si="141"/>
        <v>5.9032212091029486</v>
      </c>
      <c r="Q180" s="20">
        <f t="shared" si="162"/>
        <v>41.499230205854936</v>
      </c>
      <c r="R180" s="59">
        <f t="shared" si="109"/>
        <v>330.69271662875019</v>
      </c>
      <c r="S180" s="59">
        <f ca="1">AVERAGE(OFFSET($R$3,0,0,'Données projet'!$E$9+1,1))-AVERAGE(OFFSET($H$3,0,0,'Données projet'!$E$9+1,1))</f>
        <v>567.42635821336114</v>
      </c>
      <c r="T180" s="59">
        <f t="shared" si="142"/>
        <v>299.0473530693472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111.42181786271793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111.42181786271793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475.00000000000023</v>
      </c>
      <c r="AJ180" s="13">
        <f>AI180*VLOOKUP('Données projet'!$B$10,Paramètres!$A$1:$I$89,3,0)*VLOOKUP('Données projet'!$B$10,Paramètres!$A$1:$I$89,5,0)</f>
        <v>407.5500000000003</v>
      </c>
      <c r="AK180" s="13">
        <f t="shared" si="164"/>
        <v>93.305642095357683</v>
      </c>
      <c r="AL180" s="20">
        <f t="shared" si="165"/>
        <v>872.32357664941526</v>
      </c>
      <c r="AM180" s="59">
        <f t="shared" si="113"/>
        <v>1161.5170630723105</v>
      </c>
      <c r="AN180" s="59">
        <f ca="1">AVERAGE(OFFSET($AM$3,0,0,'Données projet'!$E$10+1,1))-AVERAGE(OFFSET($H$3,0,0,'Données projet'!$E$10+1,1))</f>
        <v>570.05585579662738</v>
      </c>
      <c r="AO180" s="59">
        <f t="shared" si="144"/>
        <v>331.25104323342907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39.527487688207195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39.527487688207195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16.750000000000213</v>
      </c>
      <c r="BE180" s="13">
        <f>BD180*VLOOKUP('Données projet'!$B$11,Paramètres!$A$1:$I$89,3,0)*VLOOKUP('Données projet'!$B$11,Paramètres!$A$1:$I$89,5,0)</f>
        <v>14.11020000000018</v>
      </c>
      <c r="BF180" s="13">
        <f t="shared" si="167"/>
        <v>4.7783677814795205</v>
      </c>
      <c r="BG180" s="20">
        <f t="shared" si="168"/>
        <v>32.897588886077138</v>
      </c>
      <c r="BH180" s="59">
        <f t="shared" si="116"/>
        <v>322.09107530897239</v>
      </c>
      <c r="BI180" s="59">
        <f ca="1">AVERAGE(OFFSET($BH$3,0,0,'Données projet'!$E$11+1,1))-AVERAGE(OFFSET($H$3,0,0,'Données projet'!$E$11+1,1))</f>
        <v>458.88102603650725</v>
      </c>
      <c r="BJ180" s="59">
        <f t="shared" si="146"/>
        <v>277.79020316059552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62.312745811854889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62.312745811854889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19.8100000000004</v>
      </c>
      <c r="BZ180" s="13">
        <f>BY180*VLOOKUP('Données projet'!$B$12,Paramètres!$A$1:$I$89,3,0)*VLOOKUP('Données projet'!$B$12,Paramètres!$A$1:$I$89,5,0)</f>
        <v>18.851196000000382</v>
      </c>
      <c r="CA180" s="13">
        <f t="shared" si="170"/>
        <v>6.172221809210666</v>
      </c>
      <c r="CB180" s="20">
        <f t="shared" si="171"/>
        <v>43.582452684375909</v>
      </c>
      <c r="CC180" s="59">
        <f t="shared" si="119"/>
        <v>332.77593910727114</v>
      </c>
      <c r="CD180" s="59">
        <f ca="1">AVERAGE(OFFSET($CC$3,0,0,'Données projet'!$E$12+1,1))-AVERAGE(OFFSET($H$3,0,0,'Données projet'!$E$12+1,1))</f>
        <v>592.58528888957346</v>
      </c>
      <c r="CE180" s="59">
        <f t="shared" si="148"/>
        <v>311.31528017256846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117.18501533837578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117.18501533837578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0.8600000000003547</v>
      </c>
      <c r="CU180" s="17">
        <f>CT180*VLOOKUP('Données projet'!$B$13,Paramètres!$A$1:$I$89,3,0)*VLOOKUP('Données projet'!$B$13,Paramètres!$A$1:$I$89,5,0)</f>
        <v>0.48074000000019829</v>
      </c>
      <c r="CV180" s="13">
        <f t="shared" si="173"/>
        <v>0.24126147010950588</v>
      </c>
      <c r="CW180" s="20">
        <f t="shared" si="174"/>
        <v>1.2574858937744013</v>
      </c>
      <c r="CX180" s="59">
        <f t="shared" si="122"/>
        <v>290.45097231666966</v>
      </c>
      <c r="CY180" s="59">
        <f ca="1">AVERAGE(OFFSET($CX$3,0,0,'Données projet'!$E$13+1,1))-AVERAGE(OFFSET($H$3,0,0,'Données projet'!$E$13+1,1))</f>
        <v>420.4890915162182</v>
      </c>
      <c r="CZ180" s="59">
        <f t="shared" si="150"/>
        <v>553.48432338023565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33.188907371724049</v>
      </c>
      <c r="DG180" s="21">
        <f>EXP(-LN(2)/25)*DG179+(1-EXP(-LN(2)/25))/(LN(2)/25)*Calculateur!DB180*Calculateur!DD180*VLOOKUP('Données projet'!$B$13,Paramètres!$A$1:$I$89,3,0)*0.475*44/12</f>
        <v>0.85871193476492536</v>
      </c>
      <c r="DH180" s="21">
        <f>EXP(-LN(2)/2)*DH179+(1-EXP(-LN(2)/2))/(LN(2)/2)*DB180*DE180*VLOOKUP('Données projet'!$B$13,Paramètres!$A$1:$I$89,3,0)*0.475*44/12</f>
        <v>5.5396253714887157E-23</v>
      </c>
      <c r="DI180" s="22">
        <f t="shared" si="175"/>
        <v>34.047619306488976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19.8100000000004</v>
      </c>
      <c r="DP180" s="17">
        <f>DO180*VLOOKUP('Données projet'!$B$14,Paramètres!$A$1:$I$89,3,0)*VLOOKUP('Données projet'!$B$14,Paramètres!$A$1:$I$89,5,0)</f>
        <v>21.323484000000427</v>
      </c>
      <c r="DQ180" s="13">
        <f t="shared" si="176"/>
        <v>6.88226100850307</v>
      </c>
      <c r="DR180" s="20">
        <f t="shared" si="177"/>
        <v>49.125005889810261</v>
      </c>
      <c r="DS180" s="59">
        <f t="shared" si="125"/>
        <v>338.31849231270553</v>
      </c>
      <c r="DT180" s="59">
        <f ca="1">AVERAGE(OFFSET($DS$3,0,0,'Données projet'!$E$14+1,1))-AVERAGE(OFFSET($H$3,0,0,'Données projet'!$E$14+1,1))</f>
        <v>659.55755908012691</v>
      </c>
      <c r="DU180" s="59">
        <f t="shared" si="152"/>
        <v>343.96647464823627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132.55354194012989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132.55354194012989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19.8100000000004</v>
      </c>
      <c r="EK180" s="17">
        <f>EJ180*VLOOKUP('Données projet'!$B$15,Paramètres!$A$1:$I$89,3,0)*VLOOKUP('Données projet'!$B$15,Paramètres!$A$1:$I$89,5,0)</f>
        <v>19.160232000000388</v>
      </c>
      <c r="EL180" s="13">
        <f t="shared" si="179"/>
        <v>6.2615431735370342</v>
      </c>
      <c r="EM180" s="20">
        <f t="shared" si="180"/>
        <v>44.27625842724435</v>
      </c>
      <c r="EN180" s="59">
        <f t="shared" si="128"/>
        <v>333.46974485013959</v>
      </c>
      <c r="EO180" s="59">
        <f ca="1">AVERAGE(OFFSET($EN$3,0,0,'Données projet'!$E$15+1,1))-AVERAGE(OFFSET($H$3,0,0,'Données projet'!$E$15+1,1))</f>
        <v>600.96600099541388</v>
      </c>
      <c r="EP180" s="59">
        <f t="shared" si="154"/>
        <v>315.40159257508969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119.10608116359499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119.10608116359499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17.924088000000364</v>
      </c>
      <c r="P181" s="13">
        <f t="shared" si="141"/>
        <v>5.9032212091029486</v>
      </c>
      <c r="Q181" s="20">
        <f t="shared" si="162"/>
        <v>41.499230205854936</v>
      </c>
      <c r="R181" s="59">
        <f t="shared" si="109"/>
        <v>330.7645337173351</v>
      </c>
      <c r="S181" s="59">
        <f ca="1">AVERAGE(OFFSET($R$3,0,0,'Données projet'!$E$9+1,1))-AVERAGE(OFFSET($H$3,0,0,'Données projet'!$E$9+1,1))</f>
        <v>567.42635821336114</v>
      </c>
      <c r="T181" s="59">
        <f t="shared" si="142"/>
        <v>299.0473530693472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109.23690397502837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109.23690397502837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475.00000000000023</v>
      </c>
      <c r="AJ181" s="13">
        <f>AI181*VLOOKUP('Données projet'!$B$10,Paramètres!$A$1:$I$89,3,0)*VLOOKUP('Données projet'!$B$10,Paramètres!$A$1:$I$89,5,0)</f>
        <v>407.5500000000003</v>
      </c>
      <c r="AK181" s="13">
        <f t="shared" si="164"/>
        <v>93.305642095357683</v>
      </c>
      <c r="AL181" s="20">
        <f t="shared" si="165"/>
        <v>872.32357664941526</v>
      </c>
      <c r="AM181" s="59">
        <f t="shared" si="113"/>
        <v>1161.5888801608953</v>
      </c>
      <c r="AN181" s="59">
        <f ca="1">AVERAGE(OFFSET($AM$3,0,0,'Données projet'!$E$10+1,1))-AVERAGE(OFFSET($H$3,0,0,'Données projet'!$E$10+1,1))</f>
        <v>570.05585579662738</v>
      </c>
      <c r="AO181" s="59">
        <f t="shared" si="144"/>
        <v>331.25104323342907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38.752377764028338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38.752377764028338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16.750000000000213</v>
      </c>
      <c r="BE181" s="13">
        <f>BD181*VLOOKUP('Données projet'!$B$11,Paramètres!$A$1:$I$89,3,0)*VLOOKUP('Données projet'!$B$11,Paramètres!$A$1:$I$89,5,0)</f>
        <v>14.11020000000018</v>
      </c>
      <c r="BF181" s="13">
        <f t="shared" si="167"/>
        <v>4.7783677814795205</v>
      </c>
      <c r="BG181" s="20">
        <f t="shared" si="168"/>
        <v>32.897588886077138</v>
      </c>
      <c r="BH181" s="59">
        <f t="shared" si="116"/>
        <v>322.1628923975573</v>
      </c>
      <c r="BI181" s="59">
        <f ca="1">AVERAGE(OFFSET($BH$3,0,0,'Données projet'!$E$11+1,1))-AVERAGE(OFFSET($H$3,0,0,'Données projet'!$E$11+1,1))</f>
        <v>458.88102603650725</v>
      </c>
      <c r="BJ181" s="59">
        <f t="shared" si="146"/>
        <v>277.79020316059552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61.090830873506476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61.090830873506476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19.8100000000004</v>
      </c>
      <c r="BZ181" s="13">
        <f>BY181*VLOOKUP('Données projet'!$B$12,Paramètres!$A$1:$I$89,3,0)*VLOOKUP('Données projet'!$B$12,Paramètres!$A$1:$I$89,5,0)</f>
        <v>18.851196000000382</v>
      </c>
      <c r="CA181" s="13">
        <f t="shared" si="170"/>
        <v>6.172221809210666</v>
      </c>
      <c r="CB181" s="20">
        <f t="shared" si="171"/>
        <v>43.582452684375909</v>
      </c>
      <c r="CC181" s="59">
        <f t="shared" si="119"/>
        <v>332.84775619585605</v>
      </c>
      <c r="CD181" s="59">
        <f ca="1">AVERAGE(OFFSET($CC$3,0,0,'Données projet'!$E$12+1,1))-AVERAGE(OFFSET($H$3,0,0,'Données projet'!$E$12+1,1))</f>
        <v>592.58528888957346</v>
      </c>
      <c r="CE181" s="59">
        <f t="shared" si="148"/>
        <v>311.31528017256846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114.88708866339194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114.88708866339194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0.8600000000003547</v>
      </c>
      <c r="CU181" s="17">
        <f>CT181*VLOOKUP('Données projet'!$B$13,Paramètres!$A$1:$I$89,3,0)*VLOOKUP('Données projet'!$B$13,Paramètres!$A$1:$I$89,5,0)</f>
        <v>0.48074000000019829</v>
      </c>
      <c r="CV181" s="13">
        <f t="shared" si="173"/>
        <v>0.24126147010950588</v>
      </c>
      <c r="CW181" s="20">
        <f t="shared" si="174"/>
        <v>1.2574858937744013</v>
      </c>
      <c r="CX181" s="59">
        <f t="shared" si="122"/>
        <v>290.52278940525457</v>
      </c>
      <c r="CY181" s="59">
        <f ca="1">AVERAGE(OFFSET($CX$3,0,0,'Données projet'!$E$13+1,1))-AVERAGE(OFFSET($H$3,0,0,'Données projet'!$E$13+1,1))</f>
        <v>420.4890915162182</v>
      </c>
      <c r="CZ181" s="59">
        <f t="shared" si="150"/>
        <v>553.48432338023565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32.538093141399187</v>
      </c>
      <c r="DG181" s="21">
        <f>EXP(-LN(2)/25)*DG180+(1-EXP(-LN(2)/25))/(LN(2)/25)*Calculateur!DB181*Calculateur!DD181*VLOOKUP('Données projet'!$B$13,Paramètres!$A$1:$I$89,3,0)*0.475*44/12</f>
        <v>0.83523041175108048</v>
      </c>
      <c r="DH181" s="21">
        <f>EXP(-LN(2)/2)*DH180+(1-EXP(-LN(2)/2))/(LN(2)/2)*DB181*DE181*VLOOKUP('Données projet'!$B$13,Paramètres!$A$1:$I$89,3,0)*0.475*44/12</f>
        <v>3.9171066654127185E-23</v>
      </c>
      <c r="DI181" s="22">
        <f t="shared" si="175"/>
        <v>33.373323553150271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19.8100000000004</v>
      </c>
      <c r="DP181" s="17">
        <f>DO181*VLOOKUP('Données projet'!$B$14,Paramètres!$A$1:$I$89,3,0)*VLOOKUP('Données projet'!$B$14,Paramètres!$A$1:$I$89,5,0)</f>
        <v>21.323484000000427</v>
      </c>
      <c r="DQ181" s="13">
        <f t="shared" si="176"/>
        <v>6.88226100850307</v>
      </c>
      <c r="DR181" s="20">
        <f t="shared" si="177"/>
        <v>49.125005889810261</v>
      </c>
      <c r="DS181" s="59">
        <f t="shared" si="125"/>
        <v>338.39030940129044</v>
      </c>
      <c r="DT181" s="59">
        <f ca="1">AVERAGE(OFFSET($DS$3,0,0,'Données projet'!$E$14+1,1))-AVERAGE(OFFSET($H$3,0,0,'Données projet'!$E$14+1,1))</f>
        <v>659.55755908012691</v>
      </c>
      <c r="DU181" s="59">
        <f t="shared" si="152"/>
        <v>343.96647464823627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129.95424783236129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129.95424783236129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19.8100000000004</v>
      </c>
      <c r="EK181" s="17">
        <f>EJ181*VLOOKUP('Données projet'!$B$15,Paramètres!$A$1:$I$89,3,0)*VLOOKUP('Données projet'!$B$15,Paramètres!$A$1:$I$89,5,0)</f>
        <v>19.160232000000388</v>
      </c>
      <c r="EL181" s="13">
        <f t="shared" si="179"/>
        <v>6.2615431735370342</v>
      </c>
      <c r="EM181" s="20">
        <f t="shared" si="180"/>
        <v>44.27625842724435</v>
      </c>
      <c r="EN181" s="59">
        <f t="shared" si="128"/>
        <v>333.5415619387245</v>
      </c>
      <c r="EO181" s="59">
        <f ca="1">AVERAGE(OFFSET($EN$3,0,0,'Données projet'!$E$15+1,1))-AVERAGE(OFFSET($H$3,0,0,'Données projet'!$E$15+1,1))</f>
        <v>600.96600099541388</v>
      </c>
      <c r="EP181" s="59">
        <f t="shared" si="154"/>
        <v>315.40159257508969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116.77048355951305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116.77048355951305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17.924088000000364</v>
      </c>
      <c r="P182" s="13">
        <f t="shared" si="141"/>
        <v>5.9032212091029486</v>
      </c>
      <c r="Q182" s="20">
        <f t="shared" si="162"/>
        <v>41.499230205854936</v>
      </c>
      <c r="R182" s="59">
        <f t="shared" si="109"/>
        <v>330.83510493999205</v>
      </c>
      <c r="S182" s="59">
        <f ca="1">AVERAGE(OFFSET($R$3,0,0,'Données projet'!$E$9+1,1))-AVERAGE(OFFSET($H$3,0,0,'Données projet'!$E$9+1,1))</f>
        <v>567.42635821336114</v>
      </c>
      <c r="T182" s="59">
        <f t="shared" si="142"/>
        <v>299.0473530693472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107.09483491601053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107.09483491601053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475.00000000000023</v>
      </c>
      <c r="AJ182" s="13">
        <f>AI182*VLOOKUP('Données projet'!$B$10,Paramètres!$A$1:$I$89,3,0)*VLOOKUP('Données projet'!$B$10,Paramètres!$A$1:$I$89,5,0)</f>
        <v>407.5500000000003</v>
      </c>
      <c r="AK182" s="13">
        <f t="shared" si="164"/>
        <v>93.305642095357683</v>
      </c>
      <c r="AL182" s="20">
        <f t="shared" si="165"/>
        <v>872.32357664941526</v>
      </c>
      <c r="AM182" s="59">
        <f t="shared" si="113"/>
        <v>1161.6594513835523</v>
      </c>
      <c r="AN182" s="59">
        <f ca="1">AVERAGE(OFFSET($AM$3,0,0,'Données projet'!$E$10+1,1))-AVERAGE(OFFSET($H$3,0,0,'Données projet'!$E$10+1,1))</f>
        <v>570.05585579662738</v>
      </c>
      <c r="AO182" s="59">
        <f t="shared" si="144"/>
        <v>331.25104323342907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37.992467272692259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37.992467272692259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16.750000000000213</v>
      </c>
      <c r="BE182" s="13">
        <f>BD182*VLOOKUP('Données projet'!$B$11,Paramètres!$A$1:$I$89,3,0)*VLOOKUP('Données projet'!$B$11,Paramètres!$A$1:$I$89,5,0)</f>
        <v>14.11020000000018</v>
      </c>
      <c r="BF182" s="13">
        <f t="shared" si="167"/>
        <v>4.7783677814795205</v>
      </c>
      <c r="BG182" s="20">
        <f t="shared" si="168"/>
        <v>32.897588886077138</v>
      </c>
      <c r="BH182" s="59">
        <f t="shared" si="116"/>
        <v>322.23346362021425</v>
      </c>
      <c r="BI182" s="59">
        <f ca="1">AVERAGE(OFFSET($BH$3,0,0,'Données projet'!$E$11+1,1))-AVERAGE(OFFSET($H$3,0,0,'Données projet'!$E$11+1,1))</f>
        <v>458.88102603650725</v>
      </c>
      <c r="BJ182" s="59">
        <f t="shared" si="146"/>
        <v>277.79020316059552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59.892876941804559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59.892876941804559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19.8100000000004</v>
      </c>
      <c r="BZ182" s="13">
        <f>BY182*VLOOKUP('Données projet'!$B$12,Paramètres!$A$1:$I$89,3,0)*VLOOKUP('Données projet'!$B$12,Paramètres!$A$1:$I$89,5,0)</f>
        <v>18.851196000000382</v>
      </c>
      <c r="CA182" s="13">
        <f t="shared" si="170"/>
        <v>6.172221809210666</v>
      </c>
      <c r="CB182" s="20">
        <f t="shared" si="171"/>
        <v>43.582452684375909</v>
      </c>
      <c r="CC182" s="59">
        <f t="shared" si="119"/>
        <v>332.91832741851306</v>
      </c>
      <c r="CD182" s="59">
        <f ca="1">AVERAGE(OFFSET($CC$3,0,0,'Données projet'!$E$12+1,1))-AVERAGE(OFFSET($H$3,0,0,'Données projet'!$E$12+1,1))</f>
        <v>592.58528888957346</v>
      </c>
      <c r="CE182" s="59">
        <f t="shared" si="148"/>
        <v>311.31528017256846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112.63422292890765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112.63422292890765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0.8600000000003547</v>
      </c>
      <c r="CU182" s="17">
        <f>CT182*VLOOKUP('Données projet'!$B$13,Paramètres!$A$1:$I$89,3,0)*VLOOKUP('Données projet'!$B$13,Paramètres!$A$1:$I$89,5,0)</f>
        <v>0.48074000000019829</v>
      </c>
      <c r="CV182" s="13">
        <f t="shared" si="173"/>
        <v>0.24126147010950588</v>
      </c>
      <c r="CW182" s="20">
        <f t="shared" si="174"/>
        <v>1.2574858937744013</v>
      </c>
      <c r="CX182" s="59">
        <f t="shared" si="122"/>
        <v>290.59336062791152</v>
      </c>
      <c r="CY182" s="59">
        <f ca="1">AVERAGE(OFFSET($CX$3,0,0,'Données projet'!$E$13+1,1))-AVERAGE(OFFSET($H$3,0,0,'Données projet'!$E$13+1,1))</f>
        <v>420.4890915162182</v>
      </c>
      <c r="CZ182" s="59">
        <f t="shared" si="150"/>
        <v>553.48432338023565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31.900040981173508</v>
      </c>
      <c r="DG182" s="21">
        <f>EXP(-LN(2)/25)*DG181+(1-EXP(-LN(2)/25))/(LN(2)/25)*Calculateur!DB182*Calculateur!DD182*VLOOKUP('Données projet'!$B$13,Paramètres!$A$1:$I$89,3,0)*0.475*44/12</f>
        <v>0.81239099221888877</v>
      </c>
      <c r="DH182" s="21">
        <f>EXP(-LN(2)/2)*DH181+(1-EXP(-LN(2)/2))/(LN(2)/2)*DB182*DE182*VLOOKUP('Données projet'!$B$13,Paramètres!$A$1:$I$89,3,0)*0.475*44/12</f>
        <v>2.7698126857443579E-23</v>
      </c>
      <c r="DI182" s="22">
        <f t="shared" si="175"/>
        <v>32.712431973392398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19.8100000000004</v>
      </c>
      <c r="DP182" s="17">
        <f>DO182*VLOOKUP('Données projet'!$B$14,Paramètres!$A$1:$I$89,3,0)*VLOOKUP('Données projet'!$B$14,Paramètres!$A$1:$I$89,5,0)</f>
        <v>21.323484000000427</v>
      </c>
      <c r="DQ182" s="13">
        <f t="shared" si="176"/>
        <v>6.88226100850307</v>
      </c>
      <c r="DR182" s="20">
        <f t="shared" si="177"/>
        <v>49.125005889810261</v>
      </c>
      <c r="DS182" s="59">
        <f t="shared" si="125"/>
        <v>338.46088062394739</v>
      </c>
      <c r="DT182" s="59">
        <f ca="1">AVERAGE(OFFSET($DS$3,0,0,'Données projet'!$E$14+1,1))-AVERAGE(OFFSET($H$3,0,0,'Données projet'!$E$14+1,1))</f>
        <v>659.55755908012691</v>
      </c>
      <c r="DU182" s="59">
        <f t="shared" si="152"/>
        <v>343.96647464823627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127.40592429663316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127.40592429663316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19.8100000000004</v>
      </c>
      <c r="EK182" s="17">
        <f>EJ182*VLOOKUP('Données projet'!$B$15,Paramètres!$A$1:$I$89,3,0)*VLOOKUP('Données projet'!$B$15,Paramètres!$A$1:$I$89,5,0)</f>
        <v>19.160232000000388</v>
      </c>
      <c r="EL182" s="13">
        <f t="shared" si="179"/>
        <v>6.2615431735370342</v>
      </c>
      <c r="EM182" s="20">
        <f t="shared" si="180"/>
        <v>44.27625842724435</v>
      </c>
      <c r="EN182" s="59">
        <f t="shared" si="128"/>
        <v>333.61213316138145</v>
      </c>
      <c r="EO182" s="59">
        <f ca="1">AVERAGE(OFFSET($EN$3,0,0,'Données projet'!$E$15+1,1))-AVERAGE(OFFSET($H$3,0,0,'Données projet'!$E$15+1,1))</f>
        <v>600.96600099541388</v>
      </c>
      <c r="EP182" s="59">
        <f t="shared" si="154"/>
        <v>315.40159257508969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114.4806855998733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114.4806855998733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17.924088000000364</v>
      </c>
      <c r="P183" s="13">
        <f t="shared" si="141"/>
        <v>5.9032212091029486</v>
      </c>
      <c r="Q183" s="20">
        <f t="shared" si="162"/>
        <v>41.499230205854936</v>
      </c>
      <c r="R183" s="59">
        <f t="shared" si="109"/>
        <v>330.90445190970956</v>
      </c>
      <c r="S183" s="59">
        <f ca="1">AVERAGE(OFFSET($R$3,0,0,'Données projet'!$E$9+1,1))-AVERAGE(OFFSET($H$3,0,0,'Données projet'!$E$9+1,1))</f>
        <v>567.42635821336114</v>
      </c>
      <c r="T183" s="59">
        <f t="shared" si="142"/>
        <v>299.0473530693472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104.99477052470691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104.99477052470691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475.00000000000023</v>
      </c>
      <c r="AJ183" s="13">
        <f>AI183*VLOOKUP('Données projet'!$B$10,Paramètres!$A$1:$I$89,3,0)*VLOOKUP('Données projet'!$B$10,Paramètres!$A$1:$I$89,5,0)</f>
        <v>407.5500000000003</v>
      </c>
      <c r="AK183" s="13">
        <f t="shared" si="164"/>
        <v>93.305642095357683</v>
      </c>
      <c r="AL183" s="20">
        <f t="shared" si="165"/>
        <v>872.32357664941526</v>
      </c>
      <c r="AM183" s="59">
        <f t="shared" si="113"/>
        <v>1161.7287983532699</v>
      </c>
      <c r="AN183" s="59">
        <f ca="1">AVERAGE(OFFSET($AM$3,0,0,'Données projet'!$E$10+1,1))-AVERAGE(OFFSET($H$3,0,0,'Données projet'!$E$10+1,1))</f>
        <v>570.05585579662738</v>
      </c>
      <c r="AO183" s="59">
        <f t="shared" si="144"/>
        <v>331.25104323342907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37.247458162591649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37.247458162591649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16.750000000000213</v>
      </c>
      <c r="BE183" s="13">
        <f>BD183*VLOOKUP('Données projet'!$B$11,Paramètres!$A$1:$I$89,3,0)*VLOOKUP('Données projet'!$B$11,Paramètres!$A$1:$I$89,5,0)</f>
        <v>14.11020000000018</v>
      </c>
      <c r="BF183" s="13">
        <f t="shared" si="167"/>
        <v>4.7783677814795205</v>
      </c>
      <c r="BG183" s="20">
        <f t="shared" si="168"/>
        <v>32.897588886077138</v>
      </c>
      <c r="BH183" s="59">
        <f t="shared" si="116"/>
        <v>322.30281058993177</v>
      </c>
      <c r="BI183" s="59">
        <f ca="1">AVERAGE(OFFSET($BH$3,0,0,'Données projet'!$E$11+1,1))-AVERAGE(OFFSET($H$3,0,0,'Données projet'!$E$11+1,1))</f>
        <v>458.88102603650725</v>
      </c>
      <c r="BJ183" s="59">
        <f t="shared" si="146"/>
        <v>277.79020316059552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58.718414156023563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58.718414156023563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19.8100000000004</v>
      </c>
      <c r="BZ183" s="13">
        <f>BY183*VLOOKUP('Données projet'!$B$12,Paramètres!$A$1:$I$89,3,0)*VLOOKUP('Données projet'!$B$12,Paramètres!$A$1:$I$89,5,0)</f>
        <v>18.851196000000382</v>
      </c>
      <c r="CA183" s="13">
        <f t="shared" si="170"/>
        <v>6.172221809210666</v>
      </c>
      <c r="CB183" s="20">
        <f t="shared" si="171"/>
        <v>43.582452684375909</v>
      </c>
      <c r="CC183" s="59">
        <f t="shared" si="119"/>
        <v>332.98767438823052</v>
      </c>
      <c r="CD183" s="59">
        <f ca="1">AVERAGE(OFFSET($CC$3,0,0,'Données projet'!$E$12+1,1))-AVERAGE(OFFSET($H$3,0,0,'Données projet'!$E$12+1,1))</f>
        <v>592.58528888957346</v>
      </c>
      <c r="CE183" s="59">
        <f t="shared" si="148"/>
        <v>311.31528017256846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110.42553451736418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110.42553451736418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0.8600000000003547</v>
      </c>
      <c r="CU183" s="17">
        <f>CT183*VLOOKUP('Données projet'!$B$13,Paramètres!$A$1:$I$89,3,0)*VLOOKUP('Données projet'!$B$13,Paramètres!$A$1:$I$89,5,0)</f>
        <v>0.48074000000019829</v>
      </c>
      <c r="CV183" s="13">
        <f t="shared" si="173"/>
        <v>0.24126147010950588</v>
      </c>
      <c r="CW183" s="20">
        <f t="shared" si="174"/>
        <v>1.2574858937744013</v>
      </c>
      <c r="CX183" s="59">
        <f t="shared" si="122"/>
        <v>290.66270759762904</v>
      </c>
      <c r="CY183" s="59">
        <f ca="1">AVERAGE(OFFSET($CX$3,0,0,'Données projet'!$E$13+1,1))-AVERAGE(OFFSET($H$3,0,0,'Données projet'!$E$13+1,1))</f>
        <v>420.4890915162182</v>
      </c>
      <c r="CZ183" s="59">
        <f t="shared" si="150"/>
        <v>553.48432338023565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31.274500634636464</v>
      </c>
      <c r="DG183" s="21">
        <f>EXP(-LN(2)/25)*DG182+(1-EXP(-LN(2)/25))/(LN(2)/25)*Calculateur!DB183*Calculateur!DD183*VLOOKUP('Données projet'!$B$13,Paramètres!$A$1:$I$89,3,0)*0.475*44/12</f>
        <v>0.79017611781487773</v>
      </c>
      <c r="DH183" s="21">
        <f>EXP(-LN(2)/2)*DH182+(1-EXP(-LN(2)/2))/(LN(2)/2)*DB183*DE183*VLOOKUP('Données projet'!$B$13,Paramètres!$A$1:$I$89,3,0)*0.475*44/12</f>
        <v>1.9585533327063592E-23</v>
      </c>
      <c r="DI183" s="22">
        <f t="shared" si="175"/>
        <v>32.064676752451341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19.8100000000004</v>
      </c>
      <c r="DP183" s="17">
        <f>DO183*VLOOKUP('Données projet'!$B$14,Paramètres!$A$1:$I$89,3,0)*VLOOKUP('Données projet'!$B$14,Paramètres!$A$1:$I$89,5,0)</f>
        <v>21.323484000000427</v>
      </c>
      <c r="DQ183" s="13">
        <f t="shared" si="176"/>
        <v>6.88226100850307</v>
      </c>
      <c r="DR183" s="20">
        <f t="shared" si="177"/>
        <v>49.125005889810261</v>
      </c>
      <c r="DS183" s="59">
        <f t="shared" si="125"/>
        <v>338.5302275936649</v>
      </c>
      <c r="DT183" s="59">
        <f ca="1">AVERAGE(OFFSET($DS$3,0,0,'Données projet'!$E$14+1,1))-AVERAGE(OFFSET($H$3,0,0,'Données projet'!$E$14+1,1))</f>
        <v>659.55755908012691</v>
      </c>
      <c r="DU183" s="59">
        <f t="shared" si="152"/>
        <v>343.96647464823627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124.90757183111678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124.90757183111678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19.8100000000004</v>
      </c>
      <c r="EK183" s="17">
        <f>EJ183*VLOOKUP('Données projet'!$B$15,Paramètres!$A$1:$I$89,3,0)*VLOOKUP('Données projet'!$B$15,Paramètres!$A$1:$I$89,5,0)</f>
        <v>19.160232000000388</v>
      </c>
      <c r="EL183" s="13">
        <f t="shared" si="179"/>
        <v>6.2615431735370342</v>
      </c>
      <c r="EM183" s="20">
        <f t="shared" si="180"/>
        <v>44.27625842724435</v>
      </c>
      <c r="EN183" s="59">
        <f t="shared" si="128"/>
        <v>333.68148013109897</v>
      </c>
      <c r="EO183" s="59">
        <f ca="1">AVERAGE(OFFSET($EN$3,0,0,'Données projet'!$E$15+1,1))-AVERAGE(OFFSET($H$3,0,0,'Données projet'!$E$15+1,1))</f>
        <v>600.96600099541388</v>
      </c>
      <c r="EP183" s="59">
        <f t="shared" si="154"/>
        <v>315.40159257508969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112.23578918158321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112.23578918158321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17.924088000000364</v>
      </c>
      <c r="P184" s="13">
        <f t="shared" si="141"/>
        <v>5.9032212091029486</v>
      </c>
      <c r="Q184" s="20">
        <f t="shared" si="162"/>
        <v>41.499230205854936</v>
      </c>
      <c r="R184" s="59">
        <f t="shared" si="109"/>
        <v>330.97259586453902</v>
      </c>
      <c r="S184" s="59">
        <f ca="1">AVERAGE(OFFSET($R$3,0,0,'Données projet'!$E$9+1,1))-AVERAGE(OFFSET($H$3,0,0,'Données projet'!$E$9+1,1))</f>
        <v>567.42635821336114</v>
      </c>
      <c r="T184" s="59">
        <f t="shared" si="142"/>
        <v>299.0473530693472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102.93588711520395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102.93588711520395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475.00000000000023</v>
      </c>
      <c r="AJ184" s="13">
        <f>AI184*VLOOKUP('Données projet'!$B$10,Paramètres!$A$1:$I$89,3,0)*VLOOKUP('Données projet'!$B$10,Paramètres!$A$1:$I$89,5,0)</f>
        <v>407.5500000000003</v>
      </c>
      <c r="AK184" s="13">
        <f t="shared" si="164"/>
        <v>93.305642095357683</v>
      </c>
      <c r="AL184" s="20">
        <f t="shared" si="165"/>
        <v>872.32357664941526</v>
      </c>
      <c r="AM184" s="59">
        <f t="shared" si="113"/>
        <v>1161.7969423080995</v>
      </c>
      <c r="AN184" s="59">
        <f ca="1">AVERAGE(OFFSET($AM$3,0,0,'Données projet'!$E$10+1,1))-AVERAGE(OFFSET($H$3,0,0,'Données projet'!$E$10+1,1))</f>
        <v>570.05585579662738</v>
      </c>
      <c r="AO184" s="59">
        <f t="shared" si="144"/>
        <v>331.25104323342907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36.517058226729418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36.517058226729418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16.750000000000213</v>
      </c>
      <c r="BE184" s="13">
        <f>BD184*VLOOKUP('Données projet'!$B$11,Paramètres!$A$1:$I$89,3,0)*VLOOKUP('Données projet'!$B$11,Paramètres!$A$1:$I$89,5,0)</f>
        <v>14.11020000000018</v>
      </c>
      <c r="BF184" s="13">
        <f t="shared" si="167"/>
        <v>4.7783677814795205</v>
      </c>
      <c r="BG184" s="20">
        <f t="shared" si="168"/>
        <v>32.897588886077138</v>
      </c>
      <c r="BH184" s="59">
        <f t="shared" si="116"/>
        <v>322.37095454476122</v>
      </c>
      <c r="BI184" s="59">
        <f ca="1">AVERAGE(OFFSET($BH$3,0,0,'Données projet'!$E$11+1,1))-AVERAGE(OFFSET($H$3,0,0,'Données projet'!$E$11+1,1))</f>
        <v>458.88102603650725</v>
      </c>
      <c r="BJ184" s="59">
        <f t="shared" si="146"/>
        <v>277.79020316059552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57.56698186912017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57.56698186912017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19.8100000000004</v>
      </c>
      <c r="BZ184" s="13">
        <f>BY184*VLOOKUP('Données projet'!$B$12,Paramètres!$A$1:$I$89,3,0)*VLOOKUP('Données projet'!$B$12,Paramètres!$A$1:$I$89,5,0)</f>
        <v>18.851196000000382</v>
      </c>
      <c r="CA184" s="13">
        <f t="shared" si="170"/>
        <v>6.172221809210666</v>
      </c>
      <c r="CB184" s="20">
        <f t="shared" si="171"/>
        <v>43.582452684375909</v>
      </c>
      <c r="CC184" s="59">
        <f t="shared" si="119"/>
        <v>333.05581834305997</v>
      </c>
      <c r="CD184" s="59">
        <f ca="1">AVERAGE(OFFSET($CC$3,0,0,'Données projet'!$E$12+1,1))-AVERAGE(OFFSET($H$3,0,0,'Données projet'!$E$12+1,1))</f>
        <v>592.58528888957346</v>
      </c>
      <c r="CE184" s="59">
        <f t="shared" si="148"/>
        <v>311.31528017256846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108.26015713840418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108.26015713840418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0.8600000000003547</v>
      </c>
      <c r="CU184" s="17">
        <f>CT184*VLOOKUP('Données projet'!$B$13,Paramètres!$A$1:$I$89,3,0)*VLOOKUP('Données projet'!$B$13,Paramètres!$A$1:$I$89,5,0)</f>
        <v>0.48074000000019829</v>
      </c>
      <c r="CV184" s="13">
        <f t="shared" si="173"/>
        <v>0.24126147010950588</v>
      </c>
      <c r="CW184" s="20">
        <f t="shared" si="174"/>
        <v>1.2574858937744013</v>
      </c>
      <c r="CX184" s="59">
        <f t="shared" si="122"/>
        <v>290.73085155245849</v>
      </c>
      <c r="CY184" s="59">
        <f ca="1">AVERAGE(OFFSET($CX$3,0,0,'Données projet'!$E$13+1,1))-AVERAGE(OFFSET($H$3,0,0,'Données projet'!$E$13+1,1))</f>
        <v>420.4890915162182</v>
      </c>
      <c r="CZ184" s="59">
        <f t="shared" si="150"/>
        <v>553.48432338023565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30.661226752753073</v>
      </c>
      <c r="DG184" s="21">
        <f>EXP(-LN(2)/25)*DG183+(1-EXP(-LN(2)/25))/(LN(2)/25)*Calculateur!DB184*Calculateur!DD184*VLOOKUP('Données projet'!$B$13,Paramètres!$A$1:$I$89,3,0)*0.475*44/12</f>
        <v>0.76856871031967389</v>
      </c>
      <c r="DH184" s="21">
        <f>EXP(-LN(2)/2)*DH183+(1-EXP(-LN(2)/2))/(LN(2)/2)*DB184*DE184*VLOOKUP('Données projet'!$B$13,Paramètres!$A$1:$I$89,3,0)*0.475*44/12</f>
        <v>1.3849063428721789E-23</v>
      </c>
      <c r="DI184" s="22">
        <f t="shared" si="175"/>
        <v>31.429795463072747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19.8100000000004</v>
      </c>
      <c r="DP184" s="17">
        <f>DO184*VLOOKUP('Données projet'!$B$14,Paramètres!$A$1:$I$89,3,0)*VLOOKUP('Données projet'!$B$14,Paramètres!$A$1:$I$89,5,0)</f>
        <v>21.323484000000427</v>
      </c>
      <c r="DQ184" s="13">
        <f t="shared" si="176"/>
        <v>6.88226100850307</v>
      </c>
      <c r="DR184" s="20">
        <f t="shared" si="177"/>
        <v>49.125005889810261</v>
      </c>
      <c r="DS184" s="59">
        <f t="shared" si="125"/>
        <v>338.59837154849436</v>
      </c>
      <c r="DT184" s="59">
        <f ca="1">AVERAGE(OFFSET($DS$3,0,0,'Données projet'!$E$14+1,1))-AVERAGE(OFFSET($H$3,0,0,'Données projet'!$E$14+1,1))</f>
        <v>659.55755908012691</v>
      </c>
      <c r="DU184" s="59">
        <f t="shared" si="152"/>
        <v>343.96647464823627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122.45821053360464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122.45821053360464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19.8100000000004</v>
      </c>
      <c r="EK184" s="17">
        <f>EJ184*VLOOKUP('Données projet'!$B$15,Paramètres!$A$1:$I$89,3,0)*VLOOKUP('Données projet'!$B$15,Paramètres!$A$1:$I$89,5,0)</f>
        <v>19.160232000000388</v>
      </c>
      <c r="EL184" s="13">
        <f t="shared" si="179"/>
        <v>6.2615431735370342</v>
      </c>
      <c r="EM184" s="20">
        <f t="shared" si="180"/>
        <v>44.27625842724435</v>
      </c>
      <c r="EN184" s="59">
        <f t="shared" si="128"/>
        <v>333.74962408592842</v>
      </c>
      <c r="EO184" s="59">
        <f ca="1">AVERAGE(OFFSET($EN$3,0,0,'Données projet'!$E$15+1,1))-AVERAGE(OFFSET($H$3,0,0,'Données projet'!$E$15+1,1))</f>
        <v>600.96600099541388</v>
      </c>
      <c r="EP184" s="59">
        <f t="shared" si="154"/>
        <v>315.40159257508969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110.03491381280419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110.03491381280419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17.924088000000364</v>
      </c>
      <c r="P185" s="13">
        <f t="shared" si="141"/>
        <v>5.9032212091029486</v>
      </c>
      <c r="Q185" s="20">
        <f t="shared" si="162"/>
        <v>41.499230205854936</v>
      </c>
      <c r="R185" s="59">
        <f t="shared" si="109"/>
        <v>331.03955767409934</v>
      </c>
      <c r="S185" s="59">
        <f ca="1">AVERAGE(OFFSET($R$3,0,0,'Données projet'!$E$9+1,1))-AVERAGE(OFFSET($H$3,0,0,'Données projet'!$E$9+1,1))</f>
        <v>567.42635821336114</v>
      </c>
      <c r="T185" s="59">
        <f t="shared" si="142"/>
        <v>299.0473530693472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100.91737715356648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100.91737715356648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475.00000000000023</v>
      </c>
      <c r="AJ185" s="13">
        <f>AI185*VLOOKUP('Données projet'!$B$10,Paramètres!$A$1:$I$89,3,0)*VLOOKUP('Données projet'!$B$10,Paramètres!$A$1:$I$89,5,0)</f>
        <v>407.5500000000003</v>
      </c>
      <c r="AK185" s="13">
        <f t="shared" si="164"/>
        <v>93.305642095357683</v>
      </c>
      <c r="AL185" s="20">
        <f t="shared" si="165"/>
        <v>872.32357664941526</v>
      </c>
      <c r="AM185" s="59">
        <f t="shared" si="113"/>
        <v>1161.8639041176598</v>
      </c>
      <c r="AN185" s="59">
        <f ca="1">AVERAGE(OFFSET($AM$3,0,0,'Données projet'!$E$10+1,1))-AVERAGE(OFFSET($H$3,0,0,'Données projet'!$E$10+1,1))</f>
        <v>570.05585579662738</v>
      </c>
      <c r="AO185" s="59">
        <f t="shared" si="144"/>
        <v>331.25104323342907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35.800980988109472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35.800980988109472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16.750000000000213</v>
      </c>
      <c r="BE185" s="13">
        <f>BD185*VLOOKUP('Données projet'!$B$11,Paramètres!$A$1:$I$89,3,0)*VLOOKUP('Données projet'!$B$11,Paramètres!$A$1:$I$89,5,0)</f>
        <v>14.11020000000018</v>
      </c>
      <c r="BF185" s="13">
        <f t="shared" si="167"/>
        <v>4.7783677814795205</v>
      </c>
      <c r="BG185" s="20">
        <f t="shared" si="168"/>
        <v>32.897588886077138</v>
      </c>
      <c r="BH185" s="59">
        <f t="shared" si="116"/>
        <v>322.43791635432154</v>
      </c>
      <c r="BI185" s="59">
        <f ca="1">AVERAGE(OFFSET($BH$3,0,0,'Données projet'!$E$11+1,1))-AVERAGE(OFFSET($H$3,0,0,'Données projet'!$E$11+1,1))</f>
        <v>458.88102603650725</v>
      </c>
      <c r="BJ185" s="59">
        <f t="shared" si="146"/>
        <v>277.79020316059552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56.438128467058604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56.438128467058604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19.8100000000004</v>
      </c>
      <c r="BZ185" s="13">
        <f>BY185*VLOOKUP('Données projet'!$B$12,Paramètres!$A$1:$I$89,3,0)*VLOOKUP('Données projet'!$B$12,Paramètres!$A$1:$I$89,5,0)</f>
        <v>18.851196000000382</v>
      </c>
      <c r="CA185" s="13">
        <f t="shared" si="170"/>
        <v>6.172221809210666</v>
      </c>
      <c r="CB185" s="20">
        <f t="shared" si="171"/>
        <v>43.582452684375909</v>
      </c>
      <c r="CC185" s="59">
        <f t="shared" si="119"/>
        <v>333.12278015262029</v>
      </c>
      <c r="CD185" s="59">
        <f ca="1">AVERAGE(OFFSET($CC$3,0,0,'Données projet'!$E$12+1,1))-AVERAGE(OFFSET($H$3,0,0,'Données projet'!$E$12+1,1))</f>
        <v>592.58528888957346</v>
      </c>
      <c r="CE185" s="59">
        <f t="shared" si="148"/>
        <v>311.31528017256846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106.1372414890958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106.1372414890958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0.8600000000003547</v>
      </c>
      <c r="CU185" s="17">
        <f>CT185*VLOOKUP('Données projet'!$B$13,Paramètres!$A$1:$I$89,3,0)*VLOOKUP('Données projet'!$B$13,Paramètres!$A$1:$I$89,5,0)</f>
        <v>0.48074000000019829</v>
      </c>
      <c r="CV185" s="13">
        <f t="shared" si="173"/>
        <v>0.24126147010950588</v>
      </c>
      <c r="CW185" s="20">
        <f t="shared" si="174"/>
        <v>1.2574858937744013</v>
      </c>
      <c r="CX185" s="59">
        <f t="shared" si="122"/>
        <v>290.79781336201881</v>
      </c>
      <c r="CY185" s="59">
        <f ca="1">AVERAGE(OFFSET($CX$3,0,0,'Données projet'!$E$13+1,1))-AVERAGE(OFFSET($H$3,0,0,'Données projet'!$E$13+1,1))</f>
        <v>420.4890915162182</v>
      </c>
      <c r="CZ185" s="59">
        <f t="shared" si="150"/>
        <v>553.48432338023565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30.059978797633285</v>
      </c>
      <c r="DG185" s="21">
        <f>EXP(-LN(2)/25)*DG184+(1-EXP(-LN(2)/25))/(LN(2)/25)*Calculateur!DB185*Calculateur!DD185*VLOOKUP('Données projet'!$B$13,Paramètres!$A$1:$I$89,3,0)*0.475*44/12</f>
        <v>0.74755215851871049</v>
      </c>
      <c r="DH185" s="21">
        <f>EXP(-LN(2)/2)*DH184+(1-EXP(-LN(2)/2))/(LN(2)/2)*DB185*DE185*VLOOKUP('Données projet'!$B$13,Paramètres!$A$1:$I$89,3,0)*0.475*44/12</f>
        <v>9.7927666635317962E-24</v>
      </c>
      <c r="DI185" s="22">
        <f t="shared" si="175"/>
        <v>30.807530956151997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19.8100000000004</v>
      </c>
      <c r="DP185" s="17">
        <f>DO185*VLOOKUP('Données projet'!$B$14,Paramètres!$A$1:$I$89,3,0)*VLOOKUP('Données projet'!$B$14,Paramètres!$A$1:$I$89,5,0)</f>
        <v>21.323484000000427</v>
      </c>
      <c r="DQ185" s="13">
        <f t="shared" si="176"/>
        <v>6.88226100850307</v>
      </c>
      <c r="DR185" s="20">
        <f t="shared" si="177"/>
        <v>49.125005889810261</v>
      </c>
      <c r="DS185" s="59">
        <f t="shared" si="125"/>
        <v>338.66533335805468</v>
      </c>
      <c r="DT185" s="59">
        <f ca="1">AVERAGE(OFFSET($DS$3,0,0,'Données projet'!$E$14+1,1))-AVERAGE(OFFSET($H$3,0,0,'Données projet'!$E$14+1,1))</f>
        <v>659.55755908012691</v>
      </c>
      <c r="DU185" s="59">
        <f t="shared" si="152"/>
        <v>343.96647464823627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120.05687971717384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120.05687971717384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19.8100000000004</v>
      </c>
      <c r="EK185" s="17">
        <f>EJ185*VLOOKUP('Données projet'!$B$15,Paramètres!$A$1:$I$89,3,0)*VLOOKUP('Données projet'!$B$15,Paramètres!$A$1:$I$89,5,0)</f>
        <v>19.160232000000388</v>
      </c>
      <c r="EL185" s="13">
        <f t="shared" si="179"/>
        <v>6.2615431735370342</v>
      </c>
      <c r="EM185" s="20">
        <f t="shared" si="180"/>
        <v>44.27625842724435</v>
      </c>
      <c r="EN185" s="59">
        <f t="shared" si="128"/>
        <v>333.81658589548874</v>
      </c>
      <c r="EO185" s="59">
        <f ca="1">AVERAGE(OFFSET($EN$3,0,0,'Données projet'!$E$15+1,1))-AVERAGE(OFFSET($H$3,0,0,'Données projet'!$E$15+1,1))</f>
        <v>600.96600099541388</v>
      </c>
      <c r="EP185" s="59">
        <f t="shared" si="154"/>
        <v>315.40159257508969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107.8771962676055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107.8771962676055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17.924088000000364</v>
      </c>
      <c r="P186" s="13">
        <f t="shared" si="141"/>
        <v>5.9032212091029486</v>
      </c>
      <c r="Q186" s="20">
        <f t="shared" si="162"/>
        <v>41.499230205854936</v>
      </c>
      <c r="R186" s="59">
        <f t="shared" si="109"/>
        <v>331.10535784596789</v>
      </c>
      <c r="S186" s="59">
        <f ca="1">AVERAGE(OFFSET($R$3,0,0,'Données projet'!$E$9+1,1))-AVERAGE(OFFSET($H$3,0,0,'Données projet'!$E$9+1,1))</f>
        <v>567.42635821336114</v>
      </c>
      <c r="T186" s="59">
        <f t="shared" si="142"/>
        <v>299.0473530693472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98.938448941107197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98.938448941107197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475.00000000000023</v>
      </c>
      <c r="AJ186" s="13">
        <f>AI186*VLOOKUP('Données projet'!$B$10,Paramètres!$A$1:$I$89,3,0)*VLOOKUP('Données projet'!$B$10,Paramètres!$A$1:$I$89,5,0)</f>
        <v>407.5500000000003</v>
      </c>
      <c r="AK186" s="13">
        <f t="shared" si="164"/>
        <v>93.305642095357683</v>
      </c>
      <c r="AL186" s="20">
        <f t="shared" si="165"/>
        <v>872.32357664941526</v>
      </c>
      <c r="AM186" s="59">
        <f t="shared" si="113"/>
        <v>1161.9297042895282</v>
      </c>
      <c r="AN186" s="59">
        <f ca="1">AVERAGE(OFFSET($AM$3,0,0,'Données projet'!$E$10+1,1))-AVERAGE(OFFSET($H$3,0,0,'Données projet'!$E$10+1,1))</f>
        <v>570.05585579662738</v>
      </c>
      <c r="AO186" s="59">
        <f t="shared" si="144"/>
        <v>331.25104323342907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35.098945587374878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35.098945587374878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16.750000000000213</v>
      </c>
      <c r="BE186" s="13">
        <f>BD186*VLOOKUP('Données projet'!$B$11,Paramètres!$A$1:$I$89,3,0)*VLOOKUP('Données projet'!$B$11,Paramètres!$A$1:$I$89,5,0)</f>
        <v>14.11020000000018</v>
      </c>
      <c r="BF186" s="13">
        <f t="shared" si="167"/>
        <v>4.7783677814795205</v>
      </c>
      <c r="BG186" s="20">
        <f t="shared" si="168"/>
        <v>32.897588886077138</v>
      </c>
      <c r="BH186" s="59">
        <f t="shared" si="116"/>
        <v>322.50371652619009</v>
      </c>
      <c r="BI186" s="59">
        <f ca="1">AVERAGE(OFFSET($BH$3,0,0,'Données projet'!$E$11+1,1))-AVERAGE(OFFSET($H$3,0,0,'Données projet'!$E$11+1,1))</f>
        <v>458.88102603650725</v>
      </c>
      <c r="BJ186" s="59">
        <f t="shared" si="146"/>
        <v>277.79020316059552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55.331411191678875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55.331411191678875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19.8100000000004</v>
      </c>
      <c r="BZ186" s="13">
        <f>BY186*VLOOKUP('Données projet'!$B$12,Paramètres!$A$1:$I$89,3,0)*VLOOKUP('Données projet'!$B$12,Paramètres!$A$1:$I$89,5,0)</f>
        <v>18.851196000000382</v>
      </c>
      <c r="CA186" s="13">
        <f t="shared" si="170"/>
        <v>6.172221809210666</v>
      </c>
      <c r="CB186" s="20">
        <f t="shared" si="171"/>
        <v>43.582452684375909</v>
      </c>
      <c r="CC186" s="59">
        <f t="shared" si="119"/>
        <v>333.18858032448884</v>
      </c>
      <c r="CD186" s="59">
        <f ca="1">AVERAGE(OFFSET($CC$3,0,0,'Données projet'!$E$12+1,1))-AVERAGE(OFFSET($H$3,0,0,'Données projet'!$E$12+1,1))</f>
        <v>592.58528888957346</v>
      </c>
      <c r="CE186" s="59">
        <f t="shared" si="148"/>
        <v>311.31528017256846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104.05595492081966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104.05595492081966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0.8600000000003547</v>
      </c>
      <c r="CU186" s="17">
        <f>CT186*VLOOKUP('Données projet'!$B$13,Paramètres!$A$1:$I$89,3,0)*VLOOKUP('Données projet'!$B$13,Paramètres!$A$1:$I$89,5,0)</f>
        <v>0.48074000000019829</v>
      </c>
      <c r="CV186" s="13">
        <f t="shared" si="173"/>
        <v>0.24126147010950588</v>
      </c>
      <c r="CW186" s="20">
        <f t="shared" si="174"/>
        <v>1.2574858937744013</v>
      </c>
      <c r="CX186" s="59">
        <f t="shared" si="122"/>
        <v>290.86361353388736</v>
      </c>
      <c r="CY186" s="59">
        <f ca="1">AVERAGE(OFFSET($CX$3,0,0,'Données projet'!$E$13+1,1))-AVERAGE(OFFSET($H$3,0,0,'Données projet'!$E$13+1,1))</f>
        <v>420.4890915162182</v>
      </c>
      <c r="CZ186" s="59">
        <f t="shared" si="150"/>
        <v>553.48432338023565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29.470520948188355</v>
      </c>
      <c r="DG186" s="21">
        <f>EXP(-LN(2)/25)*DG185+(1-EXP(-LN(2)/25))/(LN(2)/25)*Calculateur!DB186*Calculateur!DD186*VLOOKUP('Données projet'!$B$13,Paramètres!$A$1:$I$89,3,0)*0.475*44/12</f>
        <v>0.72711030543195687</v>
      </c>
      <c r="DH186" s="21">
        <f>EXP(-LN(2)/2)*DH185+(1-EXP(-LN(2)/2))/(LN(2)/2)*DB186*DE186*VLOOKUP('Données projet'!$B$13,Paramètres!$A$1:$I$89,3,0)*0.475*44/12</f>
        <v>6.9245317143608946E-24</v>
      </c>
      <c r="DI186" s="22">
        <f t="shared" si="175"/>
        <v>30.197631253620312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19.8100000000004</v>
      </c>
      <c r="DP186" s="17">
        <f>DO186*VLOOKUP('Données projet'!$B$14,Paramètres!$A$1:$I$89,3,0)*VLOOKUP('Données projet'!$B$14,Paramètres!$A$1:$I$89,5,0)</f>
        <v>21.323484000000427</v>
      </c>
      <c r="DQ186" s="13">
        <f t="shared" si="176"/>
        <v>6.88226100850307</v>
      </c>
      <c r="DR186" s="20">
        <f t="shared" si="177"/>
        <v>49.125005889810261</v>
      </c>
      <c r="DS186" s="59">
        <f t="shared" si="125"/>
        <v>338.73113352992323</v>
      </c>
      <c r="DT186" s="59">
        <f ca="1">AVERAGE(OFFSET($DS$3,0,0,'Données projet'!$E$14+1,1))-AVERAGE(OFFSET($H$3,0,0,'Données projet'!$E$14+1,1))</f>
        <v>659.55755908012691</v>
      </c>
      <c r="DU186" s="59">
        <f t="shared" si="152"/>
        <v>343.96647464823627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117.70263753338608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117.70263753338608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19.8100000000004</v>
      </c>
      <c r="EK186" s="17">
        <f>EJ186*VLOOKUP('Données projet'!$B$15,Paramètres!$A$1:$I$89,3,0)*VLOOKUP('Données projet'!$B$15,Paramètres!$A$1:$I$89,5,0)</f>
        <v>19.160232000000388</v>
      </c>
      <c r="EL186" s="13">
        <f t="shared" si="179"/>
        <v>6.2615431735370342</v>
      </c>
      <c r="EM186" s="20">
        <f t="shared" si="180"/>
        <v>44.27625842724435</v>
      </c>
      <c r="EN186" s="59">
        <f t="shared" si="128"/>
        <v>333.88238606735729</v>
      </c>
      <c r="EO186" s="59">
        <f ca="1">AVERAGE(OFFSET($EN$3,0,0,'Données projet'!$E$15+1,1))-AVERAGE(OFFSET($H$3,0,0,'Données projet'!$E$15+1,1))</f>
        <v>600.96600099541388</v>
      </c>
      <c r="EP186" s="59">
        <f t="shared" si="154"/>
        <v>315.40159257508969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105.76179024739041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105.76179024739041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17.924088000000364</v>
      </c>
      <c r="P187" s="13">
        <f t="shared" si="141"/>
        <v>5.9032212091029486</v>
      </c>
      <c r="Q187" s="20">
        <f t="shared" si="162"/>
        <v>41.499230205854936</v>
      </c>
      <c r="R187" s="59">
        <f t="shared" si="109"/>
        <v>331.17001653196166</v>
      </c>
      <c r="S187" s="59">
        <f ca="1">AVERAGE(OFFSET($R$3,0,0,'Données projet'!$E$9+1,1))-AVERAGE(OFFSET($H$3,0,0,'Données projet'!$E$9+1,1))</f>
        <v>567.42635821336114</v>
      </c>
      <c r="T187" s="59">
        <f t="shared" si="142"/>
        <v>299.0473530693472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96.998326303867216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96.998326303867216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475.00000000000023</v>
      </c>
      <c r="AJ187" s="13">
        <f>AI187*VLOOKUP('Données projet'!$B$10,Paramètres!$A$1:$I$89,3,0)*VLOOKUP('Données projet'!$B$10,Paramètres!$A$1:$I$89,5,0)</f>
        <v>407.5500000000003</v>
      </c>
      <c r="AK187" s="13">
        <f t="shared" si="164"/>
        <v>93.305642095357683</v>
      </c>
      <c r="AL187" s="20">
        <f t="shared" si="165"/>
        <v>872.32357664941526</v>
      </c>
      <c r="AM187" s="59">
        <f t="shared" si="113"/>
        <v>1161.9943629755221</v>
      </c>
      <c r="AN187" s="59">
        <f ca="1">AVERAGE(OFFSET($AM$3,0,0,'Données projet'!$E$10+1,1))-AVERAGE(OFFSET($H$3,0,0,'Données projet'!$E$10+1,1))</f>
        <v>570.05585579662738</v>
      </c>
      <c r="AO187" s="59">
        <f t="shared" si="144"/>
        <v>331.25104323342907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34.410676672649373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34.410676672649373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16.750000000000213</v>
      </c>
      <c r="BE187" s="13">
        <f>BD187*VLOOKUP('Données projet'!$B$11,Paramètres!$A$1:$I$89,3,0)*VLOOKUP('Données projet'!$B$11,Paramètres!$A$1:$I$89,5,0)</f>
        <v>14.11020000000018</v>
      </c>
      <c r="BF187" s="13">
        <f t="shared" si="167"/>
        <v>4.7783677814795205</v>
      </c>
      <c r="BG187" s="20">
        <f t="shared" si="168"/>
        <v>32.897588886077138</v>
      </c>
      <c r="BH187" s="59">
        <f t="shared" si="116"/>
        <v>322.56837521218387</v>
      </c>
      <c r="BI187" s="59">
        <f ca="1">AVERAGE(OFFSET($BH$3,0,0,'Données projet'!$E$11+1,1))-AVERAGE(OFFSET($H$3,0,0,'Données projet'!$E$11+1,1))</f>
        <v>458.88102603650725</v>
      </c>
      <c r="BJ187" s="59">
        <f t="shared" si="146"/>
        <v>277.79020316059552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54.24639596703846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54.24639596703846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19.8100000000004</v>
      </c>
      <c r="BZ187" s="13">
        <f>BY187*VLOOKUP('Données projet'!$B$12,Paramètres!$A$1:$I$89,3,0)*VLOOKUP('Données projet'!$B$12,Paramètres!$A$1:$I$89,5,0)</f>
        <v>18.851196000000382</v>
      </c>
      <c r="CA187" s="13">
        <f t="shared" si="170"/>
        <v>6.172221809210666</v>
      </c>
      <c r="CB187" s="20">
        <f t="shared" si="171"/>
        <v>43.582452684375909</v>
      </c>
      <c r="CC187" s="59">
        <f t="shared" si="119"/>
        <v>333.25323901048262</v>
      </c>
      <c r="CD187" s="59">
        <f ca="1">AVERAGE(OFFSET($CC$3,0,0,'Données projet'!$E$12+1,1))-AVERAGE(OFFSET($H$3,0,0,'Données projet'!$E$12+1,1))</f>
        <v>592.58528888957346</v>
      </c>
      <c r="CE187" s="59">
        <f t="shared" si="148"/>
        <v>311.31528017256846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102.01548111268795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102.01548111268795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0.8600000000003547</v>
      </c>
      <c r="CU187" s="17">
        <f>CT187*VLOOKUP('Données projet'!$B$13,Paramètres!$A$1:$I$89,3,0)*VLOOKUP('Données projet'!$B$13,Paramètres!$A$1:$I$89,5,0)</f>
        <v>0.48074000000019829</v>
      </c>
      <c r="CV187" s="13">
        <f t="shared" si="173"/>
        <v>0.24126147010950588</v>
      </c>
      <c r="CW187" s="20">
        <f t="shared" si="174"/>
        <v>1.2574858937744013</v>
      </c>
      <c r="CX187" s="59">
        <f t="shared" si="122"/>
        <v>290.92827221988114</v>
      </c>
      <c r="CY187" s="59">
        <f ca="1">AVERAGE(OFFSET($CX$3,0,0,'Données projet'!$E$13+1,1))-AVERAGE(OFFSET($H$3,0,0,'Données projet'!$E$13+1,1))</f>
        <v>420.4890915162182</v>
      </c>
      <c r="CZ187" s="59">
        <f t="shared" si="150"/>
        <v>553.48432338023565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28.89262200763725</v>
      </c>
      <c r="DG187" s="21">
        <f>EXP(-LN(2)/25)*DG186+(1-EXP(-LN(2)/25))/(LN(2)/25)*Calculateur!DB187*Calculateur!DD187*VLOOKUP('Données projet'!$B$13,Paramètres!$A$1:$I$89,3,0)*0.475*44/12</f>
        <v>0.70722743589285086</v>
      </c>
      <c r="DH187" s="21">
        <f>EXP(-LN(2)/2)*DH186+(1-EXP(-LN(2)/2))/(LN(2)/2)*DB187*DE187*VLOOKUP('Données projet'!$B$13,Paramètres!$A$1:$I$89,3,0)*0.475*44/12</f>
        <v>4.8963833317658981E-24</v>
      </c>
      <c r="DI187" s="22">
        <f t="shared" si="175"/>
        <v>29.599849443530101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19.8100000000004</v>
      </c>
      <c r="DP187" s="17">
        <f>DO187*VLOOKUP('Données projet'!$B$14,Paramètres!$A$1:$I$89,3,0)*VLOOKUP('Données projet'!$B$14,Paramètres!$A$1:$I$89,5,0)</f>
        <v>21.323484000000427</v>
      </c>
      <c r="DQ187" s="13">
        <f t="shared" si="176"/>
        <v>6.88226100850307</v>
      </c>
      <c r="DR187" s="20">
        <f t="shared" si="177"/>
        <v>49.125005889810261</v>
      </c>
      <c r="DS187" s="59">
        <f t="shared" si="125"/>
        <v>338.795792215917</v>
      </c>
      <c r="DT187" s="59">
        <f ca="1">AVERAGE(OFFSET($DS$3,0,0,'Données projet'!$E$14+1,1))-AVERAGE(OFFSET($H$3,0,0,'Données projet'!$E$14+1,1))</f>
        <v>659.55755908012691</v>
      </c>
      <c r="DU187" s="59">
        <f t="shared" si="152"/>
        <v>343.96647464823627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115.39456060287645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115.39456060287645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19.8100000000004</v>
      </c>
      <c r="EK187" s="17">
        <f>EJ187*VLOOKUP('Données projet'!$B$15,Paramètres!$A$1:$I$89,3,0)*VLOOKUP('Données projet'!$B$15,Paramètres!$A$1:$I$89,5,0)</f>
        <v>19.160232000000388</v>
      </c>
      <c r="EL187" s="13">
        <f t="shared" si="179"/>
        <v>6.2615431735370342</v>
      </c>
      <c r="EM187" s="20">
        <f t="shared" si="180"/>
        <v>44.27625842724435</v>
      </c>
      <c r="EN187" s="59">
        <f t="shared" si="128"/>
        <v>333.94704475335107</v>
      </c>
      <c r="EO187" s="59">
        <f ca="1">AVERAGE(OFFSET($EN$3,0,0,'Données projet'!$E$15+1,1))-AVERAGE(OFFSET($H$3,0,0,'Données projet'!$E$15+1,1))</f>
        <v>600.96600099541388</v>
      </c>
      <c r="EP187" s="59">
        <f t="shared" si="154"/>
        <v>315.40159257508969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103.68786604896147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103.68786604896147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17.924088000000364</v>
      </c>
      <c r="P188" s="13">
        <f t="shared" si="141"/>
        <v>5.9032212091029486</v>
      </c>
      <c r="Q188" s="20">
        <f t="shared" si="162"/>
        <v>41.499230205854936</v>
      </c>
      <c r="R188" s="59">
        <f t="shared" si="109"/>
        <v>331.23355353430867</v>
      </c>
      <c r="S188" s="59">
        <f ca="1">AVERAGE(OFFSET($R$3,0,0,'Données projet'!$E$9+1,1))-AVERAGE(OFFSET($H$3,0,0,'Données projet'!$E$9+1,1))</f>
        <v>567.42635821336114</v>
      </c>
      <c r="T188" s="59">
        <f t="shared" si="142"/>
        <v>299.0473530693472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95.096248288185549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95.096248288185549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475.00000000000023</v>
      </c>
      <c r="AJ188" s="13">
        <f>AI188*VLOOKUP('Données projet'!$B$10,Paramètres!$A$1:$I$89,3,0)*VLOOKUP('Données projet'!$B$10,Paramètres!$A$1:$I$89,5,0)</f>
        <v>407.5500000000003</v>
      </c>
      <c r="AK188" s="13">
        <f t="shared" si="164"/>
        <v>93.305642095357683</v>
      </c>
      <c r="AL188" s="20">
        <f t="shared" si="165"/>
        <v>872.32357664941526</v>
      </c>
      <c r="AM188" s="59">
        <f t="shared" si="113"/>
        <v>1162.0578999778691</v>
      </c>
      <c r="AN188" s="59">
        <f ca="1">AVERAGE(OFFSET($AM$3,0,0,'Données projet'!$E$10+1,1))-AVERAGE(OFFSET($H$3,0,0,'Données projet'!$E$10+1,1))</f>
        <v>570.05585579662738</v>
      </c>
      <c r="AO188" s="59">
        <f t="shared" si="144"/>
        <v>331.25104323342907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33.73590429153905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33.73590429153905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16.750000000000213</v>
      </c>
      <c r="BE188" s="13">
        <f>BD188*VLOOKUP('Données projet'!$B$11,Paramètres!$A$1:$I$89,3,0)*VLOOKUP('Données projet'!$B$11,Paramètres!$A$1:$I$89,5,0)</f>
        <v>14.11020000000018</v>
      </c>
      <c r="BF188" s="13">
        <f t="shared" si="167"/>
        <v>4.7783677814795205</v>
      </c>
      <c r="BG188" s="20">
        <f t="shared" si="168"/>
        <v>32.897588886077138</v>
      </c>
      <c r="BH188" s="59">
        <f t="shared" si="116"/>
        <v>322.63191221453087</v>
      </c>
      <c r="BI188" s="59">
        <f ca="1">AVERAGE(OFFSET($BH$3,0,0,'Données projet'!$E$11+1,1))-AVERAGE(OFFSET($H$3,0,0,'Données projet'!$E$11+1,1))</f>
        <v>458.88102603650725</v>
      </c>
      <c r="BJ188" s="59">
        <f t="shared" si="146"/>
        <v>277.79020316059552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53.182657229159304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53.182657229159304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19.8100000000004</v>
      </c>
      <c r="BZ188" s="13">
        <f>BY188*VLOOKUP('Données projet'!$B$12,Paramètres!$A$1:$I$89,3,0)*VLOOKUP('Données projet'!$B$12,Paramètres!$A$1:$I$89,5,0)</f>
        <v>18.851196000000382</v>
      </c>
      <c r="CA188" s="13">
        <f t="shared" si="170"/>
        <v>6.172221809210666</v>
      </c>
      <c r="CB188" s="20">
        <f t="shared" si="171"/>
        <v>43.582452684375909</v>
      </c>
      <c r="CC188" s="59">
        <f t="shared" si="119"/>
        <v>333.31677601282968</v>
      </c>
      <c r="CD188" s="59">
        <f ca="1">AVERAGE(OFFSET($CC$3,0,0,'Données projet'!$E$12+1,1))-AVERAGE(OFFSET($H$3,0,0,'Données projet'!$E$12+1,1))</f>
        <v>592.58528888957346</v>
      </c>
      <c r="CE188" s="59">
        <f t="shared" si="148"/>
        <v>311.31528017256846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100.01501975136757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100.01501975136757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0.8600000000003547</v>
      </c>
      <c r="CU188" s="17">
        <f>CT188*VLOOKUP('Données projet'!$B$13,Paramètres!$A$1:$I$89,3,0)*VLOOKUP('Données projet'!$B$13,Paramètres!$A$1:$I$89,5,0)</f>
        <v>0.48074000000019829</v>
      </c>
      <c r="CV188" s="13">
        <f t="shared" si="173"/>
        <v>0.24126147010950588</v>
      </c>
      <c r="CW188" s="20">
        <f t="shared" si="174"/>
        <v>1.2574858937744013</v>
      </c>
      <c r="CX188" s="59">
        <f t="shared" si="122"/>
        <v>290.99180922222814</v>
      </c>
      <c r="CY188" s="59">
        <f ca="1">AVERAGE(OFFSET($CX$3,0,0,'Données projet'!$E$13+1,1))-AVERAGE(OFFSET($H$3,0,0,'Données projet'!$E$13+1,1))</f>
        <v>420.4890915162182</v>
      </c>
      <c r="CZ188" s="59">
        <f t="shared" si="150"/>
        <v>553.48432338023565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28.326055312826806</v>
      </c>
      <c r="DG188" s="21">
        <f>EXP(-LN(2)/25)*DG187+(1-EXP(-LN(2)/25))/(LN(2)/25)*Calculateur!DB188*Calculateur!DD188*VLOOKUP('Données projet'!$B$13,Paramètres!$A$1:$I$89,3,0)*0.475*44/12</f>
        <v>0.68788826446688645</v>
      </c>
      <c r="DH188" s="21">
        <f>EXP(-LN(2)/2)*DH187+(1-EXP(-LN(2)/2))/(LN(2)/2)*DB188*DE188*VLOOKUP('Données projet'!$B$13,Paramètres!$A$1:$I$89,3,0)*0.475*44/12</f>
        <v>3.4622658571804473E-24</v>
      </c>
      <c r="DI188" s="22">
        <f t="shared" si="175"/>
        <v>29.013943577293691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19.8100000000004</v>
      </c>
      <c r="DP188" s="17">
        <f>DO188*VLOOKUP('Données projet'!$B$14,Paramètres!$A$1:$I$89,3,0)*VLOOKUP('Données projet'!$B$14,Paramètres!$A$1:$I$89,5,0)</f>
        <v>21.323484000000427</v>
      </c>
      <c r="DQ188" s="13">
        <f t="shared" si="176"/>
        <v>6.88226100850307</v>
      </c>
      <c r="DR188" s="20">
        <f t="shared" si="177"/>
        <v>49.125005889810261</v>
      </c>
      <c r="DS188" s="59">
        <f t="shared" si="125"/>
        <v>338.85932921826401</v>
      </c>
      <c r="DT188" s="59">
        <f ca="1">AVERAGE(OFFSET($DS$3,0,0,'Données projet'!$E$14+1,1))-AVERAGE(OFFSET($H$3,0,0,'Données projet'!$E$14+1,1))</f>
        <v>659.55755908012691</v>
      </c>
      <c r="DU188" s="59">
        <f t="shared" si="152"/>
        <v>343.96647464823627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113.13174365318619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113.13174365318619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19.8100000000004</v>
      </c>
      <c r="EK188" s="17">
        <f>EJ188*VLOOKUP('Données projet'!$B$15,Paramètres!$A$1:$I$89,3,0)*VLOOKUP('Données projet'!$B$15,Paramètres!$A$1:$I$89,5,0)</f>
        <v>19.160232000000388</v>
      </c>
      <c r="EL188" s="13">
        <f t="shared" si="179"/>
        <v>6.2615431735370342</v>
      </c>
      <c r="EM188" s="20">
        <f t="shared" si="180"/>
        <v>44.27625842724435</v>
      </c>
      <c r="EN188" s="59">
        <f t="shared" si="128"/>
        <v>334.01058175569807</v>
      </c>
      <c r="EO188" s="59">
        <f ca="1">AVERAGE(OFFSET($EN$3,0,0,'Données projet'!$E$15+1,1))-AVERAGE(OFFSET($H$3,0,0,'Données projet'!$E$15+1,1))</f>
        <v>600.96600099541388</v>
      </c>
      <c r="EP188" s="59">
        <f t="shared" si="154"/>
        <v>315.40159257508969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101.65461023909486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101.65461023909486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17.924088000000364</v>
      </c>
      <c r="P189" s="13">
        <f t="shared" si="141"/>
        <v>5.9032212091029486</v>
      </c>
      <c r="Q189" s="20">
        <f t="shared" si="162"/>
        <v>41.499230205854936</v>
      </c>
      <c r="R189" s="59">
        <f t="shared" si="109"/>
        <v>331.29598831171234</v>
      </c>
      <c r="S189" s="59">
        <f ca="1">AVERAGE(OFFSET($R$3,0,0,'Données projet'!$E$9+1,1))-AVERAGE(OFFSET($H$3,0,0,'Données projet'!$E$9+1,1))</f>
        <v>567.42635821336114</v>
      </c>
      <c r="T189" s="59">
        <f t="shared" si="142"/>
        <v>299.0473530693472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93.231468862238373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93.231468862238373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475.00000000000023</v>
      </c>
      <c r="AJ189" s="13">
        <f>AI189*VLOOKUP('Données projet'!$B$10,Paramètres!$A$1:$I$89,3,0)*VLOOKUP('Données projet'!$B$10,Paramètres!$A$1:$I$89,5,0)</f>
        <v>407.5500000000003</v>
      </c>
      <c r="AK189" s="13">
        <f t="shared" si="164"/>
        <v>93.305642095357683</v>
      </c>
      <c r="AL189" s="20">
        <f t="shared" si="165"/>
        <v>872.32357664941526</v>
      </c>
      <c r="AM189" s="59">
        <f t="shared" si="113"/>
        <v>1162.1203347552728</v>
      </c>
      <c r="AN189" s="59">
        <f ca="1">AVERAGE(OFFSET($AM$3,0,0,'Données projet'!$E$10+1,1))-AVERAGE(OFFSET($H$3,0,0,'Données projet'!$E$10+1,1))</f>
        <v>570.05585579662738</v>
      </c>
      <c r="AO189" s="59">
        <f t="shared" si="144"/>
        <v>331.25104323342907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33.074363785251791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33.074363785251791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16.750000000000213</v>
      </c>
      <c r="BE189" s="13">
        <f>BD189*VLOOKUP('Données projet'!$B$11,Paramètres!$A$1:$I$89,3,0)*VLOOKUP('Données projet'!$B$11,Paramètres!$A$1:$I$89,5,0)</f>
        <v>14.11020000000018</v>
      </c>
      <c r="BF189" s="13">
        <f t="shared" si="167"/>
        <v>4.7783677814795205</v>
      </c>
      <c r="BG189" s="20">
        <f t="shared" si="168"/>
        <v>32.897588886077138</v>
      </c>
      <c r="BH189" s="59">
        <f t="shared" si="116"/>
        <v>322.69434699193454</v>
      </c>
      <c r="BI189" s="59">
        <f ca="1">AVERAGE(OFFSET($BH$3,0,0,'Données projet'!$E$11+1,1))-AVERAGE(OFFSET($H$3,0,0,'Données projet'!$E$11+1,1))</f>
        <v>458.88102603650725</v>
      </c>
      <c r="BJ189" s="59">
        <f t="shared" si="146"/>
        <v>277.79020316059552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52.139777759113393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52.139777759113393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19.8100000000004</v>
      </c>
      <c r="BZ189" s="13">
        <f>BY189*VLOOKUP('Données projet'!$B$12,Paramètres!$A$1:$I$89,3,0)*VLOOKUP('Données projet'!$B$12,Paramètres!$A$1:$I$89,5,0)</f>
        <v>18.851196000000382</v>
      </c>
      <c r="CA189" s="13">
        <f t="shared" si="170"/>
        <v>6.172221809210666</v>
      </c>
      <c r="CB189" s="20">
        <f t="shared" si="171"/>
        <v>43.582452684375909</v>
      </c>
      <c r="CC189" s="59">
        <f t="shared" si="119"/>
        <v>333.37921079023329</v>
      </c>
      <c r="CD189" s="59">
        <f ca="1">AVERAGE(OFFSET($CC$3,0,0,'Données projet'!$E$12+1,1))-AVERAGE(OFFSET($H$3,0,0,'Données projet'!$E$12+1,1))</f>
        <v>592.58528888957346</v>
      </c>
      <c r="CE189" s="59">
        <f t="shared" si="148"/>
        <v>311.31528017256846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98.053786217181752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98.053786217181752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0.8600000000003547</v>
      </c>
      <c r="CU189" s="17">
        <f>CT189*VLOOKUP('Données projet'!$B$13,Paramètres!$A$1:$I$89,3,0)*VLOOKUP('Données projet'!$B$13,Paramètres!$A$1:$I$89,5,0)</f>
        <v>0.48074000000019829</v>
      </c>
      <c r="CV189" s="13">
        <f t="shared" si="173"/>
        <v>0.24126147010950588</v>
      </c>
      <c r="CW189" s="20">
        <f t="shared" si="174"/>
        <v>1.2574858937744013</v>
      </c>
      <c r="CX189" s="59">
        <f t="shared" si="122"/>
        <v>291.05424399963181</v>
      </c>
      <c r="CY189" s="59">
        <f ca="1">AVERAGE(OFFSET($CX$3,0,0,'Données projet'!$E$13+1,1))-AVERAGE(OFFSET($H$3,0,0,'Données projet'!$E$13+1,1))</f>
        <v>420.4890915162182</v>
      </c>
      <c r="CZ189" s="59">
        <f t="shared" si="150"/>
        <v>553.48432338023565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27.770598645330033</v>
      </c>
      <c r="DG189" s="21">
        <f>EXP(-LN(2)/25)*DG188+(1-EXP(-LN(2)/25))/(LN(2)/25)*Calculateur!DB189*Calculateur!DD189*VLOOKUP('Données projet'!$B$13,Paramètres!$A$1:$I$89,3,0)*0.475*44/12</f>
        <v>0.66907792370056784</v>
      </c>
      <c r="DH189" s="21">
        <f>EXP(-LN(2)/2)*DH188+(1-EXP(-LN(2)/2))/(LN(2)/2)*DB189*DE189*VLOOKUP('Données projet'!$B$13,Paramètres!$A$1:$I$89,3,0)*0.475*44/12</f>
        <v>2.448191665882949E-24</v>
      </c>
      <c r="DI189" s="22">
        <f t="shared" si="175"/>
        <v>28.439676569030599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19.8100000000004</v>
      </c>
      <c r="DP189" s="17">
        <f>DO189*VLOOKUP('Données projet'!$B$14,Paramètres!$A$1:$I$89,3,0)*VLOOKUP('Données projet'!$B$14,Paramètres!$A$1:$I$89,5,0)</f>
        <v>21.323484000000427</v>
      </c>
      <c r="DQ189" s="13">
        <f t="shared" si="176"/>
        <v>6.88226100850307</v>
      </c>
      <c r="DR189" s="20">
        <f t="shared" si="177"/>
        <v>49.125005889810261</v>
      </c>
      <c r="DS189" s="59">
        <f t="shared" si="125"/>
        <v>338.92176399566767</v>
      </c>
      <c r="DT189" s="59">
        <f ca="1">AVERAGE(OFFSET($DS$3,0,0,'Données projet'!$E$14+1,1))-AVERAGE(OFFSET($H$3,0,0,'Données projet'!$E$14+1,1))</f>
        <v>659.55755908012691</v>
      </c>
      <c r="DU189" s="59">
        <f t="shared" si="152"/>
        <v>343.96647464823627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110.9132991636973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110.9132991636973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19.8100000000004</v>
      </c>
      <c r="EK189" s="17">
        <f>EJ189*VLOOKUP('Données projet'!$B$15,Paramètres!$A$1:$I$89,3,0)*VLOOKUP('Données projet'!$B$15,Paramètres!$A$1:$I$89,5,0)</f>
        <v>19.160232000000388</v>
      </c>
      <c r="EL189" s="13">
        <f t="shared" si="179"/>
        <v>6.2615431735370342</v>
      </c>
      <c r="EM189" s="20">
        <f t="shared" si="180"/>
        <v>44.27625842724435</v>
      </c>
      <c r="EN189" s="59">
        <f t="shared" si="128"/>
        <v>334.07301653310174</v>
      </c>
      <c r="EO189" s="59">
        <f ca="1">AVERAGE(OFFSET($EN$3,0,0,'Données projet'!$E$15+1,1))-AVERAGE(OFFSET($H$3,0,0,'Données projet'!$E$15+1,1))</f>
        <v>600.96600099541388</v>
      </c>
      <c r="EP189" s="59">
        <f t="shared" si="154"/>
        <v>315.40159257508969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99.661225335496155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99.661225335496155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17.924088000000364</v>
      </c>
      <c r="P190" s="13">
        <f t="shared" si="141"/>
        <v>5.9032212091029486</v>
      </c>
      <c r="Q190" s="20">
        <f t="shared" si="162"/>
        <v>41.499230205854936</v>
      </c>
      <c r="R190" s="59">
        <f t="shared" si="109"/>
        <v>331.35733998531134</v>
      </c>
      <c r="S190" s="59">
        <f ca="1">AVERAGE(OFFSET($R$3,0,0,'Données projet'!$E$9+1,1))-AVERAGE(OFFSET($H$3,0,0,'Données projet'!$E$9+1,1))</f>
        <v>567.42635821336114</v>
      </c>
      <c r="T190" s="59">
        <f t="shared" si="142"/>
        <v>299.0473530693472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91.403256623430877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91.403256623430877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475.00000000000023</v>
      </c>
      <c r="AJ190" s="13">
        <f>AI190*VLOOKUP('Données projet'!$B$10,Paramètres!$A$1:$I$89,3,0)*VLOOKUP('Données projet'!$B$10,Paramètres!$A$1:$I$89,5,0)</f>
        <v>407.5500000000003</v>
      </c>
      <c r="AK190" s="13">
        <f t="shared" si="164"/>
        <v>93.305642095357683</v>
      </c>
      <c r="AL190" s="20">
        <f t="shared" si="165"/>
        <v>872.32357664941526</v>
      </c>
      <c r="AM190" s="59">
        <f t="shared" si="113"/>
        <v>1162.1816864288717</v>
      </c>
      <c r="AN190" s="59">
        <f ca="1">AVERAGE(OFFSET($AM$3,0,0,'Données projet'!$E$10+1,1))-AVERAGE(OFFSET($H$3,0,0,'Données projet'!$E$10+1,1))</f>
        <v>570.05585579662738</v>
      </c>
      <c r="AO190" s="59">
        <f t="shared" si="144"/>
        <v>331.25104323342907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32.425795684792959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32.425795684792959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16.750000000000213</v>
      </c>
      <c r="BE190" s="13">
        <f>BD190*VLOOKUP('Données projet'!$B$11,Paramètres!$A$1:$I$89,3,0)*VLOOKUP('Données projet'!$B$11,Paramètres!$A$1:$I$89,5,0)</f>
        <v>14.11020000000018</v>
      </c>
      <c r="BF190" s="13">
        <f t="shared" si="167"/>
        <v>4.7783677814795205</v>
      </c>
      <c r="BG190" s="20">
        <f t="shared" si="168"/>
        <v>32.897588886077138</v>
      </c>
      <c r="BH190" s="59">
        <f t="shared" si="116"/>
        <v>322.75569866553354</v>
      </c>
      <c r="BI190" s="59">
        <f ca="1">AVERAGE(OFFSET($BH$3,0,0,'Données projet'!$E$11+1,1))-AVERAGE(OFFSET($H$3,0,0,'Données projet'!$E$11+1,1))</f>
        <v>458.88102603650725</v>
      </c>
      <c r="BJ190" s="59">
        <f t="shared" si="146"/>
        <v>277.79020316059552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51.117348519381416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51.117348519381416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19.8100000000004</v>
      </c>
      <c r="BZ190" s="13">
        <f>BY190*VLOOKUP('Données projet'!$B$12,Paramètres!$A$1:$I$89,3,0)*VLOOKUP('Données projet'!$B$12,Paramètres!$A$1:$I$89,5,0)</f>
        <v>18.851196000000382</v>
      </c>
      <c r="CA190" s="13">
        <f t="shared" si="170"/>
        <v>6.172221809210666</v>
      </c>
      <c r="CB190" s="20">
        <f t="shared" si="171"/>
        <v>43.582452684375909</v>
      </c>
      <c r="CC190" s="59">
        <f t="shared" si="119"/>
        <v>333.44056246383229</v>
      </c>
      <c r="CD190" s="59">
        <f ca="1">AVERAGE(OFFSET($CC$3,0,0,'Données projet'!$E$12+1,1))-AVERAGE(OFFSET($H$3,0,0,'Données projet'!$E$12+1,1))</f>
        <v>592.58528888957346</v>
      </c>
      <c r="CE190" s="59">
        <f t="shared" si="148"/>
        <v>311.31528017256846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96.131011276366962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96.131011276366962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0.8600000000003547</v>
      </c>
      <c r="CU190" s="17">
        <f>CT190*VLOOKUP('Données projet'!$B$13,Paramètres!$A$1:$I$89,3,0)*VLOOKUP('Données projet'!$B$13,Paramètres!$A$1:$I$89,5,0)</f>
        <v>0.48074000000019829</v>
      </c>
      <c r="CV190" s="13">
        <f t="shared" si="173"/>
        <v>0.24126147010950588</v>
      </c>
      <c r="CW190" s="20">
        <f t="shared" si="174"/>
        <v>1.2574858937744013</v>
      </c>
      <c r="CX190" s="59">
        <f t="shared" si="122"/>
        <v>291.11559567323081</v>
      </c>
      <c r="CY190" s="59">
        <f ca="1">AVERAGE(OFFSET($CX$3,0,0,'Données projet'!$E$13+1,1))-AVERAGE(OFFSET($H$3,0,0,'Données projet'!$E$13+1,1))</f>
        <v>420.4890915162182</v>
      </c>
      <c r="CZ190" s="59">
        <f t="shared" si="150"/>
        <v>553.48432338023565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27.226034144287755</v>
      </c>
      <c r="DG190" s="21">
        <f>EXP(-LN(2)/25)*DG189+(1-EXP(-LN(2)/25))/(LN(2)/25)*Calculateur!DB190*Calculateur!DD190*VLOOKUP('Données projet'!$B$13,Paramètres!$A$1:$I$89,3,0)*0.475*44/12</f>
        <v>0.65078195269169703</v>
      </c>
      <c r="DH190" s="21">
        <f>EXP(-LN(2)/2)*DH189+(1-EXP(-LN(2)/2))/(LN(2)/2)*DB190*DE190*VLOOKUP('Données projet'!$B$13,Paramètres!$A$1:$I$89,3,0)*0.475*44/12</f>
        <v>1.7311329285902237E-24</v>
      </c>
      <c r="DI190" s="22">
        <f t="shared" si="175"/>
        <v>27.876816096979454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19.8100000000004</v>
      </c>
      <c r="DP190" s="17">
        <f>DO190*VLOOKUP('Données projet'!$B$14,Paramètres!$A$1:$I$89,3,0)*VLOOKUP('Données projet'!$B$14,Paramètres!$A$1:$I$89,5,0)</f>
        <v>21.323484000000427</v>
      </c>
      <c r="DQ190" s="13">
        <f t="shared" si="176"/>
        <v>6.88226100850307</v>
      </c>
      <c r="DR190" s="20">
        <f t="shared" si="177"/>
        <v>49.125005889810261</v>
      </c>
      <c r="DS190" s="59">
        <f t="shared" si="125"/>
        <v>338.98311566926668</v>
      </c>
      <c r="DT190" s="59">
        <f ca="1">AVERAGE(OFFSET($DS$3,0,0,'Données projet'!$E$14+1,1))-AVERAGE(OFFSET($H$3,0,0,'Données projet'!$E$14+1,1))</f>
        <v>659.55755908012691</v>
      </c>
      <c r="DU190" s="59">
        <f t="shared" si="152"/>
        <v>343.96647464823627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108.73835701752976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108.73835701752976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19.8100000000004</v>
      </c>
      <c r="EK190" s="17">
        <f>EJ190*VLOOKUP('Données projet'!$B$15,Paramètres!$A$1:$I$89,3,0)*VLOOKUP('Données projet'!$B$15,Paramètres!$A$1:$I$89,5,0)</f>
        <v>19.160232000000388</v>
      </c>
      <c r="EL190" s="13">
        <f t="shared" si="179"/>
        <v>6.2615431735370342</v>
      </c>
      <c r="EM190" s="20">
        <f t="shared" si="180"/>
        <v>44.27625842724435</v>
      </c>
      <c r="EN190" s="59">
        <f t="shared" si="128"/>
        <v>334.13436820670074</v>
      </c>
      <c r="EO190" s="59">
        <f ca="1">AVERAGE(OFFSET($EN$3,0,0,'Données projet'!$E$15+1,1))-AVERAGE(OFFSET($H$3,0,0,'Données projet'!$E$15+1,1))</f>
        <v>600.96600099541388</v>
      </c>
      <c r="EP190" s="59">
        <f t="shared" si="154"/>
        <v>315.40159257508969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97.706929494012272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97.706929494012272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17.924088000000364</v>
      </c>
      <c r="P191" s="13">
        <f t="shared" si="141"/>
        <v>5.9032212091029486</v>
      </c>
      <c r="Q191" s="20">
        <f t="shared" si="162"/>
        <v>41.499230205854936</v>
      </c>
      <c r="R191" s="59">
        <f t="shared" si="109"/>
        <v>331.41762734453516</v>
      </c>
      <c r="S191" s="59">
        <f ca="1">AVERAGE(OFFSET($R$3,0,0,'Données projet'!$E$9+1,1))-AVERAGE(OFFSET($H$3,0,0,'Données projet'!$E$9+1,1))</f>
        <v>567.42635821336114</v>
      </c>
      <c r="T191" s="59">
        <f t="shared" si="142"/>
        <v>299.0473530693472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89.610894511527036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89.610894511527036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475.00000000000023</v>
      </c>
      <c r="AJ191" s="13">
        <f>AI191*VLOOKUP('Données projet'!$B$10,Paramètres!$A$1:$I$89,3,0)*VLOOKUP('Données projet'!$B$10,Paramètres!$A$1:$I$89,5,0)</f>
        <v>407.5500000000003</v>
      </c>
      <c r="AK191" s="13">
        <f t="shared" si="164"/>
        <v>93.305642095357683</v>
      </c>
      <c r="AL191" s="20">
        <f t="shared" si="165"/>
        <v>872.32357664941526</v>
      </c>
      <c r="AM191" s="59">
        <f t="shared" si="113"/>
        <v>1162.2419737880955</v>
      </c>
      <c r="AN191" s="59">
        <f ca="1">AVERAGE(OFFSET($AM$3,0,0,'Données projet'!$E$10+1,1))-AVERAGE(OFFSET($H$3,0,0,'Données projet'!$E$10+1,1))</f>
        <v>570.05585579662738</v>
      </c>
      <c r="AO191" s="59">
        <f t="shared" si="144"/>
        <v>331.25104323342907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31.789945609196643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31.789945609196643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16.750000000000213</v>
      </c>
      <c r="BE191" s="13">
        <f>BD191*VLOOKUP('Données projet'!$B$11,Paramètres!$A$1:$I$89,3,0)*VLOOKUP('Données projet'!$B$11,Paramètres!$A$1:$I$89,5,0)</f>
        <v>14.11020000000018</v>
      </c>
      <c r="BF191" s="13">
        <f t="shared" si="167"/>
        <v>4.7783677814795205</v>
      </c>
      <c r="BG191" s="20">
        <f t="shared" si="168"/>
        <v>32.897588886077138</v>
      </c>
      <c r="BH191" s="59">
        <f t="shared" si="116"/>
        <v>322.81598602475736</v>
      </c>
      <c r="BI191" s="59">
        <f ca="1">AVERAGE(OFFSET($BH$3,0,0,'Données projet'!$E$11+1,1))-AVERAGE(OFFSET($H$3,0,0,'Données projet'!$E$11+1,1))</f>
        <v>458.88102603650725</v>
      </c>
      <c r="BJ191" s="59">
        <f t="shared" si="146"/>
        <v>277.79020316059552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50.114968493420321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50.114968493420321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19.8100000000004</v>
      </c>
      <c r="BZ191" s="13">
        <f>BY191*VLOOKUP('Données projet'!$B$12,Paramètres!$A$1:$I$89,3,0)*VLOOKUP('Données projet'!$B$12,Paramètres!$A$1:$I$89,5,0)</f>
        <v>18.851196000000382</v>
      </c>
      <c r="CA191" s="13">
        <f t="shared" si="170"/>
        <v>6.172221809210666</v>
      </c>
      <c r="CB191" s="20">
        <f t="shared" si="171"/>
        <v>43.582452684375909</v>
      </c>
      <c r="CC191" s="59">
        <f t="shared" si="119"/>
        <v>333.50084982305611</v>
      </c>
      <c r="CD191" s="59">
        <f ca="1">AVERAGE(OFFSET($CC$3,0,0,'Données projet'!$E$12+1,1))-AVERAGE(OFFSET($H$3,0,0,'Données projet'!$E$12+1,1))</f>
        <v>592.58528888957346</v>
      </c>
      <c r="CE191" s="59">
        <f t="shared" si="148"/>
        <v>311.31528017256846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94.245940779364645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94.245940779364645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0.8600000000003547</v>
      </c>
      <c r="CU191" s="17">
        <f>CT191*VLOOKUP('Données projet'!$B$13,Paramètres!$A$1:$I$89,3,0)*VLOOKUP('Données projet'!$B$13,Paramètres!$A$1:$I$89,5,0)</f>
        <v>0.48074000000019829</v>
      </c>
      <c r="CV191" s="13">
        <f t="shared" si="173"/>
        <v>0.24126147010950588</v>
      </c>
      <c r="CW191" s="20">
        <f t="shared" si="174"/>
        <v>1.2574858937744013</v>
      </c>
      <c r="CX191" s="59">
        <f t="shared" si="122"/>
        <v>291.17588303245464</v>
      </c>
      <c r="CY191" s="59">
        <f ca="1">AVERAGE(OFFSET($CX$3,0,0,'Données projet'!$E$13+1,1))-AVERAGE(OFFSET($H$3,0,0,'Données projet'!$E$13+1,1))</f>
        <v>420.4890915162182</v>
      </c>
      <c r="CZ191" s="59">
        <f t="shared" si="150"/>
        <v>553.48432338023565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26.692148220959371</v>
      </c>
      <c r="DG191" s="21">
        <f>EXP(-LN(2)/25)*DG190+(1-EXP(-LN(2)/25))/(LN(2)/25)*Calculateur!DB191*Calculateur!DD191*VLOOKUP('Données projet'!$B$13,Paramètres!$A$1:$I$89,3,0)*0.475*44/12</f>
        <v>0.63298628597220707</v>
      </c>
      <c r="DH191" s="21">
        <f>EXP(-LN(2)/2)*DH190+(1-EXP(-LN(2)/2))/(LN(2)/2)*DB191*DE191*VLOOKUP('Données projet'!$B$13,Paramètres!$A$1:$I$89,3,0)*0.475*44/12</f>
        <v>1.2240958329414745E-24</v>
      </c>
      <c r="DI191" s="22">
        <f t="shared" si="175"/>
        <v>27.32513450693158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19.8100000000004</v>
      </c>
      <c r="DP191" s="17">
        <f>DO191*VLOOKUP('Données projet'!$B$14,Paramètres!$A$1:$I$89,3,0)*VLOOKUP('Données projet'!$B$14,Paramètres!$A$1:$I$89,5,0)</f>
        <v>21.323484000000427</v>
      </c>
      <c r="DQ191" s="13">
        <f t="shared" si="176"/>
        <v>6.88226100850307</v>
      </c>
      <c r="DR191" s="20">
        <f t="shared" si="177"/>
        <v>49.125005889810261</v>
      </c>
      <c r="DS191" s="59">
        <f t="shared" si="125"/>
        <v>339.0434030284905</v>
      </c>
      <c r="DT191" s="59">
        <f ca="1">AVERAGE(OFFSET($DS$3,0,0,'Données projet'!$E$14+1,1))-AVERAGE(OFFSET($H$3,0,0,'Données projet'!$E$14+1,1))</f>
        <v>659.55755908012691</v>
      </c>
      <c r="DU191" s="59">
        <f t="shared" si="152"/>
        <v>343.96647464823627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106.60606416026485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106.60606416026485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19.8100000000004</v>
      </c>
      <c r="EK191" s="17">
        <f>EJ191*VLOOKUP('Données projet'!$B$15,Paramètres!$A$1:$I$89,3,0)*VLOOKUP('Données projet'!$B$15,Paramètres!$A$1:$I$89,5,0)</f>
        <v>19.160232000000388</v>
      </c>
      <c r="EL191" s="13">
        <f t="shared" si="179"/>
        <v>6.2615431735370342</v>
      </c>
      <c r="EM191" s="20">
        <f t="shared" si="180"/>
        <v>44.27625842724435</v>
      </c>
      <c r="EN191" s="59">
        <f t="shared" si="128"/>
        <v>334.19465556592456</v>
      </c>
      <c r="EO191" s="59">
        <f ca="1">AVERAGE(OFFSET($EN$3,0,0,'Données projet'!$E$15+1,1))-AVERAGE(OFFSET($H$3,0,0,'Données projet'!$E$15+1,1))</f>
        <v>600.96600099541388</v>
      </c>
      <c r="EP191" s="59">
        <f t="shared" si="154"/>
        <v>315.40159257508969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95.790956201977124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95.790956201977124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17.924088000000364</v>
      </c>
      <c r="P192" s="13">
        <f t="shared" si="141"/>
        <v>5.9032212091029486</v>
      </c>
      <c r="Q192" s="20">
        <f t="shared" si="162"/>
        <v>41.499230205854936</v>
      </c>
      <c r="R192" s="59">
        <f t="shared" si="109"/>
        <v>331.47686885285879</v>
      </c>
      <c r="S192" s="59">
        <f ca="1">AVERAGE(OFFSET($R$3,0,0,'Données projet'!$E$9+1,1))-AVERAGE(OFFSET($H$3,0,0,'Données projet'!$E$9+1,1))</f>
        <v>567.42635821336114</v>
      </c>
      <c r="T192" s="59">
        <f t="shared" si="142"/>
        <v>299.0473530693472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87.853679527404694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87.853679527404694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475.00000000000023</v>
      </c>
      <c r="AJ192" s="13">
        <f>AI192*VLOOKUP('Données projet'!$B$10,Paramètres!$A$1:$I$89,3,0)*VLOOKUP('Données projet'!$B$10,Paramètres!$A$1:$I$89,5,0)</f>
        <v>407.5500000000003</v>
      </c>
      <c r="AK192" s="13">
        <f t="shared" si="164"/>
        <v>93.305642095357683</v>
      </c>
      <c r="AL192" s="20">
        <f t="shared" si="165"/>
        <v>872.32357664941526</v>
      </c>
      <c r="AM192" s="59">
        <f t="shared" si="113"/>
        <v>1162.3012152964191</v>
      </c>
      <c r="AN192" s="59">
        <f ca="1">AVERAGE(OFFSET($AM$3,0,0,'Données projet'!$E$10+1,1))-AVERAGE(OFFSET($H$3,0,0,'Données projet'!$E$10+1,1))</f>
        <v>570.05585579662738</v>
      </c>
      <c r="AO192" s="59">
        <f t="shared" si="144"/>
        <v>331.25104323342907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31.166564165752519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31.166564165752519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16.750000000000213</v>
      </c>
      <c r="BE192" s="13">
        <f>BD192*VLOOKUP('Données projet'!$B$11,Paramètres!$A$1:$I$89,3,0)*VLOOKUP('Données projet'!$B$11,Paramètres!$A$1:$I$89,5,0)</f>
        <v>14.11020000000018</v>
      </c>
      <c r="BF192" s="13">
        <f t="shared" si="167"/>
        <v>4.7783677814795205</v>
      </c>
      <c r="BG192" s="20">
        <f t="shared" si="168"/>
        <v>32.897588886077138</v>
      </c>
      <c r="BH192" s="59">
        <f t="shared" si="116"/>
        <v>322.87522753308099</v>
      </c>
      <c r="BI192" s="59">
        <f ca="1">AVERAGE(OFFSET($BH$3,0,0,'Données projet'!$E$11+1,1))-AVERAGE(OFFSET($H$3,0,0,'Données projet'!$E$11+1,1))</f>
        <v>458.88102603650725</v>
      </c>
      <c r="BJ192" s="59">
        <f t="shared" si="146"/>
        <v>277.79020316059552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49.13224452837688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49.13224452837688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19.8100000000004</v>
      </c>
      <c r="BZ192" s="13">
        <f>BY192*VLOOKUP('Données projet'!$B$12,Paramètres!$A$1:$I$89,3,0)*VLOOKUP('Données projet'!$B$12,Paramètres!$A$1:$I$89,5,0)</f>
        <v>18.851196000000382</v>
      </c>
      <c r="CA192" s="13">
        <f t="shared" si="170"/>
        <v>6.172221809210666</v>
      </c>
      <c r="CB192" s="20">
        <f t="shared" si="171"/>
        <v>43.582452684375909</v>
      </c>
      <c r="CC192" s="59">
        <f t="shared" si="119"/>
        <v>333.56009133137979</v>
      </c>
      <c r="CD192" s="59">
        <f ca="1">AVERAGE(OFFSET($CC$3,0,0,'Données projet'!$E$12+1,1))-AVERAGE(OFFSET($H$3,0,0,'Données projet'!$E$12+1,1))</f>
        <v>592.58528888957346</v>
      </c>
      <c r="CE192" s="59">
        <f t="shared" si="148"/>
        <v>311.31528017256846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92.397835365029067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92.397835365029067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0.8600000000003547</v>
      </c>
      <c r="CU192" s="17">
        <f>CT192*VLOOKUP('Données projet'!$B$13,Paramètres!$A$1:$I$89,3,0)*VLOOKUP('Données projet'!$B$13,Paramètres!$A$1:$I$89,5,0)</f>
        <v>0.48074000000019829</v>
      </c>
      <c r="CV192" s="13">
        <f t="shared" si="173"/>
        <v>0.24126147010950588</v>
      </c>
      <c r="CW192" s="20">
        <f t="shared" si="174"/>
        <v>1.2574858937744013</v>
      </c>
      <c r="CX192" s="59">
        <f t="shared" si="122"/>
        <v>291.23512454077826</v>
      </c>
      <c r="CY192" s="59">
        <f ca="1">AVERAGE(OFFSET($CX$3,0,0,'Données projet'!$E$13+1,1))-AVERAGE(OFFSET($H$3,0,0,'Données projet'!$E$13+1,1))</f>
        <v>420.4890915162182</v>
      </c>
      <c r="CZ192" s="59">
        <f t="shared" si="150"/>
        <v>553.48432338023565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26.168731474949197</v>
      </c>
      <c r="DG192" s="21">
        <f>EXP(-LN(2)/25)*DG191+(1-EXP(-LN(2)/25))/(LN(2)/25)*Calculateur!DB192*Calculateur!DD192*VLOOKUP('Données projet'!$B$13,Paramètres!$A$1:$I$89,3,0)*0.475*44/12</f>
        <v>0.61567724269499502</v>
      </c>
      <c r="DH192" s="21">
        <f>EXP(-LN(2)/2)*DH191+(1-EXP(-LN(2)/2))/(LN(2)/2)*DB192*DE192*VLOOKUP('Données projet'!$B$13,Paramètres!$A$1:$I$89,3,0)*0.475*44/12</f>
        <v>8.6556646429511183E-25</v>
      </c>
      <c r="DI192" s="22">
        <f t="shared" si="175"/>
        <v>26.784408717644194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19.8100000000004</v>
      </c>
      <c r="DP192" s="17">
        <f>DO192*VLOOKUP('Données projet'!$B$14,Paramètres!$A$1:$I$89,3,0)*VLOOKUP('Données projet'!$B$14,Paramètres!$A$1:$I$89,5,0)</f>
        <v>21.323484000000427</v>
      </c>
      <c r="DQ192" s="13">
        <f t="shared" si="176"/>
        <v>6.88226100850307</v>
      </c>
      <c r="DR192" s="20">
        <f t="shared" si="177"/>
        <v>49.125005889810261</v>
      </c>
      <c r="DS192" s="59">
        <f t="shared" si="125"/>
        <v>339.10264453681413</v>
      </c>
      <c r="DT192" s="59">
        <f ca="1">AVERAGE(OFFSET($DS$3,0,0,'Données projet'!$E$14+1,1))-AVERAGE(OFFSET($H$3,0,0,'Données projet'!$E$14+1,1))</f>
        <v>659.55755908012691</v>
      </c>
      <c r="DU192" s="59">
        <f t="shared" si="152"/>
        <v>343.96647464823627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104.51558426536067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104.51558426536067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19.8100000000004</v>
      </c>
      <c r="EK192" s="17">
        <f>EJ192*VLOOKUP('Données projet'!$B$15,Paramètres!$A$1:$I$89,3,0)*VLOOKUP('Données projet'!$B$15,Paramètres!$A$1:$I$89,5,0)</f>
        <v>19.160232000000388</v>
      </c>
      <c r="EL192" s="13">
        <f t="shared" si="179"/>
        <v>6.2615431735370342</v>
      </c>
      <c r="EM192" s="20">
        <f t="shared" si="180"/>
        <v>44.27625842724435</v>
      </c>
      <c r="EN192" s="59">
        <f t="shared" si="128"/>
        <v>334.25389707424819</v>
      </c>
      <c r="EO192" s="59">
        <f ca="1">AVERAGE(OFFSET($EN$3,0,0,'Données projet'!$E$15+1,1))-AVERAGE(OFFSET($H$3,0,0,'Données projet'!$E$15+1,1))</f>
        <v>600.96600099541388</v>
      </c>
      <c r="EP192" s="59">
        <f t="shared" si="154"/>
        <v>315.40159257508969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93.912553977570482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93.912553977570482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17.924088000000364</v>
      </c>
      <c r="P193" s="13">
        <f t="shared" si="141"/>
        <v>5.9032212091029486</v>
      </c>
      <c r="Q193" s="20">
        <f t="shared" si="162"/>
        <v>41.499230205854936</v>
      </c>
      <c r="R193" s="59">
        <f t="shared" si="109"/>
        <v>331.53508265345721</v>
      </c>
      <c r="S193" s="59">
        <f ca="1">AVERAGE(OFFSET($R$3,0,0,'Données projet'!$E$9+1,1))-AVERAGE(OFFSET($H$3,0,0,'Données projet'!$E$9+1,1))</f>
        <v>567.42635821336114</v>
      </c>
      <c r="T193" s="59">
        <f t="shared" si="142"/>
        <v>299.0473530693472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86.130922457325681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86.130922457325681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475.00000000000023</v>
      </c>
      <c r="AJ193" s="13">
        <f>AI193*VLOOKUP('Données projet'!$B$10,Paramètres!$A$1:$I$89,3,0)*VLOOKUP('Données projet'!$B$10,Paramètres!$A$1:$I$89,5,0)</f>
        <v>407.5500000000003</v>
      </c>
      <c r="AK193" s="13">
        <f t="shared" si="164"/>
        <v>93.305642095357683</v>
      </c>
      <c r="AL193" s="20">
        <f t="shared" si="165"/>
        <v>872.32357664941526</v>
      </c>
      <c r="AM193" s="59">
        <f t="shared" si="113"/>
        <v>1162.3594290970175</v>
      </c>
      <c r="AN193" s="59">
        <f ca="1">AVERAGE(OFFSET($AM$3,0,0,'Données projet'!$E$10+1,1))-AVERAGE(OFFSET($H$3,0,0,'Données projet'!$E$10+1,1))</f>
        <v>570.05585579662738</v>
      </c>
      <c r="AO193" s="59">
        <f t="shared" si="144"/>
        <v>331.25104323342907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30.555406852189197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30.555406852189197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16.750000000000213</v>
      </c>
      <c r="BE193" s="13">
        <f>BD193*VLOOKUP('Données projet'!$B$11,Paramètres!$A$1:$I$89,3,0)*VLOOKUP('Données projet'!$B$11,Paramètres!$A$1:$I$89,5,0)</f>
        <v>14.11020000000018</v>
      </c>
      <c r="BF193" s="13">
        <f t="shared" si="167"/>
        <v>4.7783677814795205</v>
      </c>
      <c r="BG193" s="20">
        <f t="shared" si="168"/>
        <v>32.897588886077138</v>
      </c>
      <c r="BH193" s="59">
        <f t="shared" si="116"/>
        <v>322.93344133367941</v>
      </c>
      <c r="BI193" s="59">
        <f ca="1">AVERAGE(OFFSET($BH$3,0,0,'Données projet'!$E$11+1,1))-AVERAGE(OFFSET($H$3,0,0,'Données projet'!$E$11+1,1))</f>
        <v>458.88102603650725</v>
      </c>
      <c r="BJ193" s="59">
        <f t="shared" si="146"/>
        <v>277.79020316059552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48.168791180885506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48.168791180885506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19.8100000000004</v>
      </c>
      <c r="BZ193" s="13">
        <f>BY193*VLOOKUP('Données projet'!$B$12,Paramètres!$A$1:$I$89,3,0)*VLOOKUP('Données projet'!$B$12,Paramètres!$A$1:$I$89,5,0)</f>
        <v>18.851196000000382</v>
      </c>
      <c r="CA193" s="13">
        <f t="shared" si="170"/>
        <v>6.172221809210666</v>
      </c>
      <c r="CB193" s="20">
        <f t="shared" si="171"/>
        <v>43.582452684375909</v>
      </c>
      <c r="CC193" s="59">
        <f t="shared" si="119"/>
        <v>333.61830513197822</v>
      </c>
      <c r="CD193" s="59">
        <f ca="1">AVERAGE(OFFSET($CC$3,0,0,'Données projet'!$E$12+1,1))-AVERAGE(OFFSET($H$3,0,0,'Données projet'!$E$12+1,1))</f>
        <v>592.58528888957346</v>
      </c>
      <c r="CE193" s="59">
        <f t="shared" si="148"/>
        <v>311.31528017256846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90.585970170635619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90.585970170635619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0.8600000000003547</v>
      </c>
      <c r="CU193" s="17">
        <f>CT193*VLOOKUP('Données projet'!$B$13,Paramètres!$A$1:$I$89,3,0)*VLOOKUP('Données projet'!$B$13,Paramètres!$A$1:$I$89,5,0)</f>
        <v>0.48074000000019829</v>
      </c>
      <c r="CV193" s="13">
        <f t="shared" si="173"/>
        <v>0.24126147010950588</v>
      </c>
      <c r="CW193" s="20">
        <f t="shared" si="174"/>
        <v>1.2574858937744013</v>
      </c>
      <c r="CX193" s="59">
        <f t="shared" si="122"/>
        <v>291.29333834137668</v>
      </c>
      <c r="CY193" s="59">
        <f ca="1">AVERAGE(OFFSET($CX$3,0,0,'Données projet'!$E$13+1,1))-AVERAGE(OFFSET($H$3,0,0,'Données projet'!$E$13+1,1))</f>
        <v>420.4890915162182</v>
      </c>
      <c r="CZ193" s="59">
        <f t="shared" si="150"/>
        <v>553.48432338023565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25.65557861207559</v>
      </c>
      <c r="DG193" s="21">
        <f>EXP(-LN(2)/25)*DG192+(1-EXP(-LN(2)/25))/(LN(2)/25)*Calculateur!DB193*Calculateur!DD193*VLOOKUP('Données projet'!$B$13,Paramètres!$A$1:$I$89,3,0)*0.475*44/12</f>
        <v>0.59884151611644132</v>
      </c>
      <c r="DH193" s="21">
        <f>EXP(-LN(2)/2)*DH192+(1-EXP(-LN(2)/2))/(LN(2)/2)*DB193*DE193*VLOOKUP('Données projet'!$B$13,Paramètres!$A$1:$I$89,3,0)*0.475*44/12</f>
        <v>6.1204791647073726E-25</v>
      </c>
      <c r="DI193" s="22">
        <f t="shared" si="175"/>
        <v>26.254420128192031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19.8100000000004</v>
      </c>
      <c r="DP193" s="17">
        <f>DO193*VLOOKUP('Données projet'!$B$14,Paramètres!$A$1:$I$89,3,0)*VLOOKUP('Données projet'!$B$14,Paramètres!$A$1:$I$89,5,0)</f>
        <v>21.323484000000427</v>
      </c>
      <c r="DQ193" s="13">
        <f t="shared" si="176"/>
        <v>6.88226100850307</v>
      </c>
      <c r="DR193" s="20">
        <f t="shared" si="177"/>
        <v>49.125005889810261</v>
      </c>
      <c r="DS193" s="59">
        <f t="shared" si="125"/>
        <v>339.16085833741255</v>
      </c>
      <c r="DT193" s="59">
        <f ca="1">AVERAGE(OFFSET($DS$3,0,0,'Données projet'!$E$14+1,1))-AVERAGE(OFFSET($H$3,0,0,'Données projet'!$E$14+1,1))</f>
        <v>659.55755908012691</v>
      </c>
      <c r="DU193" s="59">
        <f t="shared" si="152"/>
        <v>343.96647464823627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102.46609740612874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102.46609740612874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19.8100000000004</v>
      </c>
      <c r="EK193" s="17">
        <f>EJ193*VLOOKUP('Données projet'!$B$15,Paramètres!$A$1:$I$89,3,0)*VLOOKUP('Données projet'!$B$15,Paramètres!$A$1:$I$89,5,0)</f>
        <v>19.160232000000388</v>
      </c>
      <c r="EL193" s="13">
        <f t="shared" si="179"/>
        <v>6.2615431735370342</v>
      </c>
      <c r="EM193" s="20">
        <f t="shared" si="180"/>
        <v>44.27625842724435</v>
      </c>
      <c r="EN193" s="59">
        <f t="shared" si="128"/>
        <v>334.31211087484661</v>
      </c>
      <c r="EO193" s="59">
        <f ca="1">AVERAGE(OFFSET($EN$3,0,0,'Données projet'!$E$15+1,1))-AVERAGE(OFFSET($H$3,0,0,'Données projet'!$E$15+1,1))</f>
        <v>600.96600099541388</v>
      </c>
      <c r="EP193" s="59">
        <f t="shared" si="154"/>
        <v>315.40159257508969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92.070986075072227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92.070986075072227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17.924088000000364</v>
      </c>
      <c r="P194" s="13">
        <f t="shared" si="141"/>
        <v>5.9032212091029486</v>
      </c>
      <c r="Q194" s="20">
        <f t="shared" si="162"/>
        <v>41.499230205854936</v>
      </c>
      <c r="R194" s="59">
        <f t="shared" si="109"/>
        <v>331.59228657476177</v>
      </c>
      <c r="S194" s="59">
        <f ca="1">AVERAGE(OFFSET($R$3,0,0,'Données projet'!$E$9+1,1))-AVERAGE(OFFSET($H$3,0,0,'Données projet'!$E$9+1,1))</f>
        <v>567.42635821336114</v>
      </c>
      <c r="T194" s="59">
        <f t="shared" si="142"/>
        <v>299.0473530693472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84.441947602612856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84.441947602612856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475.00000000000023</v>
      </c>
      <c r="AJ194" s="13">
        <f>AI194*VLOOKUP('Données projet'!$B$10,Paramètres!$A$1:$I$89,3,0)*VLOOKUP('Données projet'!$B$10,Paramètres!$A$1:$I$89,5,0)</f>
        <v>407.5500000000003</v>
      </c>
      <c r="AK194" s="13">
        <f t="shared" si="164"/>
        <v>93.305642095357683</v>
      </c>
      <c r="AL194" s="20">
        <f t="shared" si="165"/>
        <v>872.32357664941526</v>
      </c>
      <c r="AM194" s="59">
        <f t="shared" si="113"/>
        <v>1162.416633018322</v>
      </c>
      <c r="AN194" s="59">
        <f ca="1">AVERAGE(OFFSET($AM$3,0,0,'Données projet'!$E$10+1,1))-AVERAGE(OFFSET($H$3,0,0,'Données projet'!$E$10+1,1))</f>
        <v>570.05585579662738</v>
      </c>
      <c r="AO194" s="59">
        <f t="shared" si="144"/>
        <v>331.25104323342907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29.956233960775698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29.956233960775698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16.750000000000213</v>
      </c>
      <c r="BE194" s="13">
        <f>BD194*VLOOKUP('Données projet'!$B$11,Paramètres!$A$1:$I$89,3,0)*VLOOKUP('Données projet'!$B$11,Paramètres!$A$1:$I$89,5,0)</f>
        <v>14.11020000000018</v>
      </c>
      <c r="BF194" s="13">
        <f t="shared" si="167"/>
        <v>4.7783677814795205</v>
      </c>
      <c r="BG194" s="20">
        <f t="shared" si="168"/>
        <v>32.897588886077138</v>
      </c>
      <c r="BH194" s="59">
        <f t="shared" si="116"/>
        <v>322.99064525498397</v>
      </c>
      <c r="BI194" s="59">
        <f ca="1">AVERAGE(OFFSET($BH$3,0,0,'Données projet'!$E$11+1,1))-AVERAGE(OFFSET($H$3,0,0,'Données projet'!$E$11+1,1))</f>
        <v>458.88102603650725</v>
      </c>
      <c r="BJ194" s="59">
        <f t="shared" si="146"/>
        <v>277.79020316059552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47.224230565889918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47.224230565889918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19.8100000000004</v>
      </c>
      <c r="BZ194" s="13">
        <f>BY194*VLOOKUP('Données projet'!$B$12,Paramètres!$A$1:$I$89,3,0)*VLOOKUP('Données projet'!$B$12,Paramètres!$A$1:$I$89,5,0)</f>
        <v>18.851196000000382</v>
      </c>
      <c r="CA194" s="13">
        <f t="shared" si="170"/>
        <v>6.172221809210666</v>
      </c>
      <c r="CB194" s="20">
        <f t="shared" si="171"/>
        <v>43.582452684375909</v>
      </c>
      <c r="CC194" s="59">
        <f t="shared" si="119"/>
        <v>333.67550905328278</v>
      </c>
      <c r="CD194" s="59">
        <f ca="1">AVERAGE(OFFSET($CC$3,0,0,'Données projet'!$E$12+1,1))-AVERAGE(OFFSET($H$3,0,0,'Données projet'!$E$12+1,1))</f>
        <v>592.58528888957346</v>
      </c>
      <c r="CE194" s="59">
        <f t="shared" si="148"/>
        <v>311.31528017256846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88.809634547575584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88.809634547575584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0.8600000000003547</v>
      </c>
      <c r="CU194" s="17">
        <f>CT194*VLOOKUP('Données projet'!$B$13,Paramètres!$A$1:$I$89,3,0)*VLOOKUP('Données projet'!$B$13,Paramètres!$A$1:$I$89,5,0)</f>
        <v>0.48074000000019829</v>
      </c>
      <c r="CV194" s="13">
        <f t="shared" si="173"/>
        <v>0.24126147010950588</v>
      </c>
      <c r="CW194" s="20">
        <f t="shared" si="174"/>
        <v>1.2574858937744013</v>
      </c>
      <c r="CX194" s="59">
        <f t="shared" si="122"/>
        <v>291.35054226268124</v>
      </c>
      <c r="CY194" s="59">
        <f ca="1">AVERAGE(OFFSET($CX$3,0,0,'Données projet'!$E$13+1,1))-AVERAGE(OFFSET($H$3,0,0,'Données projet'!$E$13+1,1))</f>
        <v>420.4890915162182</v>
      </c>
      <c r="CZ194" s="59">
        <f t="shared" si="150"/>
        <v>553.48432338023565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25.152488363850594</v>
      </c>
      <c r="DG194" s="21">
        <f>EXP(-LN(2)/25)*DG193+(1-EXP(-LN(2)/25))/(LN(2)/25)*Calculateur!DB194*Calculateur!DD194*VLOOKUP('Données projet'!$B$13,Paramètres!$A$1:$I$89,3,0)*0.475*44/12</f>
        <v>0.58246616336653056</v>
      </c>
      <c r="DH194" s="21">
        <f>EXP(-LN(2)/2)*DH193+(1-EXP(-LN(2)/2))/(LN(2)/2)*DB194*DE194*VLOOKUP('Données projet'!$B$13,Paramètres!$A$1:$I$89,3,0)*0.475*44/12</f>
        <v>4.3278323214755591E-25</v>
      </c>
      <c r="DI194" s="22">
        <f t="shared" si="175"/>
        <v>25.734954527217123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19.8100000000004</v>
      </c>
      <c r="DP194" s="17">
        <f>DO194*VLOOKUP('Données projet'!$B$14,Paramètres!$A$1:$I$89,3,0)*VLOOKUP('Données projet'!$B$14,Paramètres!$A$1:$I$89,5,0)</f>
        <v>21.323484000000427</v>
      </c>
      <c r="DQ194" s="13">
        <f t="shared" si="176"/>
        <v>6.88226100850307</v>
      </c>
      <c r="DR194" s="20">
        <f t="shared" si="177"/>
        <v>49.125005889810261</v>
      </c>
      <c r="DS194" s="59">
        <f t="shared" si="125"/>
        <v>339.21806225871711</v>
      </c>
      <c r="DT194" s="59">
        <f ca="1">AVERAGE(OFFSET($DS$3,0,0,'Données projet'!$E$14+1,1))-AVERAGE(OFFSET($H$3,0,0,'Données projet'!$E$14+1,1))</f>
        <v>659.55755908012691</v>
      </c>
      <c r="DU194" s="59">
        <f t="shared" si="152"/>
        <v>343.96647464823627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100.45679973414279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100.45679973414279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19.8100000000004</v>
      </c>
      <c r="EK194" s="17">
        <f>EJ194*VLOOKUP('Données projet'!$B$15,Paramètres!$A$1:$I$89,3,0)*VLOOKUP('Données projet'!$B$15,Paramètres!$A$1:$I$89,5,0)</f>
        <v>19.160232000000388</v>
      </c>
      <c r="EL194" s="13">
        <f t="shared" si="179"/>
        <v>6.2615431735370342</v>
      </c>
      <c r="EM194" s="20">
        <f t="shared" si="180"/>
        <v>44.27625842724435</v>
      </c>
      <c r="EN194" s="59">
        <f t="shared" si="128"/>
        <v>334.36931479615117</v>
      </c>
      <c r="EO194" s="59">
        <f ca="1">AVERAGE(OFFSET($EN$3,0,0,'Données projet'!$E$15+1,1))-AVERAGE(OFFSET($H$3,0,0,'Données projet'!$E$15+1,1))</f>
        <v>600.96600099541388</v>
      </c>
      <c r="EP194" s="59">
        <f t="shared" si="154"/>
        <v>315.40159257508969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90.265530195896446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90.265530195896446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17.924088000000364</v>
      </c>
      <c r="P195" s="13">
        <f t="shared" si="141"/>
        <v>5.9032212091029486</v>
      </c>
      <c r="Q195" s="20">
        <f t="shared" si="162"/>
        <v>41.499230205854936</v>
      </c>
      <c r="R195" s="59">
        <f t="shared" ref="R195:R203" si="191">Q195+(I195+J195)*44/12</f>
        <v>331.64849813592059</v>
      </c>
      <c r="S195" s="59">
        <f ca="1">AVERAGE(OFFSET($R$3,0,0,'Données projet'!$E$9+1,1))-AVERAGE(OFFSET($H$3,0,0,'Données projet'!$E$9+1,1))</f>
        <v>567.42635821336114</v>
      </c>
      <c r="T195" s="59">
        <f t="shared" si="142"/>
        <v>299.0473530693472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82.78609251462801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82.78609251462801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475.00000000000023</v>
      </c>
      <c r="AJ195" s="13">
        <f>AI195*VLOOKUP('Données projet'!$B$10,Paramètres!$A$1:$I$89,3,0)*VLOOKUP('Données projet'!$B$10,Paramètres!$A$1:$I$89,5,0)</f>
        <v>407.5500000000003</v>
      </c>
      <c r="AK195" s="13">
        <f t="shared" si="164"/>
        <v>93.305642095357683</v>
      </c>
      <c r="AL195" s="20">
        <f t="shared" si="165"/>
        <v>872.32357664941526</v>
      </c>
      <c r="AM195" s="59">
        <f t="shared" si="113"/>
        <v>1162.4728445794808</v>
      </c>
      <c r="AN195" s="59">
        <f ca="1">AVERAGE(OFFSET($AM$3,0,0,'Données projet'!$E$10+1,1))-AVERAGE(OFFSET($H$3,0,0,'Données projet'!$E$10+1,1))</f>
        <v>570.05585579662738</v>
      </c>
      <c r="AO195" s="59">
        <f t="shared" si="144"/>
        <v>331.25104323342907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29.368810484303442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29.368810484303442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16.750000000000213</v>
      </c>
      <c r="BE195" s="13">
        <f>BD195*VLOOKUP('Données projet'!$B$11,Paramètres!$A$1:$I$89,3,0)*VLOOKUP('Données projet'!$B$11,Paramètres!$A$1:$I$89,5,0)</f>
        <v>14.11020000000018</v>
      </c>
      <c r="BF195" s="13">
        <f t="shared" si="167"/>
        <v>4.7783677814795205</v>
      </c>
      <c r="BG195" s="20">
        <f t="shared" si="168"/>
        <v>32.897588886077138</v>
      </c>
      <c r="BH195" s="59">
        <f t="shared" si="116"/>
        <v>323.04685681614279</v>
      </c>
      <c r="BI195" s="59">
        <f ca="1">AVERAGE(OFFSET($BH$3,0,0,'Données projet'!$E$11+1,1))-AVERAGE(OFFSET($H$3,0,0,'Données projet'!$E$11+1,1))</f>
        <v>458.88102603650725</v>
      </c>
      <c r="BJ195" s="59">
        <f t="shared" si="146"/>
        <v>277.79020316059552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46.298192208429313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46.298192208429313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19.8100000000004</v>
      </c>
      <c r="BZ195" s="13">
        <f>BY195*VLOOKUP('Données projet'!$B$12,Paramètres!$A$1:$I$89,3,0)*VLOOKUP('Données projet'!$B$12,Paramètres!$A$1:$I$89,5,0)</f>
        <v>18.851196000000382</v>
      </c>
      <c r="CA195" s="13">
        <f t="shared" si="170"/>
        <v>6.172221809210666</v>
      </c>
      <c r="CB195" s="20">
        <f t="shared" si="171"/>
        <v>43.582452684375909</v>
      </c>
      <c r="CC195" s="59">
        <f t="shared" si="119"/>
        <v>333.73172061444154</v>
      </c>
      <c r="CD195" s="59">
        <f ca="1">AVERAGE(OFFSET($CC$3,0,0,'Données projet'!$E$12+1,1))-AVERAGE(OFFSET($H$3,0,0,'Données projet'!$E$12+1,1))</f>
        <v>592.58528888957346</v>
      </c>
      <c r="CE195" s="59">
        <f t="shared" si="148"/>
        <v>311.31528017256846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87.068131782625997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87.068131782625997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0.8600000000003547</v>
      </c>
      <c r="CU195" s="17">
        <f>CT195*VLOOKUP('Données projet'!$B$13,Paramètres!$A$1:$I$89,3,0)*VLOOKUP('Données projet'!$B$13,Paramètres!$A$1:$I$89,5,0)</f>
        <v>0.48074000000019829</v>
      </c>
      <c r="CV195" s="13">
        <f t="shared" si="173"/>
        <v>0.24126147010950588</v>
      </c>
      <c r="CW195" s="20">
        <f t="shared" si="174"/>
        <v>1.2574858937744013</v>
      </c>
      <c r="CX195" s="59">
        <f t="shared" si="122"/>
        <v>291.40675382384006</v>
      </c>
      <c r="CY195" s="59">
        <f ca="1">AVERAGE(OFFSET($CX$3,0,0,'Données projet'!$E$13+1,1))-AVERAGE(OFFSET($H$3,0,0,'Données projet'!$E$13+1,1))</f>
        <v>420.4890915162182</v>
      </c>
      <c r="CZ195" s="59">
        <f t="shared" si="150"/>
        <v>553.48432338023565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24.659263408538539</v>
      </c>
      <c r="DG195" s="21">
        <f>EXP(-LN(2)/25)*DG194+(1-EXP(-LN(2)/25))/(LN(2)/25)*Calculateur!DB195*Calculateur!DD195*VLOOKUP('Données projet'!$B$13,Paramètres!$A$1:$I$89,3,0)*0.475*44/12</f>
        <v>0.56653859549870855</v>
      </c>
      <c r="DH195" s="21">
        <f>EXP(-LN(2)/2)*DH194+(1-EXP(-LN(2)/2))/(LN(2)/2)*DB195*DE195*VLOOKUP('Données projet'!$B$13,Paramètres!$A$1:$I$89,3,0)*0.475*44/12</f>
        <v>3.0602395823536863E-25</v>
      </c>
      <c r="DI195" s="22">
        <f t="shared" si="175"/>
        <v>25.225802004037249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19.8100000000004</v>
      </c>
      <c r="DP195" s="17">
        <f>DO195*VLOOKUP('Données projet'!$B$14,Paramètres!$A$1:$I$89,3,0)*VLOOKUP('Données projet'!$B$14,Paramètres!$A$1:$I$89,5,0)</f>
        <v>21.323484000000427</v>
      </c>
      <c r="DQ195" s="13">
        <f t="shared" si="176"/>
        <v>6.88226100850307</v>
      </c>
      <c r="DR195" s="20">
        <f t="shared" si="177"/>
        <v>49.125005889810261</v>
      </c>
      <c r="DS195" s="59">
        <f t="shared" si="125"/>
        <v>339.27427381987593</v>
      </c>
      <c r="DT195" s="59">
        <f ca="1">AVERAGE(OFFSET($DS$3,0,0,'Données projet'!$E$14+1,1))-AVERAGE(OFFSET($H$3,0,0,'Données projet'!$E$14+1,1))</f>
        <v>659.55755908012691</v>
      </c>
      <c r="DU195" s="59">
        <f t="shared" si="152"/>
        <v>343.96647464823627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98.486903163953926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98.486903163953926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19.8100000000004</v>
      </c>
      <c r="EK195" s="17">
        <f>EJ195*VLOOKUP('Données projet'!$B$15,Paramètres!$A$1:$I$89,3,0)*VLOOKUP('Données projet'!$B$15,Paramètres!$A$1:$I$89,5,0)</f>
        <v>19.160232000000388</v>
      </c>
      <c r="EL195" s="13">
        <f t="shared" si="179"/>
        <v>6.2615431735370342</v>
      </c>
      <c r="EM195" s="20">
        <f t="shared" si="180"/>
        <v>44.27625842724435</v>
      </c>
      <c r="EN195" s="59">
        <f t="shared" si="128"/>
        <v>334.42552635730999</v>
      </c>
      <c r="EO195" s="59">
        <f ca="1">AVERAGE(OFFSET($EN$3,0,0,'Données projet'!$E$15+1,1))-AVERAGE(OFFSET($H$3,0,0,'Données projet'!$E$15+1,1))</f>
        <v>600.96600099541388</v>
      </c>
      <c r="EP195" s="59">
        <f t="shared" si="154"/>
        <v>315.40159257508969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88.49547820529196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88.49547820529196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17.924088000000364</v>
      </c>
      <c r="P196" s="13">
        <f t="shared" si="141"/>
        <v>5.9032212091029486</v>
      </c>
      <c r="Q196" s="20">
        <f t="shared" si="162"/>
        <v>41.499230205854936</v>
      </c>
      <c r="R196" s="59">
        <f t="shared" si="191"/>
        <v>331.70373455216344</v>
      </c>
      <c r="S196" s="59">
        <f ca="1">AVERAGE(OFFSET($R$3,0,0,'Données projet'!$E$9+1,1))-AVERAGE(OFFSET($H$3,0,0,'Données projet'!$E$9+1,1))</f>
        <v>567.42635821336114</v>
      </c>
      <c r="T196" s="59">
        <f t="shared" si="142"/>
        <v>299.0473530693472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81.162707734946665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81.162707734946665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475.00000000000023</v>
      </c>
      <c r="AJ196" s="13">
        <f>AI196*VLOOKUP('Données projet'!$B$10,Paramètres!$A$1:$I$89,3,0)*VLOOKUP('Données projet'!$B$10,Paramètres!$A$1:$I$89,5,0)</f>
        <v>407.5500000000003</v>
      </c>
      <c r="AK196" s="13">
        <f t="shared" si="164"/>
        <v>93.305642095357683</v>
      </c>
      <c r="AL196" s="20">
        <f t="shared" si="165"/>
        <v>872.32357664941526</v>
      </c>
      <c r="AM196" s="59">
        <f t="shared" ref="AM196:AM203" si="193">AL196+(AD196+AE196)*44/12</f>
        <v>1162.5280809957237</v>
      </c>
      <c r="AN196" s="59">
        <f ca="1">AVERAGE(OFFSET($AM$3,0,0,'Données projet'!$E$10+1,1))-AVERAGE(OFFSET($H$3,0,0,'Données projet'!$E$10+1,1))</f>
        <v>570.05585579662738</v>
      </c>
      <c r="AO196" s="59">
        <f t="shared" si="144"/>
        <v>331.25104323342907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28.792906023911865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28.792906023911865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16.750000000000213</v>
      </c>
      <c r="BE196" s="13">
        <f>BD196*VLOOKUP('Données projet'!$B$11,Paramètres!$A$1:$I$89,3,0)*VLOOKUP('Données projet'!$B$11,Paramètres!$A$1:$I$89,5,0)</f>
        <v>14.11020000000018</v>
      </c>
      <c r="BF196" s="13">
        <f t="shared" si="167"/>
        <v>4.7783677814795205</v>
      </c>
      <c r="BG196" s="20">
        <f t="shared" si="168"/>
        <v>32.897588886077138</v>
      </c>
      <c r="BH196" s="59">
        <f t="shared" ref="BH196:BH203" si="194">BG196+(AY196+AZ196)*44/12</f>
        <v>323.10209323238564</v>
      </c>
      <c r="BI196" s="59">
        <f ca="1">AVERAGE(OFFSET($BH$3,0,0,'Données projet'!$E$11+1,1))-AVERAGE(OFFSET($H$3,0,0,'Données projet'!$E$11+1,1))</f>
        <v>458.88102603650725</v>
      </c>
      <c r="BJ196" s="59">
        <f t="shared" si="146"/>
        <v>277.79020316059552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45.390312898330883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45.390312898330883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19.8100000000004</v>
      </c>
      <c r="BZ196" s="13">
        <f>BY196*VLOOKUP('Données projet'!$B$12,Paramètres!$A$1:$I$89,3,0)*VLOOKUP('Données projet'!$B$12,Paramètres!$A$1:$I$89,5,0)</f>
        <v>18.851196000000382</v>
      </c>
      <c r="CA196" s="13">
        <f t="shared" si="170"/>
        <v>6.172221809210666</v>
      </c>
      <c r="CB196" s="20">
        <f t="shared" si="171"/>
        <v>43.582452684375909</v>
      </c>
      <c r="CC196" s="59">
        <f t="shared" ref="CC196:CC203" si="195">CB196+(BT196+BU196)*44/12</f>
        <v>333.78695703068445</v>
      </c>
      <c r="CD196" s="59">
        <f ca="1">AVERAGE(OFFSET($CC$3,0,0,'Données projet'!$E$12+1,1))-AVERAGE(OFFSET($H$3,0,0,'Données projet'!$E$12+1,1))</f>
        <v>592.58528888957346</v>
      </c>
      <c r="CE196" s="59">
        <f t="shared" si="148"/>
        <v>311.31528017256846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85.360778824685269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85.360778824685269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0.8600000000003547</v>
      </c>
      <c r="CU196" s="17">
        <f>CT196*VLOOKUP('Données projet'!$B$13,Paramètres!$A$1:$I$89,3,0)*VLOOKUP('Données projet'!$B$13,Paramètres!$A$1:$I$89,5,0)</f>
        <v>0.48074000000019829</v>
      </c>
      <c r="CV196" s="13">
        <f t="shared" si="173"/>
        <v>0.24126147010950588</v>
      </c>
      <c r="CW196" s="20">
        <f t="shared" si="174"/>
        <v>1.2574858937744013</v>
      </c>
      <c r="CX196" s="59">
        <f t="shared" ref="CX196:CX203" si="196">CW196+(CO196+CP196)*44/12</f>
        <v>291.46199024008291</v>
      </c>
      <c r="CY196" s="59">
        <f ca="1">AVERAGE(OFFSET($CX$3,0,0,'Données projet'!$E$13+1,1))-AVERAGE(OFFSET($H$3,0,0,'Données projet'!$E$13+1,1))</f>
        <v>420.4890915162182</v>
      </c>
      <c r="CZ196" s="59">
        <f t="shared" si="150"/>
        <v>553.48432338023565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24.175710293762634</v>
      </c>
      <c r="DG196" s="21">
        <f>EXP(-LN(2)/25)*DG195+(1-EXP(-LN(2)/25))/(LN(2)/25)*Calculateur!DB196*Calculateur!DD196*VLOOKUP('Données projet'!$B$13,Paramètres!$A$1:$I$89,3,0)*0.475*44/12</f>
        <v>0.55104656781182648</v>
      </c>
      <c r="DH196" s="21">
        <f>EXP(-LN(2)/2)*DH195+(1-EXP(-LN(2)/2))/(LN(2)/2)*DB196*DE196*VLOOKUP('Données projet'!$B$13,Paramètres!$A$1:$I$89,3,0)*0.475*44/12</f>
        <v>2.1639161607377796E-25</v>
      </c>
      <c r="DI196" s="22">
        <f t="shared" si="175"/>
        <v>24.726756861574462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19.8100000000004</v>
      </c>
      <c r="DP196" s="17">
        <f>DO196*VLOOKUP('Données projet'!$B$14,Paramètres!$A$1:$I$89,3,0)*VLOOKUP('Données projet'!$B$14,Paramètres!$A$1:$I$89,5,0)</f>
        <v>21.323484000000427</v>
      </c>
      <c r="DQ196" s="13">
        <f t="shared" si="176"/>
        <v>6.88226100850307</v>
      </c>
      <c r="DR196" s="20">
        <f t="shared" si="177"/>
        <v>49.125005889810261</v>
      </c>
      <c r="DS196" s="59">
        <f t="shared" ref="DS196:DS203" si="197">DR196+(DJ196+DK196)*44/12</f>
        <v>339.32951023611878</v>
      </c>
      <c r="DT196" s="59">
        <f ca="1">AVERAGE(OFFSET($DS$3,0,0,'Données projet'!$E$14+1,1))-AVERAGE(OFFSET($H$3,0,0,'Données projet'!$E$14+1,1))</f>
        <v>659.55755908012691</v>
      </c>
      <c r="DU196" s="59">
        <f t="shared" si="152"/>
        <v>343.96647464823627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96.555635063988191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96.555635063988191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19.8100000000004</v>
      </c>
      <c r="EK196" s="17">
        <f>EJ196*VLOOKUP('Données projet'!$B$15,Paramètres!$A$1:$I$89,3,0)*VLOOKUP('Données projet'!$B$15,Paramètres!$A$1:$I$89,5,0)</f>
        <v>19.160232000000388</v>
      </c>
      <c r="EL196" s="13">
        <f t="shared" si="179"/>
        <v>6.2615431735370342</v>
      </c>
      <c r="EM196" s="20">
        <f t="shared" si="180"/>
        <v>44.27625842724435</v>
      </c>
      <c r="EN196" s="59">
        <f t="shared" ref="EN196:EN203" si="198">EM196+(EE196+EF196)*44/12</f>
        <v>334.48076277355284</v>
      </c>
      <c r="EO196" s="59">
        <f ca="1">AVERAGE(OFFSET($EN$3,0,0,'Données projet'!$E$15+1,1))-AVERAGE(OFFSET($H$3,0,0,'Données projet'!$E$15+1,1))</f>
        <v>600.96600099541388</v>
      </c>
      <c r="EP196" s="59">
        <f t="shared" si="154"/>
        <v>315.40159257508969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86.760135854598118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86.760135854598118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17.924088000000364</v>
      </c>
      <c r="P197" s="13">
        <f t="shared" ref="P197:P203" si="203">EXP(-1.0587+0.8836*LN(O197)+0.284)</f>
        <v>5.9032212091029486</v>
      </c>
      <c r="Q197" s="20">
        <f t="shared" si="162"/>
        <v>41.499230205854936</v>
      </c>
      <c r="R197" s="59">
        <f t="shared" si="191"/>
        <v>331.75801274007466</v>
      </c>
      <c r="S197" s="59">
        <f ca="1">AVERAGE(OFFSET($R$3,0,0,'Données projet'!$E$9+1,1))-AVERAGE(OFFSET($H$3,0,0,'Données projet'!$E$9+1,1))</f>
        <v>567.42635821336114</v>
      </c>
      <c r="T197" s="59">
        <f t="shared" ref="T197:T203" si="204">$T$3</f>
        <v>299.0473530693472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79.571156540627925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79.571156540627925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475.00000000000023</v>
      </c>
      <c r="AJ197" s="13">
        <f>AI197*VLOOKUP('Données projet'!$B$10,Paramètres!$A$1:$I$89,3,0)*VLOOKUP('Données projet'!$B$10,Paramètres!$A$1:$I$89,5,0)</f>
        <v>407.5500000000003</v>
      </c>
      <c r="AK197" s="13">
        <f t="shared" si="164"/>
        <v>93.305642095357683</v>
      </c>
      <c r="AL197" s="20">
        <f t="shared" si="165"/>
        <v>872.32357664941526</v>
      </c>
      <c r="AM197" s="59">
        <f t="shared" si="193"/>
        <v>1162.5823591836349</v>
      </c>
      <c r="AN197" s="59">
        <f ca="1">AVERAGE(OFFSET($AM$3,0,0,'Données projet'!$E$10+1,1))-AVERAGE(OFFSET($H$3,0,0,'Données projet'!$E$10+1,1))</f>
        <v>570.05585579662738</v>
      </c>
      <c r="AO197" s="59">
        <f t="shared" ref="AO197:AO203" si="205">$AO$3</f>
        <v>331.25104323342907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28.22829469872153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28.22829469872153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16.750000000000213</v>
      </c>
      <c r="BE197" s="13">
        <f>BD197*VLOOKUP('Données projet'!$B$11,Paramètres!$A$1:$I$89,3,0)*VLOOKUP('Données projet'!$B$11,Paramètres!$A$1:$I$89,5,0)</f>
        <v>14.11020000000018</v>
      </c>
      <c r="BF197" s="13">
        <f t="shared" si="167"/>
        <v>4.7783677814795205</v>
      </c>
      <c r="BG197" s="20">
        <f t="shared" si="168"/>
        <v>32.897588886077138</v>
      </c>
      <c r="BH197" s="59">
        <f t="shared" si="194"/>
        <v>323.15637142029686</v>
      </c>
      <c r="BI197" s="59">
        <f ca="1">AVERAGE(OFFSET($BH$3,0,0,'Données projet'!$E$11+1,1))-AVERAGE(OFFSET($H$3,0,0,'Données projet'!$E$11+1,1))</f>
        <v>458.88102603650725</v>
      </c>
      <c r="BJ197" s="59">
        <f t="shared" ref="BJ197:BJ203" si="206">$BJ$3</f>
        <v>277.79020316059552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44.500236547751783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44.500236547751783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19.8100000000004</v>
      </c>
      <c r="BZ197" s="13">
        <f>BY197*VLOOKUP('Données projet'!$B$12,Paramètres!$A$1:$I$89,3,0)*VLOOKUP('Données projet'!$B$12,Paramètres!$A$1:$I$89,5,0)</f>
        <v>18.851196000000382</v>
      </c>
      <c r="CA197" s="13">
        <f t="shared" si="170"/>
        <v>6.172221809210666</v>
      </c>
      <c r="CB197" s="20">
        <f t="shared" si="171"/>
        <v>43.582452684375909</v>
      </c>
      <c r="CC197" s="59">
        <f t="shared" si="195"/>
        <v>333.84123521859567</v>
      </c>
      <c r="CD197" s="59">
        <f ca="1">AVERAGE(OFFSET($CC$3,0,0,'Données projet'!$E$12+1,1))-AVERAGE(OFFSET($H$3,0,0,'Données projet'!$E$12+1,1))</f>
        <v>592.58528888957346</v>
      </c>
      <c r="CE197" s="59">
        <f t="shared" ref="CE197:CE203" si="207">$CE$3</f>
        <v>311.31528017256846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83.686906016867283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83.686906016867283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0.8600000000003547</v>
      </c>
      <c r="CU197" s="17">
        <f>CT197*VLOOKUP('Données projet'!$B$13,Paramètres!$A$1:$I$89,3,0)*VLOOKUP('Données projet'!$B$13,Paramètres!$A$1:$I$89,5,0)</f>
        <v>0.48074000000019829</v>
      </c>
      <c r="CV197" s="13">
        <f t="shared" si="173"/>
        <v>0.24126147010950588</v>
      </c>
      <c r="CW197" s="20">
        <f t="shared" si="174"/>
        <v>1.2574858937744013</v>
      </c>
      <c r="CX197" s="59">
        <f t="shared" si="196"/>
        <v>291.51626842799413</v>
      </c>
      <c r="CY197" s="59">
        <f ca="1">AVERAGE(OFFSET($CX$3,0,0,'Données projet'!$E$13+1,1))-AVERAGE(OFFSET($H$3,0,0,'Données projet'!$E$13+1,1))</f>
        <v>420.4890915162182</v>
      </c>
      <c r="CZ197" s="59">
        <f t="shared" ref="CZ197:CZ203" si="208">$CZ$3</f>
        <v>553.48432338023565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23.701639360629208</v>
      </c>
      <c r="DG197" s="21">
        <f>EXP(-LN(2)/25)*DG196+(1-EXP(-LN(2)/25))/(LN(2)/25)*Calculateur!DB197*Calculateur!DD197*VLOOKUP('Données projet'!$B$13,Paramètres!$A$1:$I$89,3,0)*0.475*44/12</f>
        <v>0.53597817043673257</v>
      </c>
      <c r="DH197" s="21">
        <f>EXP(-LN(2)/2)*DH196+(1-EXP(-LN(2)/2))/(LN(2)/2)*DB197*DE197*VLOOKUP('Données projet'!$B$13,Paramètres!$A$1:$I$89,3,0)*0.475*44/12</f>
        <v>1.5301197911768432E-25</v>
      </c>
      <c r="DI197" s="22">
        <f t="shared" si="175"/>
        <v>24.23761753106594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19.8100000000004</v>
      </c>
      <c r="DP197" s="17">
        <f>DO197*VLOOKUP('Données projet'!$B$14,Paramètres!$A$1:$I$89,3,0)*VLOOKUP('Données projet'!$B$14,Paramètres!$A$1:$I$89,5,0)</f>
        <v>21.323484000000427</v>
      </c>
      <c r="DQ197" s="13">
        <f t="shared" si="176"/>
        <v>6.88226100850307</v>
      </c>
      <c r="DR197" s="20">
        <f t="shared" si="177"/>
        <v>49.125005889810261</v>
      </c>
      <c r="DS197" s="59">
        <f t="shared" si="197"/>
        <v>339.38378842403</v>
      </c>
      <c r="DT197" s="59">
        <f ca="1">AVERAGE(OFFSET($DS$3,0,0,'Données projet'!$E$14+1,1))-AVERAGE(OFFSET($H$3,0,0,'Données projet'!$E$14+1,1))</f>
        <v>659.55755908012691</v>
      </c>
      <c r="DU197" s="59">
        <f t="shared" ref="DU197:DU203" si="209">$DU$3</f>
        <v>343.96647464823627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94.662237953505553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94.662237953505553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19.8100000000004</v>
      </c>
      <c r="EK197" s="17">
        <f>EJ197*VLOOKUP('Données projet'!$B$15,Paramètres!$A$1:$I$89,3,0)*VLOOKUP('Données projet'!$B$15,Paramètres!$A$1:$I$89,5,0)</f>
        <v>19.160232000000388</v>
      </c>
      <c r="EL197" s="13">
        <f t="shared" si="179"/>
        <v>6.2615431735370342</v>
      </c>
      <c r="EM197" s="20">
        <f t="shared" si="180"/>
        <v>44.27625842724435</v>
      </c>
      <c r="EN197" s="59">
        <f t="shared" si="198"/>
        <v>334.53504096146406</v>
      </c>
      <c r="EO197" s="59">
        <f ca="1">AVERAGE(OFFSET($EN$3,0,0,'Données projet'!$E$15+1,1))-AVERAGE(OFFSET($H$3,0,0,'Données projet'!$E$15+1,1))</f>
        <v>600.96600099541388</v>
      </c>
      <c r="EP197" s="59">
        <f t="shared" ref="EP197:EP203" si="210">$EP$3</f>
        <v>315.40159257508969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85.05882250894706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85.05882250894706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17.924088000000364</v>
      </c>
      <c r="P198" s="13">
        <f t="shared" si="203"/>
        <v>5.9032212091029486</v>
      </c>
      <c r="Q198" s="20">
        <f t="shared" si="162"/>
        <v>41.499230205854936</v>
      </c>
      <c r="R198" s="59">
        <f t="shared" si="191"/>
        <v>331.81134932277342</v>
      </c>
      <c r="S198" s="59">
        <f ca="1">AVERAGE(OFFSET($R$3,0,0,'Données projet'!$E$9+1,1))-AVERAGE(OFFSET($H$3,0,0,'Données projet'!$E$9+1,1))</f>
        <v>567.42635821336114</v>
      </c>
      <c r="T198" s="59">
        <f t="shared" si="204"/>
        <v>299.0473530693472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78.010814694479407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78.010814694479407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475.00000000000023</v>
      </c>
      <c r="AJ198" s="13">
        <f>AI198*VLOOKUP('Données projet'!$B$10,Paramètres!$A$1:$I$89,3,0)*VLOOKUP('Données projet'!$B$10,Paramètres!$A$1:$I$89,5,0)</f>
        <v>407.5500000000003</v>
      </c>
      <c r="AK198" s="13">
        <f t="shared" si="164"/>
        <v>93.305642095357683</v>
      </c>
      <c r="AL198" s="20">
        <f t="shared" si="165"/>
        <v>872.32357664941526</v>
      </c>
      <c r="AM198" s="59">
        <f t="shared" si="193"/>
        <v>1162.6356957663338</v>
      </c>
      <c r="AN198" s="59">
        <f ca="1">AVERAGE(OFFSET($AM$3,0,0,'Données projet'!$E$10+1,1))-AVERAGE(OFFSET($H$3,0,0,'Données projet'!$E$10+1,1))</f>
        <v>570.05585579662738</v>
      </c>
      <c r="AO198" s="59">
        <f t="shared" si="205"/>
        <v>331.25104323342907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27.674755057239274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27.674755057239274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16.750000000000213</v>
      </c>
      <c r="BE198" s="13">
        <f>BD198*VLOOKUP('Données projet'!$B$11,Paramètres!$A$1:$I$89,3,0)*VLOOKUP('Données projet'!$B$11,Paramètres!$A$1:$I$89,5,0)</f>
        <v>14.11020000000018</v>
      </c>
      <c r="BF198" s="13">
        <f t="shared" si="167"/>
        <v>4.7783677814795205</v>
      </c>
      <c r="BG198" s="20">
        <f t="shared" si="168"/>
        <v>32.897588886077138</v>
      </c>
      <c r="BH198" s="59">
        <f t="shared" si="194"/>
        <v>323.20970800299563</v>
      </c>
      <c r="BI198" s="59">
        <f ca="1">AVERAGE(OFFSET($BH$3,0,0,'Données projet'!$E$11+1,1))-AVERAGE(OFFSET($H$3,0,0,'Données projet'!$E$11+1,1))</f>
        <v>458.88102603650725</v>
      </c>
      <c r="BJ198" s="59">
        <f t="shared" si="206"/>
        <v>277.79020316059552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43.62761405151457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43.62761405151457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19.8100000000004</v>
      </c>
      <c r="BZ198" s="13">
        <f>BY198*VLOOKUP('Données projet'!$B$12,Paramètres!$A$1:$I$89,3,0)*VLOOKUP('Données projet'!$B$12,Paramètres!$A$1:$I$89,5,0)</f>
        <v>18.851196000000382</v>
      </c>
      <c r="CA198" s="13">
        <f t="shared" si="170"/>
        <v>6.172221809210666</v>
      </c>
      <c r="CB198" s="20">
        <f t="shared" si="171"/>
        <v>43.582452684375909</v>
      </c>
      <c r="CC198" s="59">
        <f t="shared" si="195"/>
        <v>333.89457180129443</v>
      </c>
      <c r="CD198" s="59">
        <f ca="1">AVERAGE(OFFSET($CC$3,0,0,'Données projet'!$E$12+1,1))-AVERAGE(OFFSET($H$3,0,0,'Données projet'!$E$12+1,1))</f>
        <v>592.58528888957346</v>
      </c>
      <c r="CE198" s="59">
        <f t="shared" si="207"/>
        <v>311.31528017256846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82.045856833849015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82.045856833849015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0.8600000000003547</v>
      </c>
      <c r="CU198" s="17">
        <f>CT198*VLOOKUP('Données projet'!$B$13,Paramètres!$A$1:$I$89,3,0)*VLOOKUP('Données projet'!$B$13,Paramètres!$A$1:$I$89,5,0)</f>
        <v>0.48074000000019829</v>
      </c>
      <c r="CV198" s="13">
        <f t="shared" si="173"/>
        <v>0.24126147010950588</v>
      </c>
      <c r="CW198" s="20">
        <f t="shared" si="174"/>
        <v>1.2574858937744013</v>
      </c>
      <c r="CX198" s="59">
        <f t="shared" si="196"/>
        <v>291.5696050106929</v>
      </c>
      <c r="CY198" s="59">
        <f ca="1">AVERAGE(OFFSET($CX$3,0,0,'Données projet'!$E$13+1,1))-AVERAGE(OFFSET($H$3,0,0,'Données projet'!$E$13+1,1))</f>
        <v>420.4890915162182</v>
      </c>
      <c r="CZ198" s="59">
        <f t="shared" si="208"/>
        <v>553.48432338023565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23.236864669339813</v>
      </c>
      <c r="DG198" s="21">
        <f>EXP(-LN(2)/25)*DG197+(1-EXP(-LN(2)/25))/(LN(2)/25)*Calculateur!DB198*Calculateur!DD198*VLOOKUP('Données projet'!$B$13,Paramètres!$A$1:$I$89,3,0)*0.475*44/12</f>
        <v>0.52132181918027309</v>
      </c>
      <c r="DH198" s="21">
        <f>EXP(-LN(2)/2)*DH197+(1-EXP(-LN(2)/2))/(LN(2)/2)*DB198*DE198*VLOOKUP('Données projet'!$B$13,Paramètres!$A$1:$I$89,3,0)*0.475*44/12</f>
        <v>1.0819580803688898E-25</v>
      </c>
      <c r="DI198" s="22">
        <f t="shared" si="175"/>
        <v>23.758186488520085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19.8100000000004</v>
      </c>
      <c r="DP198" s="17">
        <f>DO198*VLOOKUP('Données projet'!$B$14,Paramètres!$A$1:$I$89,3,0)*VLOOKUP('Données projet'!$B$14,Paramètres!$A$1:$I$89,5,0)</f>
        <v>21.323484000000427</v>
      </c>
      <c r="DQ198" s="13">
        <f t="shared" si="176"/>
        <v>6.88226100850307</v>
      </c>
      <c r="DR198" s="20">
        <f t="shared" si="177"/>
        <v>49.125005889810261</v>
      </c>
      <c r="DS198" s="59">
        <f t="shared" si="197"/>
        <v>339.43712500672876</v>
      </c>
      <c r="DT198" s="59">
        <f ca="1">AVERAGE(OFFSET($DS$3,0,0,'Données projet'!$E$14+1,1))-AVERAGE(OFFSET($H$3,0,0,'Données projet'!$E$14+1,1))</f>
        <v>659.55755908012691</v>
      </c>
      <c r="DU198" s="59">
        <f t="shared" si="209"/>
        <v>343.96647464823627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92.805969205501285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92.805969205501285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19.8100000000004</v>
      </c>
      <c r="EK198" s="17">
        <f>EJ198*VLOOKUP('Données projet'!$B$15,Paramètres!$A$1:$I$89,3,0)*VLOOKUP('Données projet'!$B$15,Paramètres!$A$1:$I$89,5,0)</f>
        <v>19.160232000000388</v>
      </c>
      <c r="EL198" s="13">
        <f t="shared" si="179"/>
        <v>6.2615431735370342</v>
      </c>
      <c r="EM198" s="20">
        <f t="shared" si="180"/>
        <v>44.27625842724435</v>
      </c>
      <c r="EN198" s="59">
        <f t="shared" si="198"/>
        <v>334.58837754416282</v>
      </c>
      <c r="EO198" s="59">
        <f ca="1">AVERAGE(OFFSET($EN$3,0,0,'Données projet'!$E$15+1,1))-AVERAGE(OFFSET($H$3,0,0,'Données projet'!$E$15+1,1))</f>
        <v>600.96600099541388</v>
      </c>
      <c r="EP198" s="59">
        <f t="shared" si="210"/>
        <v>315.40159257508969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83.390870880305542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83.390870880305542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17.924088000000364</v>
      </c>
      <c r="P199" s="13">
        <f t="shared" si="203"/>
        <v>5.9032212091029486</v>
      </c>
      <c r="Q199" s="20">
        <f t="shared" si="162"/>
        <v>41.499230205854936</v>
      </c>
      <c r="R199" s="59">
        <f t="shared" si="191"/>
        <v>331.86376063500512</v>
      </c>
      <c r="S199" s="59">
        <f ca="1">AVERAGE(OFFSET($R$3,0,0,'Données projet'!$E$9+1,1))-AVERAGE(OFFSET($H$3,0,0,'Données projet'!$E$9+1,1))</f>
        <v>567.42635821336114</v>
      </c>
      <c r="T199" s="59">
        <f t="shared" si="204"/>
        <v>299.0473530693472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76.481070200219307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76.481070200219307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475.00000000000023</v>
      </c>
      <c r="AJ199" s="13">
        <f>AI199*VLOOKUP('Données projet'!$B$10,Paramètres!$A$1:$I$89,3,0)*VLOOKUP('Données projet'!$B$10,Paramètres!$A$1:$I$89,5,0)</f>
        <v>407.5500000000003</v>
      </c>
      <c r="AK199" s="13">
        <f t="shared" si="164"/>
        <v>93.305642095357683</v>
      </c>
      <c r="AL199" s="20">
        <f t="shared" si="165"/>
        <v>872.32357664941526</v>
      </c>
      <c r="AM199" s="59">
        <f t="shared" si="193"/>
        <v>1162.6881070785655</v>
      </c>
      <c r="AN199" s="59">
        <f ca="1">AVERAGE(OFFSET($AM$3,0,0,'Données projet'!$E$10+1,1))-AVERAGE(OFFSET($H$3,0,0,'Données projet'!$E$10+1,1))</f>
        <v>570.05585579662738</v>
      </c>
      <c r="AO199" s="59">
        <f t="shared" si="205"/>
        <v>331.25104323342907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27.132069990500643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27.132069990500643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16.750000000000213</v>
      </c>
      <c r="BE199" s="13">
        <f>BD199*VLOOKUP('Données projet'!$B$11,Paramètres!$A$1:$I$89,3,0)*VLOOKUP('Données projet'!$B$11,Paramètres!$A$1:$I$89,5,0)</f>
        <v>14.11020000000018</v>
      </c>
      <c r="BF199" s="13">
        <f t="shared" si="167"/>
        <v>4.7783677814795205</v>
      </c>
      <c r="BG199" s="20">
        <f t="shared" si="168"/>
        <v>32.897588886077138</v>
      </c>
      <c r="BH199" s="59">
        <f t="shared" si="194"/>
        <v>323.26211931522732</v>
      </c>
      <c r="BI199" s="59">
        <f ca="1">AVERAGE(OFFSET($BH$3,0,0,'Données projet'!$E$11+1,1))-AVERAGE(OFFSET($H$3,0,0,'Données projet'!$E$11+1,1))</f>
        <v>458.88102603650725</v>
      </c>
      <c r="BJ199" s="59">
        <f t="shared" si="206"/>
        <v>277.79020316059552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42.772103150181401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42.772103150181401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19.8100000000004</v>
      </c>
      <c r="BZ199" s="13">
        <f>BY199*VLOOKUP('Données projet'!$B$12,Paramètres!$A$1:$I$89,3,0)*VLOOKUP('Données projet'!$B$12,Paramètres!$A$1:$I$89,5,0)</f>
        <v>18.851196000000382</v>
      </c>
      <c r="CA199" s="13">
        <f t="shared" si="170"/>
        <v>6.172221809210666</v>
      </c>
      <c r="CB199" s="20">
        <f t="shared" si="171"/>
        <v>43.582452684375909</v>
      </c>
      <c r="CC199" s="59">
        <f t="shared" si="195"/>
        <v>333.94698311352613</v>
      </c>
      <c r="CD199" s="59">
        <f ca="1">AVERAGE(OFFSET($CC$3,0,0,'Données projet'!$E$12+1,1))-AVERAGE(OFFSET($H$3,0,0,'Données projet'!$E$12+1,1))</f>
        <v>592.58528888957346</v>
      </c>
      <c r="CE199" s="59">
        <f t="shared" si="207"/>
        <v>311.31528017256846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80.43698762436857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80.43698762436857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0.8600000000003547</v>
      </c>
      <c r="CU199" s="17">
        <f>CT199*VLOOKUP('Données projet'!$B$13,Paramètres!$A$1:$I$89,3,0)*VLOOKUP('Données projet'!$B$13,Paramètres!$A$1:$I$89,5,0)</f>
        <v>0.48074000000019829</v>
      </c>
      <c r="CV199" s="13">
        <f t="shared" si="173"/>
        <v>0.24126147010950588</v>
      </c>
      <c r="CW199" s="20">
        <f t="shared" si="174"/>
        <v>1.2574858937744013</v>
      </c>
      <c r="CX199" s="59">
        <f t="shared" si="196"/>
        <v>291.62201632292459</v>
      </c>
      <c r="CY199" s="59">
        <f ca="1">AVERAGE(OFFSET($CX$3,0,0,'Données projet'!$E$13+1,1))-AVERAGE(OFFSET($H$3,0,0,'Données projet'!$E$13+1,1))</f>
        <v>420.4890915162182</v>
      </c>
      <c r="CZ199" s="59">
        <f t="shared" si="208"/>
        <v>553.48432338023565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22.78120392626203</v>
      </c>
      <c r="DG199" s="21">
        <f>EXP(-LN(2)/25)*DG198+(1-EXP(-LN(2)/25))/(LN(2)/25)*Calculateur!DB199*Calculateur!DD199*VLOOKUP('Données projet'!$B$13,Paramètres!$A$1:$I$89,3,0)*0.475*44/12</f>
        <v>0.50706624661966559</v>
      </c>
      <c r="DH199" s="21">
        <f>EXP(-LN(2)/2)*DH198+(1-EXP(-LN(2)/2))/(LN(2)/2)*DB199*DE199*VLOOKUP('Données projet'!$B$13,Paramètres!$A$1:$I$89,3,0)*0.475*44/12</f>
        <v>7.6505989558842158E-26</v>
      </c>
      <c r="DI199" s="22">
        <f t="shared" si="175"/>
        <v>23.288270172881695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19.8100000000004</v>
      </c>
      <c r="DP199" s="17">
        <f>DO199*VLOOKUP('Données projet'!$B$14,Paramètres!$A$1:$I$89,3,0)*VLOOKUP('Données projet'!$B$14,Paramètres!$A$1:$I$89,5,0)</f>
        <v>21.323484000000427</v>
      </c>
      <c r="DQ199" s="13">
        <f t="shared" si="176"/>
        <v>6.88226100850307</v>
      </c>
      <c r="DR199" s="20">
        <f t="shared" si="177"/>
        <v>49.125005889810261</v>
      </c>
      <c r="DS199" s="59">
        <f t="shared" si="197"/>
        <v>339.48953631896046</v>
      </c>
      <c r="DT199" s="59">
        <f ca="1">AVERAGE(OFFSET($DS$3,0,0,'Données projet'!$E$14+1,1))-AVERAGE(OFFSET($H$3,0,0,'Données projet'!$E$14+1,1))</f>
        <v>659.55755908012691</v>
      </c>
      <c r="DU199" s="59">
        <f t="shared" si="209"/>
        <v>343.96647464823627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90.986100755433242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90.986100755433242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19.8100000000004</v>
      </c>
      <c r="EK199" s="17">
        <f>EJ199*VLOOKUP('Données projet'!$B$15,Paramètres!$A$1:$I$89,3,0)*VLOOKUP('Données projet'!$B$15,Paramètres!$A$1:$I$89,5,0)</f>
        <v>19.160232000000388</v>
      </c>
      <c r="EL199" s="13">
        <f t="shared" si="179"/>
        <v>6.2615431735370342</v>
      </c>
      <c r="EM199" s="20">
        <f t="shared" si="180"/>
        <v>44.27625842724435</v>
      </c>
      <c r="EN199" s="59">
        <f t="shared" si="198"/>
        <v>334.64078885639452</v>
      </c>
      <c r="EO199" s="59">
        <f ca="1">AVERAGE(OFFSET($EN$3,0,0,'Données projet'!$E$15+1,1))-AVERAGE(OFFSET($H$3,0,0,'Données projet'!$E$15+1,1))</f>
        <v>600.96600099541388</v>
      </c>
      <c r="EP199" s="59">
        <f t="shared" si="210"/>
        <v>315.40159257508969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81.755626765751643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81.755626765751643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17.924088000000364</v>
      </c>
      <c r="P200" s="13">
        <f t="shared" si="203"/>
        <v>5.9032212091029486</v>
      </c>
      <c r="Q200" s="20">
        <f t="shared" si="162"/>
        <v>41.499230205854936</v>
      </c>
      <c r="R200" s="59">
        <f t="shared" si="191"/>
        <v>331.91526272814372</v>
      </c>
      <c r="S200" s="59">
        <f ca="1">AVERAGE(OFFSET($R$3,0,0,'Données projet'!$E$9+1,1))-AVERAGE(OFFSET($H$3,0,0,'Données projet'!$E$9+1,1))</f>
        <v>567.42635821336114</v>
      </c>
      <c r="T200" s="59">
        <f t="shared" si="204"/>
        <v>299.0473530693472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74.981323062439643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74.981323062439643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475.00000000000023</v>
      </c>
      <c r="AJ200" s="13">
        <f>AI200*VLOOKUP('Données projet'!$B$10,Paramètres!$A$1:$I$89,3,0)*VLOOKUP('Données projet'!$B$10,Paramètres!$A$1:$I$89,5,0)</f>
        <v>407.5500000000003</v>
      </c>
      <c r="AK200" s="13">
        <f t="shared" si="164"/>
        <v>93.305642095357683</v>
      </c>
      <c r="AL200" s="20">
        <f t="shared" si="165"/>
        <v>872.32357664941526</v>
      </c>
      <c r="AM200" s="59">
        <f t="shared" si="193"/>
        <v>1162.7396091717042</v>
      </c>
      <c r="AN200" s="59">
        <f ca="1">AVERAGE(OFFSET($AM$3,0,0,'Données projet'!$E$10+1,1))-AVERAGE(OFFSET($H$3,0,0,'Données projet'!$E$10+1,1))</f>
        <v>570.05585579662738</v>
      </c>
      <c r="AO200" s="59">
        <f t="shared" si="205"/>
        <v>331.25104323342907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26.600026646915548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26.600026646915548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16.750000000000213</v>
      </c>
      <c r="BE200" s="13">
        <f>BD200*VLOOKUP('Données projet'!$B$11,Paramètres!$A$1:$I$89,3,0)*VLOOKUP('Données projet'!$B$11,Paramètres!$A$1:$I$89,5,0)</f>
        <v>14.11020000000018</v>
      </c>
      <c r="BF200" s="13">
        <f t="shared" si="167"/>
        <v>4.7783677814795205</v>
      </c>
      <c r="BG200" s="20">
        <f t="shared" si="168"/>
        <v>32.897588886077138</v>
      </c>
      <c r="BH200" s="59">
        <f t="shared" si="194"/>
        <v>323.31362140836592</v>
      </c>
      <c r="BI200" s="59">
        <f ca="1">AVERAGE(OFFSET($BH$3,0,0,'Données projet'!$E$11+1,1))-AVERAGE(OFFSET($H$3,0,0,'Données projet'!$E$11+1,1))</f>
        <v>458.88102603650725</v>
      </c>
      <c r="BJ200" s="59">
        <f t="shared" si="206"/>
        <v>277.79020316059552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41.933368295813246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41.933368295813246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19.8100000000004</v>
      </c>
      <c r="BZ200" s="13">
        <f>BY200*VLOOKUP('Données projet'!$B$12,Paramètres!$A$1:$I$89,3,0)*VLOOKUP('Données projet'!$B$12,Paramètres!$A$1:$I$89,5,0)</f>
        <v>18.851196000000382</v>
      </c>
      <c r="CA200" s="13">
        <f t="shared" si="170"/>
        <v>6.172221809210666</v>
      </c>
      <c r="CB200" s="20">
        <f t="shared" si="171"/>
        <v>43.582452684375909</v>
      </c>
      <c r="CC200" s="59">
        <f t="shared" si="195"/>
        <v>333.99848520666467</v>
      </c>
      <c r="CD200" s="59">
        <f ca="1">AVERAGE(OFFSET($CC$3,0,0,'Données projet'!$E$12+1,1))-AVERAGE(OFFSET($H$3,0,0,'Données projet'!$E$12+1,1))</f>
        <v>592.58528888957346</v>
      </c>
      <c r="CE200" s="59">
        <f t="shared" si="207"/>
        <v>311.31528017256846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78.859667358772711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78.859667358772711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0.8600000000003547</v>
      </c>
      <c r="CU200" s="17">
        <f>CT200*VLOOKUP('Données projet'!$B$13,Paramètres!$A$1:$I$89,3,0)*VLOOKUP('Données projet'!$B$13,Paramètres!$A$1:$I$89,5,0)</f>
        <v>0.48074000000019829</v>
      </c>
      <c r="CV200" s="13">
        <f t="shared" si="173"/>
        <v>0.24126147010950588</v>
      </c>
      <c r="CW200" s="20">
        <f t="shared" si="174"/>
        <v>1.2574858937744013</v>
      </c>
      <c r="CX200" s="59">
        <f t="shared" si="196"/>
        <v>291.67351841606319</v>
      </c>
      <c r="CY200" s="59">
        <f ca="1">AVERAGE(OFFSET($CX$3,0,0,'Données projet'!$E$13+1,1))-AVERAGE(OFFSET($H$3,0,0,'Données projet'!$E$13+1,1))</f>
        <v>420.4890915162182</v>
      </c>
      <c r="CZ200" s="59">
        <f t="shared" si="208"/>
        <v>553.48432338023565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22.334478412430393</v>
      </c>
      <c r="DG200" s="21">
        <f>EXP(-LN(2)/25)*DG199+(1-EXP(-LN(2)/25))/(LN(2)/25)*Calculateur!DB200*Calculateur!DD200*VLOOKUP('Données projet'!$B$13,Paramètres!$A$1:$I$89,3,0)*0.475*44/12</f>
        <v>0.49320049344039585</v>
      </c>
      <c r="DH200" s="21">
        <f>EXP(-LN(2)/2)*DH199+(1-EXP(-LN(2)/2))/(LN(2)/2)*DB200*DE200*VLOOKUP('Données projet'!$B$13,Paramètres!$A$1:$I$89,3,0)*0.475*44/12</f>
        <v>5.4097904018444489E-26</v>
      </c>
      <c r="DI200" s="22">
        <f t="shared" si="175"/>
        <v>22.827678905870787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19.8100000000004</v>
      </c>
      <c r="DP200" s="17">
        <f>DO200*VLOOKUP('Données projet'!$B$14,Paramètres!$A$1:$I$89,3,0)*VLOOKUP('Données projet'!$B$14,Paramètres!$A$1:$I$89,5,0)</f>
        <v>21.323484000000427</v>
      </c>
      <c r="DQ200" s="13">
        <f t="shared" si="176"/>
        <v>6.88226100850307</v>
      </c>
      <c r="DR200" s="20">
        <f t="shared" si="177"/>
        <v>49.125005889810261</v>
      </c>
      <c r="DS200" s="59">
        <f t="shared" si="197"/>
        <v>339.54103841209906</v>
      </c>
      <c r="DT200" s="59">
        <f ca="1">AVERAGE(OFFSET($DS$3,0,0,'Données projet'!$E$14+1,1))-AVERAGE(OFFSET($H$3,0,0,'Données projet'!$E$14+1,1))</f>
        <v>659.55755908012691</v>
      </c>
      <c r="DU200" s="59">
        <f t="shared" si="209"/>
        <v>343.96647464823627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89.201918815660875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89.201918815660875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19.8100000000004</v>
      </c>
      <c r="EK200" s="17">
        <f>EJ200*VLOOKUP('Données projet'!$B$15,Paramètres!$A$1:$I$89,3,0)*VLOOKUP('Données projet'!$B$15,Paramètres!$A$1:$I$89,5,0)</f>
        <v>19.160232000000388</v>
      </c>
      <c r="EL200" s="13">
        <f t="shared" si="179"/>
        <v>6.2615431735370342</v>
      </c>
      <c r="EM200" s="20">
        <f t="shared" si="180"/>
        <v>44.27625842724435</v>
      </c>
      <c r="EN200" s="59">
        <f t="shared" si="198"/>
        <v>334.69229094953312</v>
      </c>
      <c r="EO200" s="59">
        <f ca="1">AVERAGE(OFFSET($EN$3,0,0,'Données projet'!$E$15+1,1))-AVERAGE(OFFSET($H$3,0,0,'Données projet'!$E$15+1,1))</f>
        <v>600.96600099541388</v>
      </c>
      <c r="EP200" s="59">
        <f t="shared" si="210"/>
        <v>315.40159257508969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80.152448790883724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80.152448790883724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17.924088000000364</v>
      </c>
      <c r="P201" s="13">
        <f t="shared" si="203"/>
        <v>5.9032212091029486</v>
      </c>
      <c r="Q201" s="20">
        <f t="shared" si="162"/>
        <v>41.499230205854936</v>
      </c>
      <c r="R201" s="59">
        <f t="shared" si="191"/>
        <v>331.96587137510784</v>
      </c>
      <c r="S201" s="59">
        <f ca="1">AVERAGE(OFFSET($R$3,0,0,'Données projet'!$E$9+1,1))-AVERAGE(OFFSET($H$3,0,0,'Données projet'!$E$9+1,1))</f>
        <v>567.42635821336114</v>
      </c>
      <c r="T201" s="59">
        <f t="shared" si="204"/>
        <v>299.0473530693472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73.510985051276407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73.510985051276407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475.00000000000023</v>
      </c>
      <c r="AJ201" s="13">
        <f>AI201*VLOOKUP('Données projet'!$B$10,Paramètres!$A$1:$I$89,3,0)*VLOOKUP('Données projet'!$B$10,Paramètres!$A$1:$I$89,5,0)</f>
        <v>407.5500000000003</v>
      </c>
      <c r="AK201" s="13">
        <f t="shared" si="164"/>
        <v>93.305642095357683</v>
      </c>
      <c r="AL201" s="20">
        <f t="shared" si="165"/>
        <v>872.32357664941526</v>
      </c>
      <c r="AM201" s="59">
        <f t="shared" si="193"/>
        <v>1162.7902178186682</v>
      </c>
      <c r="AN201" s="59">
        <f ca="1">AVERAGE(OFFSET($AM$3,0,0,'Données projet'!$E$10+1,1))-AVERAGE(OFFSET($H$3,0,0,'Données projet'!$E$10+1,1))</f>
        <v>570.05585579662738</v>
      </c>
      <c r="AO201" s="59">
        <f t="shared" si="205"/>
        <v>331.25104323342907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26.078416348783762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26.078416348783762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16.750000000000213</v>
      </c>
      <c r="BE201" s="13">
        <f>BD201*VLOOKUP('Données projet'!$B$11,Paramètres!$A$1:$I$89,3,0)*VLOOKUP('Données projet'!$B$11,Paramètres!$A$1:$I$89,5,0)</f>
        <v>14.11020000000018</v>
      </c>
      <c r="BF201" s="13">
        <f t="shared" si="167"/>
        <v>4.7783677814795205</v>
      </c>
      <c r="BG201" s="20">
        <f t="shared" si="168"/>
        <v>32.897588886077138</v>
      </c>
      <c r="BH201" s="59">
        <f t="shared" si="194"/>
        <v>323.36423005533004</v>
      </c>
      <c r="BI201" s="59">
        <f ca="1">AVERAGE(OFFSET($BH$3,0,0,'Données projet'!$E$11+1,1))-AVERAGE(OFFSET($H$3,0,0,'Données projet'!$E$11+1,1))</f>
        <v>458.88102603650725</v>
      </c>
      <c r="BJ201" s="59">
        <f t="shared" si="206"/>
        <v>277.79020316059552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41.111080520361504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41.111080520361504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19.8100000000004</v>
      </c>
      <c r="BZ201" s="13">
        <f>BY201*VLOOKUP('Données projet'!$B$12,Paramètres!$A$1:$I$89,3,0)*VLOOKUP('Données projet'!$B$12,Paramètres!$A$1:$I$89,5,0)</f>
        <v>18.851196000000382</v>
      </c>
      <c r="CA201" s="13">
        <f t="shared" si="170"/>
        <v>6.172221809210666</v>
      </c>
      <c r="CB201" s="20">
        <f t="shared" si="171"/>
        <v>43.582452684375909</v>
      </c>
      <c r="CC201" s="59">
        <f t="shared" si="195"/>
        <v>334.04909385362885</v>
      </c>
      <c r="CD201" s="59">
        <f ca="1">AVERAGE(OFFSET($CC$3,0,0,'Données projet'!$E$12+1,1))-AVERAGE(OFFSET($H$3,0,0,'Données projet'!$E$12+1,1))</f>
        <v>592.58528888957346</v>
      </c>
      <c r="CE201" s="59">
        <f t="shared" si="207"/>
        <v>311.31528017256846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77.313277381514823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77.313277381514823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0.8600000000003547</v>
      </c>
      <c r="CU201" s="17">
        <f>CT201*VLOOKUP('Données projet'!$B$13,Paramètres!$A$1:$I$89,3,0)*VLOOKUP('Données projet'!$B$13,Paramètres!$A$1:$I$89,5,0)</f>
        <v>0.48074000000019829</v>
      </c>
      <c r="CV201" s="13">
        <f t="shared" si="173"/>
        <v>0.24126147010950588</v>
      </c>
      <c r="CW201" s="20">
        <f t="shared" si="174"/>
        <v>1.2574858937744013</v>
      </c>
      <c r="CX201" s="59">
        <f t="shared" si="196"/>
        <v>291.72412706302731</v>
      </c>
      <c r="CY201" s="59">
        <f ca="1">AVERAGE(OFFSET($CX$3,0,0,'Données projet'!$E$13+1,1))-AVERAGE(OFFSET($H$3,0,0,'Données projet'!$E$13+1,1))</f>
        <v>420.4890915162182</v>
      </c>
      <c r="CZ201" s="59">
        <f t="shared" si="208"/>
        <v>553.48432338023565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21.896512913449335</v>
      </c>
      <c r="DG201" s="21">
        <f>EXP(-LN(2)/25)*DG200+(1-EXP(-LN(2)/25))/(LN(2)/25)*Calculateur!DB201*Calculateur!DD201*VLOOKUP('Données projet'!$B$13,Paramètres!$A$1:$I$89,3,0)*0.475*44/12</f>
        <v>0.47971390001098152</v>
      </c>
      <c r="DH201" s="21">
        <f>EXP(-LN(2)/2)*DH200+(1-EXP(-LN(2)/2))/(LN(2)/2)*DB201*DE201*VLOOKUP('Données projet'!$B$13,Paramètres!$A$1:$I$89,3,0)*0.475*44/12</f>
        <v>3.8252994779421079E-26</v>
      </c>
      <c r="DI201" s="22">
        <f t="shared" si="175"/>
        <v>22.376226813460317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19.8100000000004</v>
      </c>
      <c r="DP201" s="17">
        <f>DO201*VLOOKUP('Données projet'!$B$14,Paramètres!$A$1:$I$89,3,0)*VLOOKUP('Données projet'!$B$14,Paramètres!$A$1:$I$89,5,0)</f>
        <v>21.323484000000427</v>
      </c>
      <c r="DQ201" s="13">
        <f t="shared" si="176"/>
        <v>6.88226100850307</v>
      </c>
      <c r="DR201" s="20">
        <f t="shared" si="177"/>
        <v>49.125005889810261</v>
      </c>
      <c r="DS201" s="59">
        <f t="shared" si="197"/>
        <v>339.59164705906318</v>
      </c>
      <c r="DT201" s="59">
        <f ca="1">AVERAGE(OFFSET($DS$3,0,0,'Données projet'!$E$14+1,1))-AVERAGE(OFFSET($H$3,0,0,'Données projet'!$E$14+1,1))</f>
        <v>659.55755908012691</v>
      </c>
      <c r="DU201" s="59">
        <f t="shared" si="209"/>
        <v>343.96647464823627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87.452723595483917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87.452723595483917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19.8100000000004</v>
      </c>
      <c r="EK201" s="17">
        <f>EJ201*VLOOKUP('Données projet'!$B$15,Paramètres!$A$1:$I$89,3,0)*VLOOKUP('Données projet'!$B$15,Paramètres!$A$1:$I$89,5,0)</f>
        <v>19.160232000000388</v>
      </c>
      <c r="EL201" s="13">
        <f t="shared" si="179"/>
        <v>6.2615431735370342</v>
      </c>
      <c r="EM201" s="20">
        <f t="shared" si="180"/>
        <v>44.27625842724435</v>
      </c>
      <c r="EN201" s="59">
        <f t="shared" si="198"/>
        <v>334.74289959649724</v>
      </c>
      <c r="EO201" s="59">
        <f ca="1">AVERAGE(OFFSET($EN$3,0,0,'Données projet'!$E$15+1,1))-AVERAGE(OFFSET($H$3,0,0,'Données projet'!$E$15+1,1))</f>
        <v>600.96600099541388</v>
      </c>
      <c r="EP201" s="59">
        <f t="shared" si="210"/>
        <v>315.40159257508969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78.580708158260947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78.580708158260947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17.924088000000364</v>
      </c>
      <c r="P202" s="13">
        <f t="shared" si="203"/>
        <v>5.9032212091029486</v>
      </c>
      <c r="Q202" s="20">
        <f t="shared" si="162"/>
        <v>41.499230205854936</v>
      </c>
      <c r="R202" s="59">
        <f t="shared" si="191"/>
        <v>332.01560207519105</v>
      </c>
      <c r="S202" s="59">
        <f ca="1">AVERAGE(OFFSET($R$3,0,0,'Données projet'!$E$9+1,1))-AVERAGE(OFFSET($H$3,0,0,'Données projet'!$E$9+1,1))</f>
        <v>567.42635821336114</v>
      </c>
      <c r="T202" s="59">
        <f t="shared" si="204"/>
        <v>299.0473530693472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72.06947947169445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72.06947947169445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475.00000000000023</v>
      </c>
      <c r="AJ202" s="13">
        <f>AI202*VLOOKUP('Données projet'!$B$10,Paramètres!$A$1:$I$89,3,0)*VLOOKUP('Données projet'!$B$10,Paramètres!$A$1:$I$89,5,0)</f>
        <v>407.5500000000003</v>
      </c>
      <c r="AK202" s="13">
        <f t="shared" si="164"/>
        <v>93.305642095357683</v>
      </c>
      <c r="AL202" s="20">
        <f t="shared" si="165"/>
        <v>872.32357664941526</v>
      </c>
      <c r="AM202" s="59">
        <f t="shared" si="193"/>
        <v>1162.8399485187515</v>
      </c>
      <c r="AN202" s="59">
        <f ca="1">AVERAGE(OFFSET($AM$3,0,0,'Données projet'!$E$10+1,1))-AVERAGE(OFFSET($H$3,0,0,'Données projet'!$E$10+1,1))</f>
        <v>570.05585579662738</v>
      </c>
      <c r="AO202" s="59">
        <f t="shared" si="205"/>
        <v>331.25104323342907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25.567034510447471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25.567034510447471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16.750000000000213</v>
      </c>
      <c r="BE202" s="13">
        <f>BD202*VLOOKUP('Données projet'!$B$11,Paramètres!$A$1:$I$89,3,0)*VLOOKUP('Données projet'!$B$11,Paramètres!$A$1:$I$89,5,0)</f>
        <v>14.11020000000018</v>
      </c>
      <c r="BF202" s="13">
        <f t="shared" si="167"/>
        <v>4.7783677814795205</v>
      </c>
      <c r="BG202" s="20">
        <f t="shared" si="168"/>
        <v>32.897588886077138</v>
      </c>
      <c r="BH202" s="59">
        <f t="shared" si="194"/>
        <v>323.41396075541326</v>
      </c>
      <c r="BI202" s="59">
        <f ca="1">AVERAGE(OFFSET($BH$3,0,0,'Données projet'!$E$11+1,1))-AVERAGE(OFFSET($H$3,0,0,'Données projet'!$E$11+1,1))</f>
        <v>458.88102603650725</v>
      </c>
      <c r="BJ202" s="59">
        <f t="shared" si="206"/>
        <v>277.79020316059552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40.304917306640355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40.304917306640355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19.8100000000004</v>
      </c>
      <c r="BZ202" s="13">
        <f>BY202*VLOOKUP('Données projet'!$B$12,Paramètres!$A$1:$I$89,3,0)*VLOOKUP('Données projet'!$B$12,Paramètres!$A$1:$I$89,5,0)</f>
        <v>18.851196000000382</v>
      </c>
      <c r="CA202" s="13">
        <f t="shared" si="170"/>
        <v>6.172221809210666</v>
      </c>
      <c r="CB202" s="20">
        <f t="shared" si="171"/>
        <v>43.582452684375909</v>
      </c>
      <c r="CC202" s="59">
        <f t="shared" si="195"/>
        <v>334.09882455371201</v>
      </c>
      <c r="CD202" s="59">
        <f ca="1">AVERAGE(OFFSET($CC$3,0,0,'Données projet'!$E$12+1,1))-AVERAGE(OFFSET($H$3,0,0,'Données projet'!$E$12+1,1))</f>
        <v>592.58528888957346</v>
      </c>
      <c r="CE202" s="59">
        <f t="shared" si="207"/>
        <v>311.31528017256846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75.797211168506209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75.797211168506209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0.8600000000003547</v>
      </c>
      <c r="CU202" s="17">
        <f>CT202*VLOOKUP('Données projet'!$B$13,Paramètres!$A$1:$I$89,3,0)*VLOOKUP('Données projet'!$B$13,Paramètres!$A$1:$I$89,5,0)</f>
        <v>0.48074000000019829</v>
      </c>
      <c r="CV202" s="13">
        <f t="shared" si="173"/>
        <v>0.24126147010950588</v>
      </c>
      <c r="CW202" s="20">
        <f t="shared" si="174"/>
        <v>1.2574858937744013</v>
      </c>
      <c r="CX202" s="59">
        <f t="shared" si="196"/>
        <v>291.77385776311053</v>
      </c>
      <c r="CY202" s="59">
        <f ca="1">AVERAGE(OFFSET($CX$3,0,0,'Données projet'!$E$13+1,1))-AVERAGE(OFFSET($H$3,0,0,'Données projet'!$E$13+1,1))</f>
        <v>420.4890915162182</v>
      </c>
      <c r="CZ202" s="59">
        <f t="shared" si="208"/>
        <v>553.48432338023565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21.467135650770718</v>
      </c>
      <c r="DG202" s="21">
        <f>EXP(-LN(2)/25)*DG201+(1-EXP(-LN(2)/25))/(LN(2)/25)*Calculateur!DB202*Calculateur!DD202*VLOOKUP('Données projet'!$B$13,Paramètres!$A$1:$I$89,3,0)*0.475*44/12</f>
        <v>0.46659609818812364</v>
      </c>
      <c r="DH202" s="21">
        <f>EXP(-LN(2)/2)*DH201+(1-EXP(-LN(2)/2))/(LN(2)/2)*DB202*DE202*VLOOKUP('Données projet'!$B$13,Paramètres!$A$1:$I$89,3,0)*0.475*44/12</f>
        <v>2.7048952009222245E-26</v>
      </c>
      <c r="DI202" s="22">
        <f t="shared" si="175"/>
        <v>21.933731748958841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19.8100000000004</v>
      </c>
      <c r="DP202" s="17">
        <f>DO202*VLOOKUP('Données projet'!$B$14,Paramètres!$A$1:$I$89,3,0)*VLOOKUP('Données projet'!$B$14,Paramètres!$A$1:$I$89,5,0)</f>
        <v>21.323484000000427</v>
      </c>
      <c r="DQ202" s="13">
        <f t="shared" si="176"/>
        <v>6.88226100850307</v>
      </c>
      <c r="DR202" s="20">
        <f t="shared" si="177"/>
        <v>49.125005889810261</v>
      </c>
      <c r="DS202" s="59">
        <f t="shared" si="197"/>
        <v>339.64137775914639</v>
      </c>
      <c r="DT202" s="59">
        <f ca="1">AVERAGE(OFFSET($DS$3,0,0,'Données projet'!$E$14+1,1))-AVERAGE(OFFSET($H$3,0,0,'Données projet'!$E$14+1,1))</f>
        <v>659.55755908012691</v>
      </c>
      <c r="DU202" s="59">
        <f t="shared" si="209"/>
        <v>343.96647464823627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85.737829026670894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85.737829026670894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19.8100000000004</v>
      </c>
      <c r="EK202" s="17">
        <f>EJ202*VLOOKUP('Données projet'!$B$15,Paramètres!$A$1:$I$89,3,0)*VLOOKUP('Données projet'!$B$15,Paramètres!$A$1:$I$89,5,0)</f>
        <v>19.160232000000388</v>
      </c>
      <c r="EL202" s="13">
        <f t="shared" si="179"/>
        <v>6.2615431735370342</v>
      </c>
      <c r="EM202" s="20">
        <f t="shared" si="180"/>
        <v>44.27625842724435</v>
      </c>
      <c r="EN202" s="59">
        <f t="shared" si="198"/>
        <v>334.79263029658046</v>
      </c>
      <c r="EO202" s="59">
        <f ca="1">AVERAGE(OFFSET($EN$3,0,0,'Données projet'!$E$15+1,1))-AVERAGE(OFFSET($H$3,0,0,'Données projet'!$E$15+1,1))</f>
        <v>600.96600099541388</v>
      </c>
      <c r="EP202" s="59">
        <f t="shared" si="210"/>
        <v>315.40159257508969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77.039788400776786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77.039788400776786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17.924088000000364</v>
      </c>
      <c r="P203" s="13">
        <f t="shared" si="203"/>
        <v>5.9032212091029486</v>
      </c>
      <c r="Q203" s="20">
        <f t="shared" si="162"/>
        <v>41.499230205854936</v>
      </c>
      <c r="R203" s="59">
        <f t="shared" si="191"/>
        <v>332.06447005880904</v>
      </c>
      <c r="S203" s="59">
        <f ca="1">AVERAGE(OFFSET($R$3,0,0,'Données projet'!$E$9+1,1))-AVERAGE(OFFSET($H$3,0,0,'Données projet'!$E$9+1,1))</f>
        <v>567.42635821336114</v>
      </c>
      <c r="T203" s="59">
        <f t="shared" si="204"/>
        <v>299.0473530693472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70.656240937296502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70.656240937296502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475.00000000000023</v>
      </c>
      <c r="AJ203" s="13">
        <f>AI203*VLOOKUP('Données projet'!$B$10,Paramètres!$A$1:$I$89,3,0)*VLOOKUP('Données projet'!$B$10,Paramètres!$A$1:$I$89,5,0)</f>
        <v>407.5500000000003</v>
      </c>
      <c r="AK203" s="13">
        <f t="shared" si="164"/>
        <v>93.305642095357683</v>
      </c>
      <c r="AL203" s="20">
        <f t="shared" si="165"/>
        <v>872.32357664941526</v>
      </c>
      <c r="AM203" s="59">
        <f t="shared" si="193"/>
        <v>1162.8888165023693</v>
      </c>
      <c r="AN203" s="59">
        <f ca="1">AVERAGE(OFFSET($AM$3,0,0,'Données projet'!$E$10+1,1))-AVERAGE(OFFSET($H$3,0,0,'Données projet'!$E$10+1,1))</f>
        <v>570.05585579662738</v>
      </c>
      <c r="AO203" s="59">
        <f t="shared" si="205"/>
        <v>331.25104323342907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25.065680558048832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25.065680558048832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16.750000000000213</v>
      </c>
      <c r="BE203" s="13">
        <f>BD203*VLOOKUP('Données projet'!$B$11,Paramètres!$A$1:$I$89,3,0)*VLOOKUP('Données projet'!$B$11,Paramètres!$A$1:$I$89,5,0)</f>
        <v>14.11020000000018</v>
      </c>
      <c r="BF203" s="13">
        <f t="shared" si="167"/>
        <v>4.7783677814795205</v>
      </c>
      <c r="BG203" s="20">
        <f t="shared" si="168"/>
        <v>32.897588886077138</v>
      </c>
      <c r="BH203" s="59">
        <f t="shared" si="194"/>
        <v>323.46282873903124</v>
      </c>
      <c r="BI203" s="59">
        <f ca="1">AVERAGE(OFFSET($BH$3,0,0,'Données projet'!$E$11+1,1))-AVERAGE(OFFSET($H$3,0,0,'Données projet'!$E$11+1,1))</f>
        <v>458.88102603650725</v>
      </c>
      <c r="BJ203" s="59">
        <f t="shared" si="206"/>
        <v>277.79020316059552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39.514562461829271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39.514562461829271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19.8100000000004</v>
      </c>
      <c r="BZ203" s="13">
        <f>BY203*VLOOKUP('Données projet'!$B$12,Paramètres!$A$1:$I$89,3,0)*VLOOKUP('Données projet'!$B$12,Paramètres!$A$1:$I$89,5,0)</f>
        <v>18.851196000000382</v>
      </c>
      <c r="CA203" s="13">
        <f t="shared" si="170"/>
        <v>6.172221809210666</v>
      </c>
      <c r="CB203" s="20">
        <f t="shared" si="171"/>
        <v>43.582452684375909</v>
      </c>
      <c r="CC203" s="59">
        <f t="shared" si="195"/>
        <v>334.14769253733004</v>
      </c>
      <c r="CD203" s="59">
        <f ca="1">AVERAGE(OFFSET($CC$3,0,0,'Données projet'!$E$12+1,1))-AVERAGE(OFFSET($H$3,0,0,'Données projet'!$E$12+1,1))</f>
        <v>592.58528888957346</v>
      </c>
      <c r="CE203" s="59">
        <f t="shared" si="207"/>
        <v>311.31528017256846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74.310874089225607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74.310874089225607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0.8600000000003547</v>
      </c>
      <c r="CU203" s="17">
        <f>CT203*VLOOKUP('Données projet'!$B$13,Paramètres!$A$1:$I$89,3,0)*VLOOKUP('Données projet'!$B$13,Paramètres!$A$1:$I$89,5,0)</f>
        <v>0.48074000000019829</v>
      </c>
      <c r="CV203" s="13">
        <f t="shared" si="173"/>
        <v>0.24126147010950588</v>
      </c>
      <c r="CW203" s="20">
        <f t="shared" si="174"/>
        <v>1.2574858937744013</v>
      </c>
      <c r="CX203" s="59">
        <f t="shared" si="196"/>
        <v>291.82272574672851</v>
      </c>
      <c r="CY203" s="59">
        <f ca="1">AVERAGE(OFFSET($CX$3,0,0,'Données projet'!$E$13+1,1))-AVERAGE(OFFSET($H$3,0,0,'Données projet'!$E$13+1,1))</f>
        <v>420.4890915162182</v>
      </c>
      <c r="CZ203" s="59">
        <f t="shared" si="208"/>
        <v>553.48432338023565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21.04617821431896</v>
      </c>
      <c r="DG203" s="21">
        <f>EXP(-LN(2)/25)*DG202+(1-EXP(-LN(2)/25))/(LN(2)/25)*Calculateur!DB203*Calculateur!DD203*VLOOKUP('Données projet'!$B$13,Paramètres!$A$1:$I$89,3,0)*0.475*44/12</f>
        <v>0.45383700334594701</v>
      </c>
      <c r="DH203" s="21">
        <f>EXP(-LN(2)/2)*DH202+(1-EXP(-LN(2)/2))/(LN(2)/2)*DB203*DE203*VLOOKUP('Données projet'!$B$13,Paramètres!$A$1:$I$89,3,0)*0.475*44/12</f>
        <v>1.9126497389710539E-26</v>
      </c>
      <c r="DI203" s="22">
        <f t="shared" si="175"/>
        <v>21.500015217664906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19.8100000000004</v>
      </c>
      <c r="DP203" s="17">
        <f>DO203*VLOOKUP('Données projet'!$B$14,Paramètres!$A$1:$I$89,3,0)*VLOOKUP('Données projet'!$B$14,Paramètres!$A$1:$I$89,5,0)</f>
        <v>21.323484000000427</v>
      </c>
      <c r="DQ203" s="13">
        <f t="shared" si="176"/>
        <v>6.88226100850307</v>
      </c>
      <c r="DR203" s="20">
        <f t="shared" si="177"/>
        <v>49.125005889810261</v>
      </c>
      <c r="DS203" s="59">
        <f t="shared" si="197"/>
        <v>339.69024574276438</v>
      </c>
      <c r="DT203" s="59">
        <f ca="1">AVERAGE(OFFSET($DS$3,0,0,'Données projet'!$E$14+1,1))-AVERAGE(OFFSET($H$3,0,0,'Données projet'!$E$14+1,1))</f>
        <v>659.55755908012691</v>
      </c>
      <c r="DU203" s="59">
        <f t="shared" si="209"/>
        <v>343.96647464823627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84.056562494369885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84.056562494369885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19.8100000000004</v>
      </c>
      <c r="EK203" s="17">
        <f>EJ203*VLOOKUP('Données projet'!$B$15,Paramètres!$A$1:$I$89,3,0)*VLOOKUP('Données projet'!$B$15,Paramètres!$A$1:$I$89,5,0)</f>
        <v>19.160232000000388</v>
      </c>
      <c r="EL203" s="13">
        <f t="shared" si="179"/>
        <v>6.2615431735370342</v>
      </c>
      <c r="EM203" s="20">
        <f t="shared" si="180"/>
        <v>44.27625842724435</v>
      </c>
      <c r="EN203" s="59">
        <f t="shared" si="198"/>
        <v>334.84149828019844</v>
      </c>
      <c r="EO203" s="59">
        <f ca="1">AVERAGE(OFFSET($EN$3,0,0,'Données projet'!$E$15+1,1))-AVERAGE(OFFSET($H$3,0,0,'Données projet'!$E$15+1,1))</f>
        <v>600.96600099541388</v>
      </c>
      <c r="EP203" s="59">
        <f t="shared" si="210"/>
        <v>315.40159257508969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75.529085139868641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75.529085139868641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1.1736311550444201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1.2229519710813024</v>
      </c>
      <c r="BA205" s="81">
        <f>EXP(LN('Données projet'!B88)/'Données projet'!A88)</f>
        <v>1.1727597515473569</v>
      </c>
      <c r="BV205" s="81">
        <f>EXP(LN('Données projet'!B114)/'Données projet'!A114)</f>
        <v>1.1736311550444201</v>
      </c>
      <c r="CQ205" s="81">
        <f>EXP(LN('Données projet'!B140)/'Données projet'!A140)</f>
        <v>1.3540417154604885</v>
      </c>
      <c r="DL205" s="81">
        <f>EXP(LN('Données projet'!B166)/'Données projet'!A166)</f>
        <v>1.1736311550444201</v>
      </c>
      <c r="EG205" s="81">
        <f>EXP(LN('Données projet'!B192)/'Données projet'!A192)</f>
        <v>1.1736311550444201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0.92307692307692313</v>
      </c>
      <c r="C6" s="145">
        <f ca="1">IF(OR('Données projet'!B9="",'Données projet'!C9="",'Données projet'!C9=0%),0,Calculateur!S3)</f>
        <v>567.42635821336114</v>
      </c>
      <c r="D6" s="145">
        <f>IF(OR('Données projet'!B9="",'Données projet'!C9="",'Données projet'!C9=0%),0,Calculateur!T3)</f>
        <v>299.0473530693472</v>
      </c>
      <c r="E6" s="145">
        <f ca="1">MIN(C6,D6)</f>
        <v>299.0473530693472</v>
      </c>
      <c r="F6" s="145">
        <f ca="1">E6*B6</f>
        <v>276.04371052555126</v>
      </c>
      <c r="G6" s="145">
        <f ca="1">F6*(100%-'Données projet'!$C$24)*(100%-'Données projet'!$C$25)*(100%-'Données projet'!$C$26)*(100%-'Données projet'!$C$27)</f>
        <v>248.43933947299615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248.43933947299615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Hêtre</v>
      </c>
      <c r="B7" s="152">
        <f>'Données projet'!D10</f>
        <v>0.92307692307692313</v>
      </c>
      <c r="C7" s="145">
        <f ca="1">IF(OR('Données projet'!B10="",'Données projet'!C10="",'Données projet'!C10=0%),0,Calculateur!AN3)</f>
        <v>570.05585579662738</v>
      </c>
      <c r="D7" s="145">
        <f>IF(OR('Données projet'!B10="",'Données projet'!C10="",'Données projet'!C10=0%),0,Calculateur!AO3)</f>
        <v>331.25104323342907</v>
      </c>
      <c r="E7" s="145">
        <f t="shared" ref="E7:E15" ca="1" si="0">MIN(C7,D7)</f>
        <v>331.25104323342907</v>
      </c>
      <c r="F7" s="145">
        <f t="shared" ref="F7:F15" ca="1" si="1">E7*B7</f>
        <v>305.77019375393456</v>
      </c>
      <c r="G7" s="145">
        <f ca="1">F7*(100%-'Données projet'!$C$24)*(100%-'Données projet'!$C$25)*(100%-'Données projet'!$C$26)*(100%-'Données projet'!$C$27)</f>
        <v>275.19317437854113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14.076923076923078</v>
      </c>
      <c r="K7" s="149">
        <f>J7*(100%-'Données projet'!$C$24)*(100%-'Données projet'!$C$25)*(100%-'Données projet'!$C$26)*(100%-'Données projet'!$C$27)</f>
        <v>12.66923076923077</v>
      </c>
      <c r="L7" s="150">
        <f t="shared" ref="L7:L15" ca="1" si="2">G7+I7+K7</f>
        <v>287.86240514777188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pédonculé</v>
      </c>
      <c r="B8" s="152">
        <f>'Données projet'!D11</f>
        <v>0.76923076923076938</v>
      </c>
      <c r="C8" s="145">
        <f ca="1">IF(OR('Données projet'!B11="",'Données projet'!C11="",'Données projet'!C11=0%),0,Calculateur!BI3)</f>
        <v>458.88102603650725</v>
      </c>
      <c r="D8" s="145">
        <f>IF(OR('Données projet'!B11="",'Données projet'!C11="",'Données projet'!C11=0%),0,Calculateur!BJ3)</f>
        <v>277.79020316059552</v>
      </c>
      <c r="E8" s="145">
        <f t="shared" ca="1" si="0"/>
        <v>277.79020316059552</v>
      </c>
      <c r="F8" s="145">
        <f t="shared" ca="1" si="1"/>
        <v>213.68477166199659</v>
      </c>
      <c r="G8" s="145">
        <f ca="1">F8*(100%-'Données projet'!$C$24)*(100%-'Données projet'!$C$25)*(100%-'Données projet'!$C$26)*(100%-'Données projet'!$C$27)</f>
        <v>192.31629449579694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192.31629449579694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Charme</v>
      </c>
      <c r="B9" s="152">
        <f>'Données projet'!D12</f>
        <v>0.15384615384615385</v>
      </c>
      <c r="C9" s="145">
        <f ca="1">IF(OR('Données projet'!B12="",'Données projet'!C12="",'Données projet'!C12=0%),0,Calculateur!CD3)</f>
        <v>592.58528888957346</v>
      </c>
      <c r="D9" s="145">
        <f>IF(OR('Données projet'!B12="",'Données projet'!C12="",'Données projet'!C12=0%),0,Calculateur!CE3)</f>
        <v>311.31528017256846</v>
      </c>
      <c r="E9" s="145">
        <f t="shared" ca="1" si="0"/>
        <v>311.31528017256846</v>
      </c>
      <c r="F9" s="145">
        <f t="shared" ca="1" si="1"/>
        <v>47.894658488087458</v>
      </c>
      <c r="G9" s="145">
        <f ca="1">F9*(100%-'Données projet'!$C$24)*(100%-'Données projet'!$C$25)*(100%-'Données projet'!$C$26)*(100%-'Données projet'!$C$27)</f>
        <v>43.105192639278712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43.105192639278712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Douglas</v>
      </c>
      <c r="B10" s="152">
        <f>'Données projet'!D13</f>
        <v>0.15384615384615385</v>
      </c>
      <c r="C10" s="145">
        <f ca="1">IF(OR('Données projet'!B13="",'Données projet'!C13="",'Données projet'!C13=0%),0,Calculateur!CY3)</f>
        <v>420.4890915162182</v>
      </c>
      <c r="D10" s="145">
        <f>IF(OR('Données projet'!B13="",'Données projet'!C13="",'Données projet'!C13=0%),0,Calculateur!CZ3)</f>
        <v>553.48432338023565</v>
      </c>
      <c r="E10" s="145">
        <f t="shared" ca="1" si="0"/>
        <v>420.4890915162182</v>
      </c>
      <c r="F10" s="145">
        <f t="shared" ca="1" si="1"/>
        <v>64.690629464033577</v>
      </c>
      <c r="G10" s="145">
        <f ca="1">F10*(100%-'Données projet'!$C$24)*(100%-'Données projet'!$C$25)*(100%-'Données projet'!$C$26)*(100%-'Données projet'!$C$27)</f>
        <v>58.221566517630222</v>
      </c>
      <c r="H10" s="153">
        <f>IF(OR('Données projet'!B13="",'Données projet'!C13="",'Données projet'!C13=0%),0,AVERAGE(Calculateur!$DI$3:$DI$33)*B10)</f>
        <v>1.6251582302800558</v>
      </c>
      <c r="I10" s="147">
        <f>H10*(100%-'Données projet'!$C$24)*(100%-'Données projet'!$C$25)*(100%-'Données projet'!$C$26)*(100%-'Données projet'!$C$27)</f>
        <v>1.4626424072520503</v>
      </c>
      <c r="J10" s="148">
        <f>IF(OR('Données projet'!B13="",'Données projet'!C13="",'Données projet'!C13=0%),0,SUM(Calculateur!$DB$3:$DB$33)*VLOOKUP('Données projet'!$B$13,Paramètres!$A$1:$I$89,9,0)*B10)</f>
        <v>13.705753846153847</v>
      </c>
      <c r="K10" s="149">
        <f>J10*(100%-'Données projet'!$C$24)*(100%-'Données projet'!$C$25)*(100%-'Données projet'!$C$26)*(100%-'Données projet'!$C$27)</f>
        <v>12.335178461538463</v>
      </c>
      <c r="L10" s="150">
        <f t="shared" ca="1" si="2"/>
        <v>72.019387386420732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Cormier</v>
      </c>
      <c r="B11" s="152">
        <f>'Données projet'!D14</f>
        <v>3.8461538461538464E-2</v>
      </c>
      <c r="C11" s="145">
        <f ca="1">IF(OR('Données projet'!B14="",'Données projet'!C14="",'Données projet'!C14=0%),0,Calculateur!DT3)</f>
        <v>659.55755908012691</v>
      </c>
      <c r="D11" s="145">
        <f>IF(OR('Données projet'!B14="",'Données projet'!C14="",'Données projet'!C14=0%),0,Calculateur!DU3)</f>
        <v>343.96647464823627</v>
      </c>
      <c r="E11" s="145">
        <f t="shared" ca="1" si="0"/>
        <v>343.96647464823627</v>
      </c>
      <c r="F11" s="145">
        <f t="shared" ca="1" si="1"/>
        <v>13.229479794162934</v>
      </c>
      <c r="G11" s="145">
        <f ca="1">F11*(100%-'Données projet'!$C$24)*(100%-'Données projet'!$C$25)*(100%-'Données projet'!$C$26)*(100%-'Données projet'!$C$27)</f>
        <v>11.906531814746641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ca="1" si="2"/>
        <v>11.906531814746641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Alisier torminal</v>
      </c>
      <c r="B12" s="152">
        <f>'Données projet'!D15</f>
        <v>3.8461538461538464E-2</v>
      </c>
      <c r="C12" s="145">
        <f ca="1">IF(OR('Données projet'!B15="",'Données projet'!C15="",'Données projet'!C15=0%),0,Calculateur!EO3)</f>
        <v>600.96600099541388</v>
      </c>
      <c r="D12" s="145">
        <f>IF(OR('Données projet'!B15="",'Données projet'!C15="",'Données projet'!C15=0%),0,Calculateur!EP3)</f>
        <v>315.40159257508969</v>
      </c>
      <c r="E12" s="145">
        <f t="shared" ca="1" si="0"/>
        <v>315.40159257508969</v>
      </c>
      <c r="F12" s="145">
        <f t="shared" ca="1" si="1"/>
        <v>12.130830483657297</v>
      </c>
      <c r="G12" s="145">
        <f ca="1">F12*(100%-'Données projet'!$C$24)*(100%-'Données projet'!$C$25)*(100%-'Données projet'!$C$26)*(100%-'Données projet'!$C$27)</f>
        <v>10.917747435291567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ca="1" si="2"/>
        <v>10.917747435291567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933.44427417142356</v>
      </c>
      <c r="G16" s="164">
        <f t="shared" ca="1" si="3"/>
        <v>840.0998467542812</v>
      </c>
      <c r="H16" s="165">
        <f t="shared" si="3"/>
        <v>1.6251582302800558</v>
      </c>
      <c r="I16" s="165">
        <f t="shared" si="3"/>
        <v>1.4626424072520503</v>
      </c>
      <c r="J16" s="166">
        <f t="shared" si="3"/>
        <v>27.782676923076927</v>
      </c>
      <c r="K16" s="166">
        <f t="shared" si="3"/>
        <v>25.004409230769234</v>
      </c>
      <c r="L16" s="167">
        <f t="shared" ca="1" si="3"/>
        <v>866.56689839230239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Hêtre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pédonculé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Douglas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6" zoomScale="90" zoomScaleNormal="90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-3092.47</v>
      </c>
      <c r="U10" s="176">
        <f>'Données projet'!D9</f>
        <v>0.92307692307692313</v>
      </c>
      <c r="V10" s="175">
        <f>U10*T10</f>
        <v>-2854.5876923076921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Hêtre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-2566.1949918588234</v>
      </c>
      <c r="U11" s="176">
        <f>'Données projet'!D10</f>
        <v>0.92307692307692313</v>
      </c>
      <c r="V11" s="175">
        <f t="shared" ref="V11" si="0">U11*T11</f>
        <v>-2368.7953771004527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pédonculé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-3063.87</v>
      </c>
      <c r="U12" s="176">
        <f>'Données projet'!D11</f>
        <v>0.76923076923076938</v>
      </c>
      <c r="V12" s="175">
        <f t="shared" ref="V12:V19" si="1">U12*T12</f>
        <v>-2356.8230769230772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Charme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-2477.5700000000002</v>
      </c>
      <c r="U13" s="176">
        <f>'Données projet'!D12</f>
        <v>0.15384615384615385</v>
      </c>
      <c r="V13" s="175">
        <f t="shared" si="1"/>
        <v>-381.16461538461544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Douglas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-1219.7800546395197</v>
      </c>
      <c r="U14" s="176">
        <f>'Données projet'!D13</f>
        <v>0.15384615384615385</v>
      </c>
      <c r="V14" s="175">
        <f t="shared" si="1"/>
        <v>-187.65846994454151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Cormier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-5409.07</v>
      </c>
      <c r="U15" s="176">
        <f>'Données projet'!D14</f>
        <v>3.8461538461538464E-2</v>
      </c>
      <c r="V15" s="175">
        <f t="shared" si="1"/>
        <v>-208.04115384615383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>Alisier torminal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-4250.777</v>
      </c>
      <c r="U16" s="176">
        <f>'Données projet'!D15</f>
        <v>3.8461538461538464E-2</v>
      </c>
      <c r="V16" s="175">
        <f t="shared" si="1"/>
        <v>-163.4914230769231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3092.47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3416.62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-18770.421808583458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35</v>
      </c>
      <c r="B24" s="179">
        <f>'Données projet'!D37</f>
        <v>69.58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31738.772239202364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41</v>
      </c>
      <c r="B25" s="179">
        <f>'Données projet'!D38</f>
        <v>47.41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500</v>
      </c>
      <c r="Q25" s="232"/>
      <c r="R25" s="23"/>
      <c r="S25" s="184" t="s">
        <v>266</v>
      </c>
      <c r="T25" s="308">
        <f ca="1">T23-T24</f>
        <v>-50509.194047785822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48</v>
      </c>
      <c r="B26" s="179">
        <f>'Données projet'!D39</f>
        <v>61.12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55</v>
      </c>
      <c r="B27" s="179">
        <f>'Données projet'!D40</f>
        <v>58.24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63</v>
      </c>
      <c r="B28" s="179">
        <f>'Données projet'!D41</f>
        <v>54.21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71</v>
      </c>
      <c r="B29" s="179">
        <f>'Données projet'!D42</f>
        <v>52.07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80</v>
      </c>
      <c r="B30" s="179">
        <f>'Données projet'!D43</f>
        <v>59.57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10579.590746400789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89</v>
      </c>
      <c r="B31" s="179">
        <f>'Données projet'!D44</f>
        <v>64.5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99</v>
      </c>
      <c r="B32" s="179">
        <f>'Données projet'!D45</f>
        <v>62.94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109</v>
      </c>
      <c r="B33" s="179">
        <f>'Données projet'!D46</f>
        <v>66.959999999999994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500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119</v>
      </c>
      <c r="B34" s="179">
        <f>'Données projet'!D47</f>
        <v>196.46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478.46889952153111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123</v>
      </c>
      <c r="B35" s="179">
        <f>'Données projet'!D48</f>
        <v>100.6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457.86497561869015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127</v>
      </c>
      <c r="B36" s="179">
        <f>'Données projet'!D49</f>
        <v>65.02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438.14830202745469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131</v>
      </c>
      <c r="B37" s="179">
        <f>'Données projet'!D50</f>
        <v>143.84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419.28067179660746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401.22552325034206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383.94786913908342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367.41422884122812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351.59256348442892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336.45221386069755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321.96384101502161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308.09936939236519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Hêtre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294.83193243288542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282.13582050993818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269.98643110998876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2706.37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258.36022115788398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247.23466139510438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236.58819272258791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226.40018442352914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216.65089418519537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207.32142984229228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0</v>
      </c>
      <c r="C54" s="189">
        <v>15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198.39371276774378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26</v>
      </c>
      <c r="C55" s="189">
        <v>15</v>
      </c>
      <c r="D55" s="177">
        <f t="shared" ref="D55:D73" si="4">B55*C55</f>
        <v>390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189.85044283994625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35</v>
      </c>
      <c r="C56" s="189">
        <v>15</v>
      </c>
      <c r="D56" s="177">
        <f t="shared" si="4"/>
        <v>525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181.67506491860885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35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173.85173676421903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35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166.3652983389656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35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159.2012424296322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35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152.34568653553319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35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145.78534596701746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35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139.50750810240902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35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133.50000775350151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35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127.75120359186744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35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122.24995559030384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34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116.98560343569747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85</v>
      </c>
      <c r="B67" s="179">
        <f>'Données projet'!D75</f>
        <v>33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111.94794587148084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90</v>
      </c>
      <c r="B68" s="179">
        <f>'Données projet'!D76</f>
        <v>31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107.12722092964674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95</v>
      </c>
      <c r="B69" s="179">
        <f>'Données projet'!D77</f>
        <v>30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102.51408701401604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100</v>
      </c>
      <c r="B70" s="179">
        <f>'Données projet'!D78</f>
        <v>29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98.099604798101481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105</v>
      </c>
      <c r="B71" s="179">
        <f>'Données projet'!D79</f>
        <v>28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93.875219902489462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110</v>
      </c>
      <c r="B72" s="179">
        <f>'Données projet'!D80</f>
        <v>27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89.832746318171743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115</v>
      </c>
      <c r="B73" s="179">
        <f>'Données projet'!D81</f>
        <v>26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85.964350543705038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82.262536405459372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78.720130531540079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pédonculé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75.330268451234531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72.08638129304741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68.98218305554775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3063.87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66.011658426361507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63.169051125704783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60.448852751870632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57.845792107053235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55.354824982826074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52.971124385479499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50.690071182277045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31</v>
      </c>
      <c r="B86" s="179">
        <f>'Données projet'!D89</f>
        <v>63.58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48.507245150504346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37</v>
      </c>
      <c r="B87" s="179">
        <f>'Données projet'!D90</f>
        <v>41.18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46.4184164119659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44</v>
      </c>
      <c r="B88" s="179">
        <f>'Données projet'!D91</f>
        <v>52.08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str">
        <f>IF(O87+1&lt;=MIN('Données projet'!$E$9:$E$18),O87+1,"STOP")</f>
        <v>STOP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51</v>
      </c>
      <c r="B89" s="179">
        <f>'Données projet'!D92</f>
        <v>50.63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58</v>
      </c>
      <c r="B90" s="179">
        <f>'Données projet'!D93</f>
        <v>48.81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65</v>
      </c>
      <c r="B91" s="179">
        <f>'Données projet'!D94</f>
        <v>50.87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72</v>
      </c>
      <c r="B92" s="179">
        <f>'Données projet'!D95</f>
        <v>58.96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81</v>
      </c>
      <c r="B93" s="179">
        <f>'Données projet'!D96</f>
        <v>77.44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90</v>
      </c>
      <c r="B94" s="179">
        <f>'Données projet'!D97</f>
        <v>78.34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99</v>
      </c>
      <c r="B95" s="179">
        <f>'Données projet'!D98</f>
        <v>198.88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101</v>
      </c>
      <c r="B96" s="179">
        <f>'Données projet'!D99</f>
        <v>72.569999999999993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103</v>
      </c>
      <c r="B97" s="179">
        <f>'Données projet'!D100</f>
        <v>51.31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106</v>
      </c>
      <c r="B98" s="179">
        <f>'Données projet'!D101</f>
        <v>114.71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Charme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2477.5700000000002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35</v>
      </c>
      <c r="B117" s="179">
        <f>'Données projet'!D115</f>
        <v>69.58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41</v>
      </c>
      <c r="B118" s="179">
        <f>'Données projet'!D116</f>
        <v>47.41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48</v>
      </c>
      <c r="B119" s="179">
        <f>'Données projet'!D117</f>
        <v>61.12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55</v>
      </c>
      <c r="B120" s="179">
        <f>'Données projet'!D118</f>
        <v>58.24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63</v>
      </c>
      <c r="B121" s="179">
        <f>'Données projet'!D119</f>
        <v>54.21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71</v>
      </c>
      <c r="B122" s="179">
        <f>'Données projet'!D120</f>
        <v>52.07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80</v>
      </c>
      <c r="B123" s="179">
        <f>'Données projet'!D121</f>
        <v>59.57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89</v>
      </c>
      <c r="B124" s="179">
        <f>'Données projet'!D122</f>
        <v>64.5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99</v>
      </c>
      <c r="B125" s="179">
        <f>'Données projet'!D123</f>
        <v>62.94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109</v>
      </c>
      <c r="B126" s="179">
        <f>'Données projet'!D124</f>
        <v>66.959999999999994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119</v>
      </c>
      <c r="B127" s="179">
        <f>'Données projet'!D125</f>
        <v>196.46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123</v>
      </c>
      <c r="B128" s="179">
        <f>'Données projet'!D126</f>
        <v>100.6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127</v>
      </c>
      <c r="B129" s="179">
        <f>'Données projet'!D127</f>
        <v>65.02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131</v>
      </c>
      <c r="B130" s="179">
        <f>'Données projet'!D128</f>
        <v>143.84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Douglas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2320.27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17</v>
      </c>
      <c r="B147" s="173">
        <f>'Données projet'!D140</f>
        <v>0</v>
      </c>
      <c r="C147" s="189">
        <v>15</v>
      </c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18</v>
      </c>
      <c r="B148" s="173">
        <f>'Données projet'!D141</f>
        <v>74.819999999999993</v>
      </c>
      <c r="C148" s="189">
        <v>15</v>
      </c>
      <c r="D148" s="180">
        <f t="shared" ref="D148:D166" si="10">B148*C148</f>
        <v>1122.3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24</v>
      </c>
      <c r="B149" s="173">
        <f>'Données projet'!D142</f>
        <v>51.39</v>
      </c>
      <c r="C149" s="189">
        <v>15</v>
      </c>
      <c r="D149" s="180">
        <f t="shared" si="10"/>
        <v>770.85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3">
        <f>'Données projet'!D143</f>
        <v>80.97</v>
      </c>
      <c r="C150" s="189">
        <v>15</v>
      </c>
      <c r="D150" s="180">
        <f t="shared" si="10"/>
        <v>1214.55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36</v>
      </c>
      <c r="B151" s="173">
        <f>'Données projet'!D144</f>
        <v>85.88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42</v>
      </c>
      <c r="B152" s="173">
        <f>'Données projet'!D145</f>
        <v>91.25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48</v>
      </c>
      <c r="B153" s="173">
        <f>'Données projet'!D146</f>
        <v>101.34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54</v>
      </c>
      <c r="B154" s="173">
        <f>'Données projet'!D147</f>
        <v>707.75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Cormier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5409.07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30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35</v>
      </c>
      <c r="B179" s="179">
        <f>'Données projet'!D167</f>
        <v>69.58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41</v>
      </c>
      <c r="B180" s="179">
        <f>'Données projet'!D168</f>
        <v>47.41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48</v>
      </c>
      <c r="B181" s="179">
        <f>'Données projet'!D169</f>
        <v>61.12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55</v>
      </c>
      <c r="B182" s="179">
        <f>'Données projet'!D170</f>
        <v>58.24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63</v>
      </c>
      <c r="B183" s="179">
        <f>'Données projet'!D171</f>
        <v>54.21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71</v>
      </c>
      <c r="B184" s="179">
        <f>'Données projet'!D172</f>
        <v>52.07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80</v>
      </c>
      <c r="B185" s="179">
        <f>'Données projet'!D173</f>
        <v>59.57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89</v>
      </c>
      <c r="B186" s="179">
        <f>'Données projet'!D174</f>
        <v>64.5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99</v>
      </c>
      <c r="B187" s="179">
        <f>'Données projet'!D175</f>
        <v>62.94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109</v>
      </c>
      <c r="B188" s="179">
        <f>'Données projet'!D176</f>
        <v>66.959999999999994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119</v>
      </c>
      <c r="B189" s="179">
        <f>'Données projet'!D177</f>
        <v>196.46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123</v>
      </c>
      <c r="B190" s="179">
        <f>'Données projet'!D178</f>
        <v>100.6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127</v>
      </c>
      <c r="B191" s="179">
        <f>'Données projet'!D179</f>
        <v>65.02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131</v>
      </c>
      <c r="B192" s="179">
        <f>'Données projet'!D180</f>
        <v>143.84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Alisier torminal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4250.777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30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35</v>
      </c>
      <c r="B210" s="179">
        <f>'Données projet'!D193</f>
        <v>69.58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41</v>
      </c>
      <c r="B211" s="179">
        <f>'Données projet'!D194</f>
        <v>47.41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48</v>
      </c>
      <c r="B212" s="179">
        <f>'Données projet'!D195</f>
        <v>61.12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55</v>
      </c>
      <c r="B213" s="179">
        <f>'Données projet'!D196</f>
        <v>58.24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63</v>
      </c>
      <c r="B214" s="179">
        <f>'Données projet'!D197</f>
        <v>54.21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71</v>
      </c>
      <c r="B215" s="179">
        <f>'Données projet'!D198</f>
        <v>52.07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80</v>
      </c>
      <c r="B216" s="179">
        <f>'Données projet'!D199</f>
        <v>59.57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89</v>
      </c>
      <c r="B217" s="179">
        <f>'Données projet'!D200</f>
        <v>64.5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99</v>
      </c>
      <c r="B218" s="179">
        <f>'Données projet'!D201</f>
        <v>62.94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109</v>
      </c>
      <c r="B219" s="179">
        <f>'Données projet'!D202</f>
        <v>66.959999999999994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119</v>
      </c>
      <c r="B220" s="179">
        <f>'Données projet'!D203</f>
        <v>196.46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123</v>
      </c>
      <c r="B221" s="179">
        <f>'Données projet'!D204</f>
        <v>100.6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127</v>
      </c>
      <c r="B222" s="179">
        <f>'Données projet'!D205</f>
        <v>65.02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131</v>
      </c>
      <c r="B223" s="179">
        <f>'Données projet'!D206</f>
        <v>143.84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2889.333333333333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>
        <v>15</v>
      </c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>
        <v>15</v>
      </c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>
        <v>15</v>
      </c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>
        <v>15</v>
      </c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>
        <v>15</v>
      </c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2962.6666666666665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>
        <v>15</v>
      </c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>
        <v>15</v>
      </c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>
        <v>15</v>
      </c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>
        <v>15</v>
      </c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>
        <v>15</v>
      </c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2024-05-14T14:18:20Z</dcterms:modified>
</cp:coreProperties>
</file>