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_Baugé-en-Anjou (49)\Dossier d_instruction\"/>
    </mc:Choice>
  </mc:AlternateContent>
  <xr:revisionPtr revIDLastSave="0" documentId="13_ncr:1_{64ADF8ED-CD4B-48C7-9A53-25EA26A00AE8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<sst xmlns="http://schemas.openxmlformats.org/spreadsheetml/2006/main" count="1173" uniqueCount="325">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</sst>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2.9974315763059121</c:v>
                </c:pt>
                <c:pt idx="2">
                  <c:v>3.4845337529671969</c:v>
                </c:pt>
                <c:pt idx="3">
                  <c:v>4.0510782789769495</c:v>
                </c:pt>
                <c:pt idx="4">
                  <c:v>4.710065438094821</c:v>
                </c:pt>
                <c:pt idx="5">
                  <c:v>5.476629669407739</c:v>
                </c:pt>
                <c:pt idx="6">
                  <c:v>6.3683909445411908</c:v>
                </c:pt>
                <c:pt idx="7">
                  <c:v>7.4058641541603079</c:v>
                </c:pt>
                <c:pt idx="8">
                  <c:v>8.6129361044315829</c:v>
                </c:pt>
                <c:pt idx="9">
                  <c:v>10.017421316663141</c:v>
                </c:pt>
                <c:pt idx="10">
                  <c:v>11.65170968060495</c:v>
                </c:pt>
                <c:pt idx="11">
                  <c:v>13.553521177953826</c:v>
                </c:pt>
                <c:pt idx="12">
                  <c:v>15.766785418909523</c:v>
                </c:pt>
                <c:pt idx="13">
                  <c:v>18.342666681188227</c:v>
                </c:pt>
                <c:pt idx="14">
                  <c:v>21.340758577754681</c:v>
                </c:pt>
                <c:pt idx="15">
                  <c:v>24.830476488412277</c:v>
                </c:pt>
                <c:pt idx="16">
                  <c:v>28.892680566663927</c:v>
                </c:pt>
                <c:pt idx="17">
                  <c:v>33.621567588223691</c:v>
                </c:pt>
                <c:pt idx="18">
                  <c:v>39.126876271110284</c:v>
                </c:pt>
                <c:pt idx="19">
                  <c:v>45.536458120973201</c:v>
                </c:pt>
                <c:pt idx="20">
                  <c:v>52.999274516109828</c:v>
                </c:pt>
                <c:pt idx="21">
                  <c:v>61.68889085100674</c:v>
                </c:pt>
                <c:pt idx="22">
                  <c:v>71.807550346181259</c:v>
                </c:pt>
                <c:pt idx="23">
                  <c:v>83.590923886895695</c:v>
                </c:pt>
                <c:pt idx="24">
                  <c:v>97.313648302293402</c:v>
                </c:pt>
                <c:pt idx="25">
                  <c:v>113.29578422289764</c:v>
                </c:pt>
                <c:pt idx="26">
                  <c:v>131.91034650556398</c:v>
                </c:pt>
                <c:pt idx="27">
                  <c:v>153.59208571306985</c:v>
                </c:pt>
                <c:pt idx="28">
                  <c:v>178.84772889012743</c:v>
                </c:pt>
                <c:pt idx="29">
                  <c:v>208.26792260030109</c:v>
                </c:pt>
                <c:pt idx="30">
                  <c:v>242.5411617098018</c:v>
                </c:pt>
                <c:pt idx="31">
                  <c:v>277.73716654340029</c:v>
                </c:pt>
                <c:pt idx="32">
                  <c:v>312.83300283690465</c:v>
                </c:pt>
                <c:pt idx="33">
                  <c:v>347.84148148467608</c:v>
                </c:pt>
                <c:pt idx="34">
                  <c:v>382.77262197501381</c:v>
                </c:pt>
                <c:pt idx="35">
                  <c:v>335.9459310160268</c:v>
                </c:pt>
                <c:pt idx="36">
                  <c:v>365.81808023408945</c:v>
                </c:pt>
                <c:pt idx="37">
                  <c:v>395.63696922227473</c:v>
                </c:pt>
                <c:pt idx="38">
                  <c:v>425.40717182534786</c:v>
                </c:pt>
                <c:pt idx="39">
                  <c:v>455.1325698964809</c:v>
                </c:pt>
                <c:pt idx="40">
                  <c:v>484.81649727393921</c:v>
                </c:pt>
                <c:pt idx="41">
                  <c:v>514.46184664306247</c:v>
                </c:pt>
                <c:pt idx="42">
                  <c:v>544.07115048057574</c:v>
                </c:pt>
                <c:pt idx="43">
                  <c:v>455.15947093628557</c:v>
                </c:pt>
                <c:pt idx="44">
                  <c:v>485.30005980052869</c:v>
                </c:pt>
                <c:pt idx="45">
                  <c:v>515.40091802859536</c:v>
                </c:pt>
                <c:pt idx="46">
                  <c:v>545.46468894348254</c:v>
                </c:pt>
                <c:pt idx="47">
                  <c:v>575.49370107238622</c:v>
                </c:pt>
                <c:pt idx="48">
                  <c:v>605.4900204321973</c:v>
                </c:pt>
                <c:pt idx="49">
                  <c:v>635.45549192014289</c:v>
                </c:pt>
                <c:pt idx="50">
                  <c:v>665.39177249628278</c:v>
                </c:pt>
                <c:pt idx="51">
                  <c:v>551.89544005164078</c:v>
                </c:pt>
                <c:pt idx="52">
                  <c:v>580.94313987722501</c:v>
                </c:pt>
                <c:pt idx="53">
                  <c:v>609.9605642960862</c:v>
                </c:pt>
                <c:pt idx="54">
                  <c:v>638.94935401013572</c:v>
                </c:pt>
                <c:pt idx="55">
                  <c:v>667.91098891334161</c:v>
                </c:pt>
                <c:pt idx="56">
                  <c:v>696.84681027949625</c:v>
                </c:pt>
                <c:pt idx="57">
                  <c:v>725.75803907659065</c:v>
                </c:pt>
                <c:pt idx="58">
                  <c:v>754.64579121426698</c:v>
                </c:pt>
                <c:pt idx="59">
                  <c:v>649.9358973277225</c:v>
                </c:pt>
                <c:pt idx="60">
                  <c:v>677.8258443228882</c:v>
                </c:pt>
                <c:pt idx="61">
                  <c:v>705.6922377296429</c:v>
                </c:pt>
                <c:pt idx="62">
                  <c:v>733.53613705835642</c:v>
                </c:pt>
                <c:pt idx="63">
                  <c:v>761.35851494777864</c:v>
                </c:pt>
                <c:pt idx="64">
                  <c:v>789.16026726439031</c:v>
                </c:pt>
                <c:pt idx="65">
                  <c:v>816.94222170636033</c:v>
                </c:pt>
                <c:pt idx="66">
                  <c:v>844.70514517781703</c:v>
                </c:pt>
                <c:pt idx="67">
                  <c:v>718.7509684814836</c:v>
                </c:pt>
                <c:pt idx="68">
                  <c:v>744.64631797616437</c:v>
                </c:pt>
                <c:pt idx="69">
                  <c:v>770.52335796634054</c:v>
                </c:pt>
                <c:pt idx="70">
                  <c:v>796.38278896922054</c:v>
                </c:pt>
                <c:pt idx="71">
                  <c:v>822.22526236829606</c:v>
                </c:pt>
                <c:pt idx="72">
                  <c:v>848.05138532588978</c:v>
                </c:pt>
                <c:pt idx="73">
                  <c:v>873.86172506698915</c:v>
                </c:pt>
                <c:pt idx="74">
                  <c:v>899.65681263138219</c:v>
                </c:pt>
                <c:pt idx="75">
                  <c:v>774.78037131911344</c:v>
                </c:pt>
                <c:pt idx="76">
                  <c:v>799.1374221072075</c:v>
                </c:pt>
                <c:pt idx="77">
                  <c:v>823.47948530784936</c:v>
                </c:pt>
                <c:pt idx="78">
                  <c:v>847.80706566483479</c:v>
                </c:pt>
                <c:pt idx="79">
                  <c:v>872.12063663672825</c:v>
                </c:pt>
                <c:pt idx="80">
                  <c:v>896.42064317134543</c:v>
                </c:pt>
                <c:pt idx="81">
                  <c:v>920.70750416418662</c:v>
                </c:pt>
                <c:pt idx="82">
                  <c:v>944.98161464436873</c:v>
                </c:pt>
                <c:pt idx="83">
                  <c:v>854.20140290648499</c:v>
                </c:pt>
                <c:pt idx="84">
                  <c:v>877.85853457901806</c:v>
                </c:pt>
                <c:pt idx="85">
                  <c:v>901.50291665699069</c:v>
                </c:pt>
                <c:pt idx="86">
                  <c:v>925.13493010162131</c:v>
                </c:pt>
                <c:pt idx="87">
                  <c:v>948.75493485481877</c:v>
                </c:pt>
                <c:pt idx="88">
                  <c:v>972.36327150366458</c:v>
                </c:pt>
                <c:pt idx="89">
                  <c:v>995.96026277508724</c:v>
                </c:pt>
                <c:pt idx="90">
                  <c:v>1019.5462148817478</c:v>
                </c:pt>
                <c:pt idx="91">
                  <c:v>908.30314473285273</c:v>
                </c:pt>
                <c:pt idx="92">
                  <c:v>931.11526277634005</c:v>
                </c:pt>
                <c:pt idx="93">
                  <c:v>953.91626993757302</c:v>
                </c:pt>
                <c:pt idx="94">
                  <c:v>976.70646877999297</c:v>
                </c:pt>
                <c:pt idx="95">
                  <c:v>999.48614661827423</c:v>
                </c:pt>
                <c:pt idx="96">
                  <c:v>1022.2555766237365</c:v>
                </c:pt>
                <c:pt idx="97">
                  <c:v>1045.0150188263092</c:v>
                </c:pt>
                <c:pt idx="98">
                  <c:v>1067.7647210248108</c:v>
                </c:pt>
                <c:pt idx="99">
                  <c:v>1090.5049196157511</c:v>
                </c:pt>
                <c:pt idx="100">
                  <c:v>1113.2358403495193</c:v>
                </c:pt>
                <c:pt idx="101">
                  <c:v>954.16001536321698</c:v>
                </c:pt>
                <c:pt idx="102">
                  <c:v>975.47770060068979</c:v>
                </c:pt>
                <c:pt idx="103">
                  <c:v>996.78616755407802</c:v>
                </c:pt>
                <c:pt idx="104">
                  <c:v>1018.0856407371281</c:v>
                </c:pt>
                <c:pt idx="105">
                  <c:v>1039.3763345181203</c:v>
                </c:pt>
                <c:pt idx="106">
                  <c:v>1060.6584537808778</c:v>
                </c:pt>
                <c:pt idx="107">
                  <c:v>1081.9321945300615</c:v>
                </c:pt>
                <c:pt idx="108">
                  <c:v>1103.1977444464494</c:v>
                </c:pt>
                <c:pt idx="109">
                  <c:v>1124.4552833972573</c:v>
                </c:pt>
                <c:pt idx="110">
                  <c:v>1145.7049839059202</c:v>
                </c:pt>
                <c:pt idx="111">
                  <c:v>1024.9817290912683</c:v>
                </c:pt>
                <c:pt idx="112">
                  <c:v>1046.3923324910581</c:v>
                </c:pt>
                <c:pt idx="113">
                  <c:v>1067.7943285264473</c:v>
                </c:pt>
                <c:pt idx="114">
                  <c:v>1089.1879137363931</c:v>
                </c:pt>
                <c:pt idx="115">
                  <c:v>1110.573276322285</c:v>
                </c:pt>
                <c:pt idx="116">
                  <c:v>1131.9505966585587</c:v>
                </c:pt>
                <c:pt idx="117">
                  <c:v>1153.3200477627981</c:v>
                </c:pt>
                <c:pt idx="118">
                  <c:v>1174.6817957292456</c:v>
                </c:pt>
                <c:pt idx="119">
                  <c:v>1196.036000129194</c:v>
                </c:pt>
                <c:pt idx="120">
                  <c:v>1217.3828143813478</c:v>
                </c:pt>
                <c:pt idx="121">
                  <c:v>1111.2431553485806</c:v>
                </c:pt>
                <c:pt idx="122">
                  <c:v>1132.7659809306363</c:v>
                </c:pt>
                <c:pt idx="123">
                  <c:v>1154.280836127059</c:v>
                </c:pt>
                <c:pt idx="124">
                  <c:v>1175.787890169476</c:v>
                </c:pt>
                <c:pt idx="125">
                  <c:v>1197.2873056044853</c:v>
                </c:pt>
                <c:pt idx="126">
                  <c:v>1218.7792386754024</c:v>
                </c:pt>
                <c:pt idx="127">
                  <c:v>1240.2638396757236</c:v>
                </c:pt>
                <c:pt idx="128">
                  <c:v>1261.7412532768747</c:v>
                </c:pt>
                <c:pt idx="129">
                  <c:v>1283.2116188325219</c:v>
                </c:pt>
                <c:pt idx="130">
                  <c:v>1304.6750706614978</c:v>
                </c:pt>
                <c:pt idx="131">
                  <c:v>1180.6130965936718</c:v>
                </c:pt>
                <c:pt idx="132">
                  <c:v>1202.0622909062897</c:v>
                </c:pt>
                <c:pt idx="133">
                  <c:v>1223.5040703422858</c:v>
                </c:pt>
                <c:pt idx="134">
                  <c:v>1244.9385829179339</c:v>
                </c:pt>
                <c:pt idx="135">
                  <c:v>1266.3659711462867</c:v>
                </c:pt>
                <c:pt idx="136">
                  <c:v>1287.7863723332732</c:v>
                </c:pt>
                <c:pt idx="137">
                  <c:v>1309.1999188531099</c:v>
                </c:pt>
                <c:pt idx="138">
                  <c:v>1330.6067384047935</c:v>
                </c:pt>
                <c:pt idx="139">
                  <c:v>1352.0069542512595</c:v>
                </c:pt>
                <c:pt idx="140">
                  <c:v>1373.40068544264</c:v>
                </c:pt>
                <c:pt idx="141">
                  <c:v>1251.8014284941851</c:v>
                </c:pt>
                <c:pt idx="142">
                  <c:v>1273.304545570343</c:v>
                </c:pt>
                <c:pt idx="143">
                  <c:v>1294.8006683579763</c:v>
                </c:pt>
                <c:pt idx="144">
                  <c:v>1316.2899291154069</c:v>
                </c:pt>
                <c:pt idx="145">
                  <c:v>1337.7724554386036</c:v>
                </c:pt>
                <c:pt idx="146">
                  <c:v>1359.248370499248</c:v>
                </c:pt>
                <c:pt idx="147">
                  <c:v>1380.7177932669922</c:v>
                </c:pt>
                <c:pt idx="148">
                  <c:v>1402.1808387172075</c:v>
                </c:pt>
                <c:pt idx="149">
                  <c:v>1423.6376180253774</c:v>
                </c:pt>
                <c:pt idx="150">
                  <c:v>1445.0882387491822</c:v>
                </c:pt>
                <c:pt idx="151">
                  <c:v>947.59611920401665</c:v>
                </c:pt>
                <c:pt idx="152">
                  <c:v>945.0169467435486</c:v>
                </c:pt>
                <c:pt idx="153">
                  <c:v>942.43763449357721</c:v>
                </c:pt>
                <c:pt idx="154">
                  <c:v>639.9536326713345</c:v>
                </c:pt>
                <c:pt idx="155">
                  <c:v>637.9450427398051</c:v>
                </c:pt>
                <c:pt idx="156">
                  <c:v>635.93632213703586</c:v>
                </c:pt>
                <c:pt idx="157">
                  <c:v>447.22038662382903</c:v>
                </c:pt>
                <c:pt idx="158">
                  <c:v>445.66306991531627</c:v>
                </c:pt>
                <c:pt idx="159">
                  <c:v>444.1056366448247</c:v>
                </c:pt>
                <c:pt idx="160">
                  <c:v>48.786614446604354</c:v>
                </c:pt>
                <c:pt idx="161">
                  <c:v>48.786614446604354</c:v>
                </c:pt>
                <c:pt idx="162">
                  <c:v>48.786614446604354</c:v>
                </c:pt>
                <c:pt idx="163">
                  <c:v>48.786614446604354</c:v>
                </c:pt>
                <c:pt idx="164">
                  <c:v>48.786614446604354</c:v>
                </c:pt>
                <c:pt idx="165">
                  <c:v>48.786614446604354</c:v>
                </c:pt>
                <c:pt idx="166">
                  <c:v>48.786614446604354</c:v>
                </c:pt>
                <c:pt idx="167">
                  <c:v>48.786614446604354</c:v>
                </c:pt>
                <c:pt idx="168">
                  <c:v>48.786614446604354</c:v>
                </c:pt>
                <c:pt idx="169">
                  <c:v>48.786614446604354</c:v>
                </c:pt>
                <c:pt idx="170">
                  <c:v>48.786614446604354</c:v>
                </c:pt>
                <c:pt idx="171">
                  <c:v>48.786614446604354</c:v>
                </c:pt>
                <c:pt idx="172">
                  <c:v>48.786614446604354</c:v>
                </c:pt>
                <c:pt idx="173">
                  <c:v>48.786614446604354</c:v>
                </c:pt>
                <c:pt idx="174">
                  <c:v>48.786614446604354</c:v>
                </c:pt>
                <c:pt idx="175">
                  <c:v>48.786614446604354</c:v>
                </c:pt>
                <c:pt idx="176">
                  <c:v>48.786614446604354</c:v>
                </c:pt>
                <c:pt idx="177">
                  <c:v>48.786614446604354</c:v>
                </c:pt>
                <c:pt idx="178">
                  <c:v>48.786614446604354</c:v>
                </c:pt>
                <c:pt idx="179">
                  <c:v>48.786614446604354</c:v>
                </c:pt>
                <c:pt idx="180">
                  <c:v>48.786614446604354</c:v>
                </c:pt>
                <c:pt idx="181">
                  <c:v>48.786614446604354</c:v>
                </c:pt>
                <c:pt idx="182">
                  <c:v>48.786614446604354</c:v>
                </c:pt>
                <c:pt idx="183">
                  <c:v>48.786614446604354</c:v>
                </c:pt>
                <c:pt idx="184">
                  <c:v>48.786614446604354</c:v>
                </c:pt>
                <c:pt idx="185">
                  <c:v>48.786614446604354</c:v>
                </c:pt>
                <c:pt idx="186">
                  <c:v>48.786614446604354</c:v>
                </c:pt>
                <c:pt idx="187">
                  <c:v>48.786614446604354</c:v>
                </c:pt>
                <c:pt idx="188">
                  <c:v>48.786614446604354</c:v>
                </c:pt>
                <c:pt idx="189">
                  <c:v>48.786614446604354</c:v>
                </c:pt>
                <c:pt idx="190">
                  <c:v>48.786614446604354</c:v>
                </c:pt>
                <c:pt idx="191">
                  <c:v>48.786614446604354</c:v>
                </c:pt>
                <c:pt idx="192">
                  <c:v>48.786614446604354</c:v>
                </c:pt>
                <c:pt idx="193">
                  <c:v>48.786614446604354</c:v>
                </c:pt>
                <c:pt idx="194">
                  <c:v>48.786614446604354</c:v>
                </c:pt>
                <c:pt idx="195">
                  <c:v>48.786614446604354</c:v>
                </c:pt>
                <c:pt idx="196">
                  <c:v>48.786614446604354</c:v>
                </c:pt>
                <c:pt idx="197">
                  <c:v>48.786614446604354</c:v>
                </c:pt>
                <c:pt idx="198">
                  <c:v>48.786614446604354</c:v>
                </c:pt>
                <c:pt idx="199">
                  <c:v>48.786614446604354</c:v>
                </c:pt>
                <c:pt idx="200">
                  <c:v>48.786614446604354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10" sqref="E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3.88</v>
      </c>
      <c r="D5" s="276" t="s">
        <v>229</v>
      </c>
      <c r="E5" s="277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35</v>
      </c>
      <c r="C9" s="262">
        <v>0.85343642610000003</v>
      </c>
      <c r="D9" s="33">
        <f t="shared" ref="D9:D18" si="0">C9*$C$5</f>
        <v>3.3113333332680002</v>
      </c>
      <c r="E9" s="263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12</v>
      </c>
      <c r="C10" s="262">
        <v>0.14656357389999999</v>
      </c>
      <c r="D10" s="33">
        <f t="shared" si="0"/>
        <v>0.56866666673199995</v>
      </c>
      <c r="E10" s="263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3.88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0">
        <v>15</v>
      </c>
      <c r="B36" s="260">
        <v>110</v>
      </c>
      <c r="C36" s="260">
        <v>1</v>
      </c>
      <c r="D36" s="260">
        <v>14</v>
      </c>
      <c r="E36" s="259"/>
      <c r="F36" s="259"/>
      <c r="G36" s="259">
        <v>1</v>
      </c>
      <c r="H36" s="259"/>
      <c r="I36" s="49">
        <f>IFERROR(B36/A36,"")</f>
        <v>7.333333333333333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0">
        <v>20</v>
      </c>
      <c r="B37" s="260">
        <v>203</v>
      </c>
      <c r="C37" s="260">
        <v>2</v>
      </c>
      <c r="D37" s="260">
        <v>63</v>
      </c>
      <c r="E37" s="259"/>
      <c r="F37" s="259">
        <v>1</v>
      </c>
      <c r="G37" s="259"/>
      <c r="H37" s="259"/>
      <c r="I37" s="53">
        <f t="shared" ref="I37:I55" si="1">IF(A37&lt;&gt;0,(B37-(B36-D36))/(A37-A36),"")</f>
        <v>21.4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0">
        <v>25</v>
      </c>
      <c r="B38" s="260">
        <v>254</v>
      </c>
      <c r="C38" s="260">
        <v>3</v>
      </c>
      <c r="D38" s="260">
        <v>63</v>
      </c>
      <c r="E38" s="259"/>
      <c r="F38" s="259">
        <v>1</v>
      </c>
      <c r="G38" s="259"/>
      <c r="H38" s="259"/>
      <c r="I38" s="53">
        <f t="shared" si="1"/>
        <v>22.8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0">
        <v>30</v>
      </c>
      <c r="B39" s="260">
        <v>311</v>
      </c>
      <c r="C39" s="260">
        <v>4</v>
      </c>
      <c r="D39" s="260">
        <v>63</v>
      </c>
      <c r="E39" s="259"/>
      <c r="F39" s="259">
        <v>1</v>
      </c>
      <c r="G39" s="259"/>
      <c r="H39" s="259"/>
      <c r="I39" s="49">
        <f t="shared" si="1"/>
        <v>24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0">
        <v>35</v>
      </c>
      <c r="B40" s="260">
        <v>369</v>
      </c>
      <c r="C40" s="260">
        <v>5</v>
      </c>
      <c r="D40" s="260">
        <v>63</v>
      </c>
      <c r="E40" s="259">
        <v>1</v>
      </c>
      <c r="F40" s="259"/>
      <c r="G40" s="259"/>
      <c r="H40" s="259"/>
      <c r="I40" s="49">
        <f t="shared" si="1"/>
        <v>24.2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0">
        <v>40</v>
      </c>
      <c r="B41" s="260">
        <v>424</v>
      </c>
      <c r="C41" s="260">
        <v>6</v>
      </c>
      <c r="D41" s="260">
        <v>63</v>
      </c>
      <c r="E41" s="259">
        <v>1</v>
      </c>
      <c r="F41" s="259"/>
      <c r="G41" s="259"/>
      <c r="H41" s="259"/>
      <c r="I41" s="53">
        <f t="shared" si="1"/>
        <v>23.6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0">
        <v>45</v>
      </c>
      <c r="B42" s="260">
        <v>469</v>
      </c>
      <c r="C42" s="260">
        <v>7</v>
      </c>
      <c r="D42" s="260">
        <v>60</v>
      </c>
      <c r="E42" s="259">
        <v>1</v>
      </c>
      <c r="F42" s="259"/>
      <c r="G42" s="259"/>
      <c r="H42" s="259"/>
      <c r="I42" s="53">
        <f t="shared" si="1"/>
        <v>21.6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0">
        <v>50</v>
      </c>
      <c r="B43" s="260">
        <v>509</v>
      </c>
      <c r="C43" s="260">
        <v>8</v>
      </c>
      <c r="D43" s="260">
        <v>53</v>
      </c>
      <c r="E43" s="259">
        <v>1</v>
      </c>
      <c r="F43" s="259"/>
      <c r="G43" s="259"/>
      <c r="H43" s="259"/>
      <c r="I43" s="49">
        <f t="shared" si="1"/>
        <v>20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0">
        <v>55</v>
      </c>
      <c r="B44" s="260">
        <v>548</v>
      </c>
      <c r="C44" s="260">
        <v>9</v>
      </c>
      <c r="D44" s="260">
        <v>45</v>
      </c>
      <c r="E44" s="259">
        <v>1</v>
      </c>
      <c r="F44" s="259"/>
      <c r="G44" s="259"/>
      <c r="H44" s="259"/>
      <c r="I44" s="49">
        <f t="shared" si="1"/>
        <v>18.399999999999999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0">
        <v>60</v>
      </c>
      <c r="B45" s="260">
        <v>588</v>
      </c>
      <c r="C45" s="260">
        <v>10</v>
      </c>
      <c r="D45" s="260">
        <v>39</v>
      </c>
      <c r="E45" s="259">
        <v>1</v>
      </c>
      <c r="F45" s="259"/>
      <c r="G45" s="259"/>
      <c r="H45" s="259"/>
      <c r="I45" s="49">
        <f t="shared" si="1"/>
        <v>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0">
        <v>65</v>
      </c>
      <c r="B46" s="260">
        <v>627</v>
      </c>
      <c r="C46" s="260">
        <v>11</v>
      </c>
      <c r="D46" s="260">
        <v>34</v>
      </c>
      <c r="E46" s="259">
        <v>1</v>
      </c>
      <c r="F46" s="259"/>
      <c r="G46" s="259"/>
      <c r="H46" s="259"/>
      <c r="I46" s="49">
        <f t="shared" si="1"/>
        <v>15.6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0">
        <v>70</v>
      </c>
      <c r="B47" s="260">
        <v>662</v>
      </c>
      <c r="C47" s="260">
        <v>12</v>
      </c>
      <c r="D47" s="260">
        <v>31</v>
      </c>
      <c r="E47" s="259">
        <v>1</v>
      </c>
      <c r="F47" s="259"/>
      <c r="G47" s="259"/>
      <c r="H47" s="259"/>
      <c r="I47" s="49">
        <f t="shared" si="1"/>
        <v>13.8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0">
        <v>75</v>
      </c>
      <c r="B48" s="260">
        <v>693</v>
      </c>
      <c r="C48" s="260">
        <v>13</v>
      </c>
      <c r="D48" s="260">
        <v>30</v>
      </c>
      <c r="E48" s="259">
        <v>1</v>
      </c>
      <c r="F48" s="259"/>
      <c r="G48" s="259"/>
      <c r="H48" s="259"/>
      <c r="I48" s="49">
        <f t="shared" si="1"/>
        <v>12.4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0">
        <v>80</v>
      </c>
      <c r="B49" s="260">
        <v>718</v>
      </c>
      <c r="C49" s="260">
        <v>14</v>
      </c>
      <c r="D49" s="260">
        <v>29</v>
      </c>
      <c r="E49" s="259">
        <v>1</v>
      </c>
      <c r="F49" s="259"/>
      <c r="G49" s="259"/>
      <c r="H49" s="259"/>
      <c r="I49" s="49">
        <f t="shared" si="1"/>
        <v>11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/>
      <c r="B50" s="260"/>
      <c r="C50" s="260"/>
      <c r="D50" s="260"/>
      <c r="E50" s="259"/>
      <c r="F50" s="259"/>
      <c r="G50" s="259"/>
      <c r="H50" s="259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/>
      <c r="B51" s="260"/>
      <c r="C51" s="260"/>
      <c r="D51" s="260"/>
      <c r="E51" s="259"/>
      <c r="F51" s="259"/>
      <c r="G51" s="259"/>
      <c r="H51" s="259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/>
      <c r="B52" s="260"/>
      <c r="C52" s="260"/>
      <c r="D52" s="260"/>
      <c r="E52" s="259"/>
      <c r="F52" s="259"/>
      <c r="G52" s="259"/>
      <c r="H52" s="259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/>
      <c r="B53" s="260"/>
      <c r="C53" s="260"/>
      <c r="D53" s="260"/>
      <c r="E53" s="259"/>
      <c r="F53" s="259"/>
      <c r="G53" s="259"/>
      <c r="H53" s="259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/>
      <c r="B54" s="260"/>
      <c r="C54" s="260"/>
      <c r="D54" s="260"/>
      <c r="E54" s="259"/>
      <c r="F54" s="259"/>
      <c r="G54" s="259"/>
      <c r="H54" s="259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/>
      <c r="B55" s="260"/>
      <c r="C55" s="260"/>
      <c r="D55" s="260"/>
      <c r="E55" s="259"/>
      <c r="F55" s="259"/>
      <c r="G55" s="259"/>
      <c r="H55" s="259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0">
        <v>30</v>
      </c>
      <c r="B62" s="260">
        <v>108.42307692307691</v>
      </c>
      <c r="C62" s="260"/>
      <c r="D62" s="260"/>
      <c r="E62" s="259"/>
      <c r="F62" s="259"/>
      <c r="G62" s="259"/>
      <c r="H62" s="259"/>
      <c r="I62" s="53">
        <f>IFERROR(B62/A62,"")</f>
        <v>3.6141025641025637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0">
        <v>34</v>
      </c>
      <c r="B63" s="260">
        <v>173.04</v>
      </c>
      <c r="C63" s="260">
        <v>1</v>
      </c>
      <c r="D63" s="260">
        <v>35.450000000000003</v>
      </c>
      <c r="E63" s="259">
        <v>1</v>
      </c>
      <c r="F63" s="259"/>
      <c r="G63" s="259"/>
      <c r="H63" s="259"/>
      <c r="I63" s="49">
        <f>IF(A63&lt;&gt;0,(B63-(B62-D62))/(A63-A62),"")</f>
        <v>16.154230769230772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0">
        <v>42</v>
      </c>
      <c r="B64" s="260">
        <v>248.01</v>
      </c>
      <c r="C64" s="260">
        <v>2</v>
      </c>
      <c r="D64" s="260">
        <v>55.41</v>
      </c>
      <c r="E64" s="259">
        <v>1</v>
      </c>
      <c r="F64" s="259"/>
      <c r="G64" s="259"/>
      <c r="H64" s="259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0">
        <v>50</v>
      </c>
      <c r="B65" s="260">
        <v>304.72000000000003</v>
      </c>
      <c r="C65" s="260">
        <v>3</v>
      </c>
      <c r="D65" s="260">
        <v>66.62</v>
      </c>
      <c r="E65" s="259">
        <v>1</v>
      </c>
      <c r="F65" s="259"/>
      <c r="G65" s="259"/>
      <c r="H65" s="259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0">
        <v>58</v>
      </c>
      <c r="B66" s="260">
        <v>346.58</v>
      </c>
      <c r="C66" s="260">
        <v>4</v>
      </c>
      <c r="D66" s="260">
        <v>62.16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0">
        <v>66</v>
      </c>
      <c r="B67" s="260">
        <v>388.92</v>
      </c>
      <c r="C67" s="260">
        <v>5</v>
      </c>
      <c r="D67" s="260">
        <v>71.34</v>
      </c>
      <c r="E67" s="259">
        <v>1</v>
      </c>
      <c r="F67" s="259"/>
      <c r="G67" s="259"/>
      <c r="H67" s="259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0">
        <v>74</v>
      </c>
      <c r="B68" s="260">
        <v>414.8</v>
      </c>
      <c r="C68" s="260">
        <v>6</v>
      </c>
      <c r="D68" s="260">
        <v>70.209999999999994</v>
      </c>
      <c r="E68" s="259">
        <v>1</v>
      </c>
      <c r="F68" s="259"/>
      <c r="G68" s="259"/>
      <c r="H68" s="259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0">
        <v>82</v>
      </c>
      <c r="B69" s="260">
        <v>436.17</v>
      </c>
      <c r="C69" s="260">
        <v>7</v>
      </c>
      <c r="D69" s="260">
        <v>53.92</v>
      </c>
      <c r="E69" s="259">
        <v>1</v>
      </c>
      <c r="F69" s="259"/>
      <c r="G69" s="259"/>
      <c r="H69" s="259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0">
        <v>90</v>
      </c>
      <c r="B70" s="260">
        <v>471.37</v>
      </c>
      <c r="C70" s="260">
        <v>8</v>
      </c>
      <c r="D70" s="260">
        <v>63.25</v>
      </c>
      <c r="E70" s="259">
        <v>1</v>
      </c>
      <c r="F70" s="259"/>
      <c r="G70" s="259"/>
      <c r="H70" s="259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0">
        <v>100</v>
      </c>
      <c r="B71" s="260">
        <v>515.66999999999996</v>
      </c>
      <c r="C71" s="260">
        <v>9</v>
      </c>
      <c r="D71" s="260">
        <v>85.23</v>
      </c>
      <c r="E71" s="259">
        <v>1</v>
      </c>
      <c r="F71" s="259"/>
      <c r="G71" s="259"/>
      <c r="H71" s="259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0">
        <v>110</v>
      </c>
      <c r="B72" s="260">
        <v>531.04</v>
      </c>
      <c r="C72" s="260">
        <v>10</v>
      </c>
      <c r="D72" s="260">
        <v>67.22</v>
      </c>
      <c r="E72" s="259">
        <v>1</v>
      </c>
      <c r="F72" s="259"/>
      <c r="G72" s="259"/>
      <c r="H72" s="259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120</v>
      </c>
      <c r="B73" s="260">
        <v>565</v>
      </c>
      <c r="C73" s="260">
        <v>11</v>
      </c>
      <c r="D73" s="260">
        <v>60.46</v>
      </c>
      <c r="E73" s="259">
        <v>1</v>
      </c>
      <c r="F73" s="259"/>
      <c r="G73" s="259"/>
      <c r="H73" s="259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130</v>
      </c>
      <c r="B74" s="260">
        <v>606.41</v>
      </c>
      <c r="C74" s="260">
        <v>12</v>
      </c>
      <c r="D74" s="260">
        <v>69</v>
      </c>
      <c r="E74" s="259">
        <v>1</v>
      </c>
      <c r="F74" s="259"/>
      <c r="G74" s="259"/>
      <c r="H74" s="259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140</v>
      </c>
      <c r="B75" s="260">
        <v>639.04999999999995</v>
      </c>
      <c r="C75" s="260">
        <v>13</v>
      </c>
      <c r="D75" s="260">
        <v>67.930000000000007</v>
      </c>
      <c r="E75" s="259">
        <v>1</v>
      </c>
      <c r="F75" s="259"/>
      <c r="G75" s="259"/>
      <c r="H75" s="259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150</v>
      </c>
      <c r="B76" s="260">
        <v>673.13</v>
      </c>
      <c r="C76" s="260">
        <v>14</v>
      </c>
      <c r="D76" s="260">
        <v>234.51</v>
      </c>
      <c r="E76" s="259">
        <v>1</v>
      </c>
      <c r="F76" s="259"/>
      <c r="G76" s="259"/>
      <c r="H76" s="259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laricio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 pubescent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504.81063008331739</v>
      </c>
      <c r="T3" s="59">
        <f>IF('Données projet'!E9&gt;30,$R$33-$H$33,LOOKUP('Données projet'!$E$9,$A$3:$A$203,R3:R203)-LOOKUP('Données projet'!$E$9,$A$3:$A$203,$H$3:$H$203))</f>
        <v>441.82647565372287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778.88878506193896</v>
      </c>
      <c r="AO3" s="59">
        <f>IF('Données projet'!E10&gt;30,$AM$33-$H$33,LOOKUP('Données projet'!$E$10,$A$3:$A$203,AM3:AM203)-LOOKUP('Données projet'!$E$10,$A$3:$A$203,$H$3:$H$203))</f>
        <v>279.2078283764684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7.333333333333333</v>
      </c>
      <c r="N4" s="13">
        <f>IF('Données projet'!$A$36&gt;35,N3+M4-V3,IF(A4&lt;'Données projet'!$A$36,$K$205^A4,IF(A4='Données projet'!$A$36,'Données projet'!$B$36,N3+M4-V3)))</f>
        <v>1.3680212568593273</v>
      </c>
      <c r="O4" s="13">
        <f>N4*VLOOKUP('Données projet'!$B$9,Paramètres!$A$1:$I$89,3,0)*VLOOKUP('Données projet'!$B$9,Paramètres!$A$1:$I$89,5,0)</f>
        <v>0.81807671160187789</v>
      </c>
      <c r="P4" s="13">
        <f>EXP(-1.0587+0.8836*LN(O4)+0.284)</f>
        <v>0.38591962976646654</v>
      </c>
      <c r="Q4" s="20">
        <f t="shared" ref="Q4:Q34" si="2">(O4+P4)*0.475*44/12</f>
        <v>2.0969602945498664</v>
      </c>
      <c r="R4" s="59">
        <f t="shared" si="0"/>
        <v>259.98584918343875</v>
      </c>
      <c r="S4" s="59">
        <f ca="1">AVERAGE(OFFSET($R$3,0,0,'Données projet'!$E$9+1,1))-AVERAGE(OFFSET($H$3,0,0,'Données projet'!$E$9+1,1))</f>
        <v>504.81063008331739</v>
      </c>
      <c r="T4" s="59">
        <f>$T$3</f>
        <v>441.82647565372287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3.6141025641025637</v>
      </c>
      <c r="AI4" s="13">
        <f>IF('Données projet'!$A$62&gt;35,AI3+AH4-AQ3,IF(A4&lt;'Données projet'!$A$62,$AF$205^A4,IF(A4='Données projet'!$A$62,'Données projet'!$B$62,AI3+AH4-AQ3)))</f>
        <v>1.1690615875970631</v>
      </c>
      <c r="AJ4" s="13">
        <f>AI4*VLOOKUP('Données projet'!$B$10,Paramètres!$A$1:$I$89,3,0)*VLOOKUP('Données projet'!$B$10,Paramètres!$A$1:$I$89,5,0)</f>
        <v>1.185428449823422</v>
      </c>
      <c r="AK4" s="13">
        <f>EXP(-1.0587+0.8836*LN(AJ4)+0.284)</f>
        <v>0.53558489542399201</v>
      </c>
      <c r="AL4" s="20">
        <f t="shared" ref="AL4:AL67" si="4">(AJ4+AK4)*0.475*44/12</f>
        <v>2.9974315763059121</v>
      </c>
      <c r="AM4" s="59">
        <f t="shared" ref="AM4:AM67" si="5">AL4+(AD4+AE4)*44/12</f>
        <v>260.88632046519479</v>
      </c>
      <c r="AN4" s="59">
        <f ca="1">AVERAGE(OFFSET($AM$3,0,0,'Données projet'!$E$10+1,1))-AVERAGE(OFFSET($H$3,0,0,'Données projet'!$E$10+1,1))</f>
        <v>778.88878506193896</v>
      </c>
      <c r="AO4" s="59">
        <f>$AO$3</f>
        <v>279.2078283764684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7.333333333333333</v>
      </c>
      <c r="N5" s="13">
        <f>IF('Données projet'!$A$36&gt;35,N4+M5-V4,IF(A5&lt;'Données projet'!$A$36,$K$205^A5,IF(A5='Données projet'!$A$36,'Données projet'!$B$36,N4+M5-V4)))</f>
        <v>1.8714821592189737</v>
      </c>
      <c r="O5" s="13">
        <f>N5*VLOOKUP('Données projet'!$B$9,Paramètres!$A$1:$I$89,3,0)*VLOOKUP('Données projet'!$B$9,Paramètres!$A$1:$I$89,5,0)</f>
        <v>1.1191463312129464</v>
      </c>
      <c r="P5" s="13">
        <f t="shared" ref="P5:P68" si="33">EXP(-1.0587+0.8836*LN(O5)+0.284)</f>
        <v>0.50903601214619809</v>
      </c>
      <c r="Q5" s="20">
        <f t="shared" si="2"/>
        <v>2.8357509146838429</v>
      </c>
      <c r="R5" s="59">
        <f t="shared" si="0"/>
        <v>261.94686202579499</v>
      </c>
      <c r="S5" s="59">
        <f ca="1">AVERAGE(OFFSET($R$3,0,0,'Données projet'!$E$9+1,1))-AVERAGE(OFFSET($H$3,0,0,'Données projet'!$E$9+1,1))</f>
        <v>504.81063008331739</v>
      </c>
      <c r="T5" s="59">
        <f t="shared" ref="T5:T68" si="34">$T$3</f>
        <v>441.82647565372287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3.6141025641025637</v>
      </c>
      <c r="AI5" s="13">
        <f>IF('Données projet'!$A$62&gt;35,AI4+AH5-AQ4,IF(A5&lt;'Données projet'!$A$62,$AF$205^A5,IF(A5='Données projet'!$A$62,'Données projet'!$B$62,AI4+AH5-AQ4)))</f>
        <v>1.3667049955949657</v>
      </c>
      <c r="AJ5" s="13">
        <f>AI5*VLOOKUP('Données projet'!$B$10,Paramètres!$A$1:$I$89,3,0)*VLOOKUP('Données projet'!$B$10,Paramètres!$A$1:$I$89,5,0)</f>
        <v>1.3858388655332954</v>
      </c>
      <c r="AK5" s="13">
        <f t="shared" ref="AK5:AK68" si="35">EXP(-1.0587+0.8836*LN(AJ5)+0.284)</f>
        <v>0.61485037062011905</v>
      </c>
      <c r="AL5" s="20">
        <f t="shared" si="4"/>
        <v>3.4845337529671969</v>
      </c>
      <c r="AM5" s="59">
        <f t="shared" si="5"/>
        <v>262.59564486407834</v>
      </c>
      <c r="AN5" s="59">
        <f ca="1">AVERAGE(OFFSET($AM$3,0,0,'Données projet'!$E$10+1,1))-AVERAGE(OFFSET($H$3,0,0,'Données projet'!$E$10+1,1))</f>
        <v>778.88878506193896</v>
      </c>
      <c r="AO5" s="59">
        <f t="shared" ref="AO5:AO68" si="36">$AO$3</f>
        <v>279.2078283764684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7.333333333333333</v>
      </c>
      <c r="N6" s="13">
        <f>IF('Données projet'!$A$36&gt;35,N5+M6-V5,IF(A6&lt;'Données projet'!$A$36,$K$205^A6,IF(A6='Données projet'!$A$36,'Données projet'!$B$36,N5+M6-V5)))</f>
        <v>2.5602273756445482</v>
      </c>
      <c r="O6" s="13">
        <f>N6*VLOOKUP('Données projet'!$B$9,Paramètres!$A$1:$I$89,3,0)*VLOOKUP('Données projet'!$B$9,Paramètres!$A$1:$I$89,5,0)</f>
        <v>1.5310159706354398</v>
      </c>
      <c r="P6" s="13">
        <f t="shared" si="33"/>
        <v>0.67142907920622097</v>
      </c>
      <c r="Q6" s="20">
        <f t="shared" si="2"/>
        <v>3.8359251284742251</v>
      </c>
      <c r="R6" s="59">
        <f t="shared" si="0"/>
        <v>264.16925846180754</v>
      </c>
      <c r="S6" s="59">
        <f ca="1">AVERAGE(OFFSET($R$3,0,0,'Données projet'!$E$9+1,1))-AVERAGE(OFFSET($H$3,0,0,'Données projet'!$E$9+1,1))</f>
        <v>504.81063008331739</v>
      </c>
      <c r="T6" s="59">
        <f t="shared" si="34"/>
        <v>441.82647565372287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3.6141025641025637</v>
      </c>
      <c r="AI6" s="13">
        <f>IF('Données projet'!$A$62&gt;35,AI5+AH6-AQ5,IF(A6&lt;'Données projet'!$A$62,$AF$205^A6,IF(A6='Données projet'!$A$62,'Données projet'!$B$62,AI5+AH6-AQ5)))</f>
        <v>1.5977623119270878</v>
      </c>
      <c r="AJ6" s="13">
        <f>AI6*VLOOKUP('Données projet'!$B$10,Paramètres!$A$1:$I$89,3,0)*VLOOKUP('Données projet'!$B$10,Paramètres!$A$1:$I$89,5,0)</f>
        <v>1.6201309842940672</v>
      </c>
      <c r="AK6" s="13">
        <f t="shared" si="35"/>
        <v>0.70584697492714799</v>
      </c>
      <c r="AL6" s="20">
        <f t="shared" si="4"/>
        <v>4.0510782789769495</v>
      </c>
      <c r="AM6" s="59">
        <f t="shared" si="5"/>
        <v>264.38441161231026</v>
      </c>
      <c r="AN6" s="59">
        <f ca="1">AVERAGE(OFFSET($AM$3,0,0,'Données projet'!$E$10+1,1))-AVERAGE(OFFSET($H$3,0,0,'Données projet'!$E$10+1,1))</f>
        <v>778.88878506193896</v>
      </c>
      <c r="AO6" s="59">
        <f t="shared" si="36"/>
        <v>279.2078283764684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7.333333333333333</v>
      </c>
      <c r="N7" s="13">
        <f>IF('Données projet'!$A$36&gt;35,N6+M7-V6,IF(A7&lt;'Données projet'!$A$36,$K$205^A7,IF(A7='Données projet'!$A$36,'Données projet'!$B$36,N6+M7-V6)))</f>
        <v>3.5024454722749119</v>
      </c>
      <c r="O7" s="13">
        <f>N7*VLOOKUP('Données projet'!$B$9,Paramètres!$A$1:$I$89,3,0)*VLOOKUP('Données projet'!$B$9,Paramètres!$A$1:$I$89,5,0)</f>
        <v>2.0944623924203976</v>
      </c>
      <c r="P7" s="13">
        <f t="shared" si="33"/>
        <v>0.88562890963839402</v>
      </c>
      <c r="Q7" s="20">
        <f t="shared" si="2"/>
        <v>5.1903256844190615</v>
      </c>
      <c r="R7" s="59">
        <f t="shared" si="0"/>
        <v>266.74588123997461</v>
      </c>
      <c r="S7" s="59">
        <f ca="1">AVERAGE(OFFSET($R$3,0,0,'Données projet'!$E$9+1,1))-AVERAGE(OFFSET($H$3,0,0,'Données projet'!$E$9+1,1))</f>
        <v>504.81063008331739</v>
      </c>
      <c r="T7" s="59">
        <f t="shared" si="34"/>
        <v>441.82647565372287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3.6141025641025637</v>
      </c>
      <c r="AI7" s="13">
        <f>IF('Données projet'!$A$62&gt;35,AI6+AH7-AQ6,IF(A7&lt;'Données projet'!$A$62,$AF$205^A7,IF(A7='Données projet'!$A$62,'Données projet'!$B$62,AI6+AH7-AQ6)))</f>
        <v>1.8678825449842353</v>
      </c>
      <c r="AJ7" s="13">
        <f>AI7*VLOOKUP('Données projet'!$B$10,Paramètres!$A$1:$I$89,3,0)*VLOOKUP('Données projet'!$B$10,Paramètres!$A$1:$I$89,5,0)</f>
        <v>1.8940329006140149</v>
      </c>
      <c r="AK7" s="13">
        <f t="shared" si="35"/>
        <v>0.81031089159353775</v>
      </c>
      <c r="AL7" s="20">
        <f t="shared" si="4"/>
        <v>4.710065438094821</v>
      </c>
      <c r="AM7" s="59">
        <f t="shared" si="5"/>
        <v>266.26562099365037</v>
      </c>
      <c r="AN7" s="59">
        <f ca="1">AVERAGE(OFFSET($AM$3,0,0,'Données projet'!$E$10+1,1))-AVERAGE(OFFSET($H$3,0,0,'Données projet'!$E$10+1,1))</f>
        <v>778.88878506193896</v>
      </c>
      <c r="AO7" s="59">
        <f t="shared" si="36"/>
        <v>279.2078283764684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7.333333333333333</v>
      </c>
      <c r="N8" s="13">
        <f>IF('Données projet'!$A$36&gt;35,N7+M8-V7,IF(A8&lt;'Données projet'!$A$36,$K$205^A8,IF(A8='Données projet'!$A$36,'Données projet'!$B$36,N7+M8-V7)))</f>
        <v>4.7914198570627855</v>
      </c>
      <c r="O8" s="13">
        <f>N8*VLOOKUP('Données projet'!$B$9,Paramètres!$A$1:$I$89,3,0)*VLOOKUP('Données projet'!$B$9,Paramètres!$A$1:$I$89,5,0)</f>
        <v>2.8652690745235461</v>
      </c>
      <c r="P8" s="13">
        <f t="shared" si="33"/>
        <v>1.1681629376471956</v>
      </c>
      <c r="Q8" s="20">
        <f t="shared" si="2"/>
        <v>7.024894087864042</v>
      </c>
      <c r="R8" s="59">
        <f t="shared" si="0"/>
        <v>269.8026718656418</v>
      </c>
      <c r="S8" s="59">
        <f ca="1">AVERAGE(OFFSET($R$3,0,0,'Données projet'!$E$9+1,1))-AVERAGE(OFFSET($H$3,0,0,'Données projet'!$E$9+1,1))</f>
        <v>504.81063008331739</v>
      </c>
      <c r="T8" s="59">
        <f t="shared" si="34"/>
        <v>441.82647565372287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3.6141025641025637</v>
      </c>
      <c r="AI8" s="13">
        <f>IF('Données projet'!$A$62&gt;35,AI7+AH8-AQ7,IF(A8&lt;'Données projet'!$A$62,$AF$205^A8,IF(A8='Données projet'!$A$62,'Données projet'!$B$62,AI7+AH8-AQ7)))</f>
        <v>2.1836697334841126</v>
      </c>
      <c r="AJ8" s="13">
        <f>AI8*VLOOKUP('Données projet'!$B$10,Paramètres!$A$1:$I$89,3,0)*VLOOKUP('Données projet'!$B$10,Paramètres!$A$1:$I$89,5,0)</f>
        <v>2.2142411097528902</v>
      </c>
      <c r="AK8" s="13">
        <f t="shared" si="35"/>
        <v>0.93023525545729457</v>
      </c>
      <c r="AL8" s="20">
        <f t="shared" si="4"/>
        <v>5.476629669407739</v>
      </c>
      <c r="AM8" s="59">
        <f t="shared" si="5"/>
        <v>268.25440744718549</v>
      </c>
      <c r="AN8" s="59">
        <f ca="1">AVERAGE(OFFSET($AM$3,0,0,'Données projet'!$E$10+1,1))-AVERAGE(OFFSET($H$3,0,0,'Données projet'!$E$10+1,1))</f>
        <v>778.88878506193896</v>
      </c>
      <c r="AO8" s="59">
        <f t="shared" si="36"/>
        <v>279.2078283764684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7.333333333333333</v>
      </c>
      <c r="N9" s="13">
        <f>IF('Données projet'!$A$36&gt;35,N8+M9-V8,IF(A9&lt;'Données projet'!$A$36,$K$205^A9,IF(A9='Données projet'!$A$36,'Données projet'!$B$36,N8+M9-V8)))</f>
        <v>6.5547642149997696</v>
      </c>
      <c r="O9" s="13">
        <f>N9*VLOOKUP('Données projet'!$B$9,Paramètres!$A$1:$I$89,3,0)*VLOOKUP('Données projet'!$B$9,Paramètres!$A$1:$I$89,5,0)</f>
        <v>3.9197490005698628</v>
      </c>
      <c r="P9" s="13">
        <f t="shared" si="33"/>
        <v>1.5408311924344247</v>
      </c>
      <c r="Q9" s="20">
        <f t="shared" si="2"/>
        <v>9.5105105028157997</v>
      </c>
      <c r="R9" s="59">
        <f t="shared" si="0"/>
        <v>273.51051050281581</v>
      </c>
      <c r="S9" s="59">
        <f ca="1">AVERAGE(OFFSET($R$3,0,0,'Données projet'!$E$9+1,1))-AVERAGE(OFFSET($H$3,0,0,'Données projet'!$E$9+1,1))</f>
        <v>504.81063008331739</v>
      </c>
      <c r="T9" s="59">
        <f t="shared" si="34"/>
        <v>441.82647565372287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3.6141025641025637</v>
      </c>
      <c r="AI9" s="13">
        <f>IF('Données projet'!$A$62&gt;35,AI8+AH9-AQ8,IF(A9&lt;'Données projet'!$A$62,$AF$205^A9,IF(A9='Données projet'!$A$62,'Données projet'!$B$62,AI8+AH9-AQ8)))</f>
        <v>2.5528444054145929</v>
      </c>
      <c r="AJ9" s="13">
        <f>AI9*VLOOKUP('Données projet'!$B$10,Paramètres!$A$1:$I$89,3,0)*VLOOKUP('Données projet'!$B$10,Paramètres!$A$1:$I$89,5,0)</f>
        <v>2.5885842270903976</v>
      </c>
      <c r="AK9" s="13">
        <f t="shared" si="35"/>
        <v>1.0679081812586111</v>
      </c>
      <c r="AL9" s="20">
        <f t="shared" si="4"/>
        <v>6.3683909445411908</v>
      </c>
      <c r="AM9" s="59">
        <f t="shared" si="5"/>
        <v>270.3683909445412</v>
      </c>
      <c r="AN9" s="59">
        <f ca="1">AVERAGE(OFFSET($AM$3,0,0,'Données projet'!$E$10+1,1))-AVERAGE(OFFSET($H$3,0,0,'Données projet'!$E$10+1,1))</f>
        <v>778.88878506193896</v>
      </c>
      <c r="AO9" s="59">
        <f t="shared" si="36"/>
        <v>279.2078283764684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7.333333333333333</v>
      </c>
      <c r="N10" s="13">
        <f>IF('Données projet'!$A$36&gt;35,N9+M10-V9,IF(A10&lt;'Données projet'!$A$36,$K$205^A10,IF(A10='Données projet'!$A$36,'Données projet'!$B$36,N9+M10-V9)))</f>
        <v>8.9670567798205276</v>
      </c>
      <c r="O10" s="13">
        <f>N10*VLOOKUP('Données projet'!$B$9,Paramètres!$A$1:$I$89,3,0)*VLOOKUP('Données projet'!$B$9,Paramètres!$A$1:$I$89,5,0)</f>
        <v>5.3622999543326761</v>
      </c>
      <c r="P10" s="13">
        <f t="shared" si="33"/>
        <v>2.032388365582547</v>
      </c>
      <c r="Q10" s="20">
        <f t="shared" si="2"/>
        <v>12.87908215718568</v>
      </c>
      <c r="R10" s="59">
        <f t="shared" si="0"/>
        <v>278.10130437940791</v>
      </c>
      <c r="S10" s="59">
        <f ca="1">AVERAGE(OFFSET($R$3,0,0,'Données projet'!$E$9+1,1))-AVERAGE(OFFSET($H$3,0,0,'Données projet'!$E$9+1,1))</f>
        <v>504.81063008331739</v>
      </c>
      <c r="T10" s="59">
        <f t="shared" si="34"/>
        <v>441.82647565372287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3.6141025641025637</v>
      </c>
      <c r="AI10" s="13">
        <f>IF('Données projet'!$A$62&gt;35,AI9+AH10-AQ9,IF(A10&lt;'Données projet'!$A$62,$AF$205^A10,IF(A10='Données projet'!$A$62,'Données projet'!$B$62,AI9+AH10-AQ9)))</f>
        <v>2.9844323334822644</v>
      </c>
      <c r="AJ10" s="13">
        <f>AI10*VLOOKUP('Données projet'!$B$10,Paramètres!$A$1:$I$89,3,0)*VLOOKUP('Données projet'!$B$10,Paramètres!$A$1:$I$89,5,0)</f>
        <v>3.0262143861510165</v>
      </c>
      <c r="AK10" s="13">
        <f t="shared" si="35"/>
        <v>1.225956420065428</v>
      </c>
      <c r="AL10" s="20">
        <f t="shared" si="4"/>
        <v>7.4058641541603079</v>
      </c>
      <c r="AM10" s="59">
        <f t="shared" si="5"/>
        <v>272.62808637638256</v>
      </c>
      <c r="AN10" s="59">
        <f ca="1">AVERAGE(OFFSET($AM$3,0,0,'Données projet'!$E$10+1,1))-AVERAGE(OFFSET($H$3,0,0,'Données projet'!$E$10+1,1))</f>
        <v>778.88878506193896</v>
      </c>
      <c r="AO10" s="59">
        <f t="shared" si="36"/>
        <v>279.2078283764684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7.333333333333333</v>
      </c>
      <c r="N11" s="13">
        <f>IF('Données projet'!$A$36&gt;35,N10+M11-V10,IF(A11&lt;'Données projet'!$A$36,$K$205^A11,IF(A11='Données projet'!$A$36,'Données projet'!$B$36,N10+M11-V10)))</f>
        <v>12.26712428625903</v>
      </c>
      <c r="O11" s="13">
        <f>N11*VLOOKUP('Données projet'!$B$9,Paramètres!$A$1:$I$89,3,0)*VLOOKUP('Données projet'!$B$9,Paramètres!$A$1:$I$89,5,0)</f>
        <v>7.3357403231829004</v>
      </c>
      <c r="P11" s="13">
        <f t="shared" si="33"/>
        <v>2.6807624928913736</v>
      </c>
      <c r="Q11" s="20">
        <f t="shared" si="2"/>
        <v>17.445409071329362</v>
      </c>
      <c r="R11" s="59">
        <f t="shared" si="0"/>
        <v>283.88985351577384</v>
      </c>
      <c r="S11" s="59">
        <f ca="1">AVERAGE(OFFSET($R$3,0,0,'Données projet'!$E$9+1,1))-AVERAGE(OFFSET($H$3,0,0,'Données projet'!$E$9+1,1))</f>
        <v>504.81063008331739</v>
      </c>
      <c r="T11" s="59">
        <f t="shared" si="34"/>
        <v>441.82647565372287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3.6141025641025637</v>
      </c>
      <c r="AI11" s="13">
        <f>IF('Données projet'!$A$62&gt;35,AI10+AH11-AQ10,IF(A11&lt;'Données projet'!$A$62,$AF$205^A11,IF(A11='Données projet'!$A$62,'Données projet'!$B$62,AI10+AH11-AQ10)))</f>
        <v>3.4889852018567837</v>
      </c>
      <c r="AJ11" s="13">
        <f>AI11*VLOOKUP('Données projet'!$B$10,Paramètres!$A$1:$I$89,3,0)*VLOOKUP('Données projet'!$B$10,Paramètres!$A$1:$I$89,5,0)</f>
        <v>3.5378309946827793</v>
      </c>
      <c r="AK11" s="13">
        <f t="shared" si="35"/>
        <v>1.4073954767611927</v>
      </c>
      <c r="AL11" s="20">
        <f t="shared" si="4"/>
        <v>8.6129361044315829</v>
      </c>
      <c r="AM11" s="59">
        <f t="shared" si="5"/>
        <v>275.05738054887604</v>
      </c>
      <c r="AN11" s="59">
        <f ca="1">AVERAGE(OFFSET($AM$3,0,0,'Données projet'!$E$10+1,1))-AVERAGE(OFFSET($H$3,0,0,'Données projet'!$E$10+1,1))</f>
        <v>778.88878506193896</v>
      </c>
      <c r="AO11" s="59">
        <f t="shared" si="36"/>
        <v>279.2078283764684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7.333333333333333</v>
      </c>
      <c r="N12" s="13">
        <f>IF('Données projet'!$A$36&gt;35,N11+M12-V11,IF(A12&lt;'Données projet'!$A$36,$K$205^A12,IF(A12='Données projet'!$A$36,'Données projet'!$B$36,N11+M12-V11)))</f>
        <v>16.781686784137655</v>
      </c>
      <c r="O12" s="13">
        <f>N12*VLOOKUP('Données projet'!$B$9,Paramètres!$A$1:$I$89,3,0)*VLOOKUP('Données projet'!$B$9,Paramètres!$A$1:$I$89,5,0)</f>
        <v>10.035448696914319</v>
      </c>
      <c r="P12" s="13">
        <f t="shared" si="33"/>
        <v>3.5359814418310247</v>
      </c>
      <c r="Q12" s="20">
        <f t="shared" si="2"/>
        <v>23.636907491648142</v>
      </c>
      <c r="R12" s="59">
        <f t="shared" si="0"/>
        <v>291.3035741583148</v>
      </c>
      <c r="S12" s="59">
        <f ca="1">AVERAGE(OFFSET($R$3,0,0,'Données projet'!$E$9+1,1))-AVERAGE(OFFSET($H$3,0,0,'Données projet'!$E$9+1,1))</f>
        <v>504.81063008331739</v>
      </c>
      <c r="T12" s="59">
        <f t="shared" si="34"/>
        <v>441.82647565372287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3.6141025641025637</v>
      </c>
      <c r="AI12" s="13">
        <f>IF('Données projet'!$A$62&gt;35,AI11+AH12-AQ11,IF(A12&lt;'Données projet'!$A$62,$AF$205^A12,IF(A12='Données projet'!$A$62,'Données projet'!$B$62,AI11+AH12-AQ11)))</f>
        <v>4.0788385791853514</v>
      </c>
      <c r="AJ12" s="13">
        <f>AI12*VLOOKUP('Données projet'!$B$10,Paramètres!$A$1:$I$89,3,0)*VLOOKUP('Données projet'!$B$10,Paramètres!$A$1:$I$89,5,0)</f>
        <v>4.1359423192939468</v>
      </c>
      <c r="AK12" s="13">
        <f t="shared" si="35"/>
        <v>1.6156871448188612</v>
      </c>
      <c r="AL12" s="20">
        <f t="shared" si="4"/>
        <v>10.017421316663141</v>
      </c>
      <c r="AM12" s="59">
        <f t="shared" si="5"/>
        <v>277.68408798332985</v>
      </c>
      <c r="AN12" s="59">
        <f ca="1">AVERAGE(OFFSET($AM$3,0,0,'Données projet'!$E$10+1,1))-AVERAGE(OFFSET($H$3,0,0,'Données projet'!$E$10+1,1))</f>
        <v>778.88878506193896</v>
      </c>
      <c r="AO12" s="59">
        <f t="shared" si="36"/>
        <v>279.2078283764684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7.333333333333333</v>
      </c>
      <c r="N13" s="13">
        <f>IF('Données projet'!$A$36&gt;35,N12+M13-V12,IF(A13&lt;'Données projet'!$A$36,$K$205^A13,IF(A13='Données projet'!$A$36,'Données projet'!$B$36,N12+M13-V12)))</f>
        <v>22.95770424665556</v>
      </c>
      <c r="O13" s="13">
        <f>N13*VLOOKUP('Données projet'!$B$9,Paramètres!$A$1:$I$89,3,0)*VLOOKUP('Données projet'!$B$9,Paramètres!$A$1:$I$89,5,0)</f>
        <v>13.728707139500026</v>
      </c>
      <c r="P13" s="13">
        <f t="shared" si="33"/>
        <v>4.6640330093129414</v>
      </c>
      <c r="Q13" s="20">
        <f t="shared" si="2"/>
        <v>32.034022425849251</v>
      </c>
      <c r="R13" s="59">
        <f t="shared" si="0"/>
        <v>300.92291131473809</v>
      </c>
      <c r="S13" s="59">
        <f ca="1">AVERAGE(OFFSET($R$3,0,0,'Données projet'!$E$9+1,1))-AVERAGE(OFFSET($H$3,0,0,'Données projet'!$E$9+1,1))</f>
        <v>504.81063008331739</v>
      </c>
      <c r="T13" s="59">
        <f t="shared" si="34"/>
        <v>441.82647565372287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3.6141025641025637</v>
      </c>
      <c r="AI13" s="13">
        <f>IF('Données projet'!$A$62&gt;35,AI12+AH13-AQ12,IF(A13&lt;'Données projet'!$A$62,$AF$205^A13,IF(A13='Données projet'!$A$62,'Données projet'!$B$62,AI12+AH13-AQ12)))</f>
        <v>4.7684135049345766</v>
      </c>
      <c r="AJ13" s="13">
        <f>AI13*VLOOKUP('Données projet'!$B$10,Paramètres!$A$1:$I$89,3,0)*VLOOKUP('Données projet'!$B$10,Paramètres!$A$1:$I$89,5,0)</f>
        <v>4.8351712940036604</v>
      </c>
      <c r="AK13" s="13">
        <f t="shared" si="35"/>
        <v>1.8548055561044454</v>
      </c>
      <c r="AL13" s="20">
        <f t="shared" si="4"/>
        <v>11.65170968060495</v>
      </c>
      <c r="AM13" s="59">
        <f t="shared" si="5"/>
        <v>280.5405985694938</v>
      </c>
      <c r="AN13" s="59">
        <f ca="1">AVERAGE(OFFSET($AM$3,0,0,'Données projet'!$E$10+1,1))-AVERAGE(OFFSET($H$3,0,0,'Données projet'!$E$10+1,1))</f>
        <v>778.88878506193896</v>
      </c>
      <c r="AO13" s="59">
        <f t="shared" si="36"/>
        <v>279.2078283764684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7.333333333333333</v>
      </c>
      <c r="N14" s="13">
        <f>IF('Données projet'!$A$36&gt;35,N13+M14-V13,IF(A14&lt;'Données projet'!$A$36,$K$205^A14,IF(A14='Données projet'!$A$36,'Données projet'!$B$36,N13+M14-V13)))</f>
        <v>31.406627418114457</v>
      </c>
      <c r="O14" s="13">
        <f>N14*VLOOKUP('Données projet'!$B$9,Paramètres!$A$1:$I$89,3,0)*VLOOKUP('Données projet'!$B$9,Paramètres!$A$1:$I$89,5,0)</f>
        <v>18.781163196032448</v>
      </c>
      <c r="P14" s="13">
        <f t="shared" si="33"/>
        <v>6.1519564708734276</v>
      </c>
      <c r="Q14" s="20">
        <f t="shared" si="2"/>
        <v>43.425183419861064</v>
      </c>
      <c r="R14" s="59">
        <f t="shared" si="0"/>
        <v>313.53629453097221</v>
      </c>
      <c r="S14" s="59">
        <f ca="1">AVERAGE(OFFSET($R$3,0,0,'Données projet'!$E$9+1,1))-AVERAGE(OFFSET($H$3,0,0,'Données projet'!$E$9+1,1))</f>
        <v>504.81063008331739</v>
      </c>
      <c r="T14" s="59">
        <f t="shared" si="34"/>
        <v>441.82647565372287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3.6141025641025637</v>
      </c>
      <c r="AI14" s="13">
        <f>IF('Données projet'!$A$62&gt;35,AI13+AH14-AQ13,IF(A14&lt;'Données projet'!$A$62,$AF$205^A14,IF(A14='Données projet'!$A$62,'Données projet'!$B$62,AI13+AH14-AQ13)))</f>
        <v>5.5745690623980924</v>
      </c>
      <c r="AJ14" s="13">
        <f>AI14*VLOOKUP('Données projet'!$B$10,Paramètres!$A$1:$I$89,3,0)*VLOOKUP('Données projet'!$B$10,Paramètres!$A$1:$I$89,5,0)</f>
        <v>5.6526130292716656</v>
      </c>
      <c r="AK14" s="13">
        <f t="shared" si="35"/>
        <v>2.1293130059171332</v>
      </c>
      <c r="AL14" s="20">
        <f t="shared" si="4"/>
        <v>13.553521177953826</v>
      </c>
      <c r="AM14" s="59">
        <f t="shared" si="5"/>
        <v>283.66463228906497</v>
      </c>
      <c r="AN14" s="59">
        <f ca="1">AVERAGE(OFFSET($AM$3,0,0,'Données projet'!$E$10+1,1))-AVERAGE(OFFSET($H$3,0,0,'Données projet'!$E$10+1,1))</f>
        <v>778.88878506193896</v>
      </c>
      <c r="AO14" s="59">
        <f t="shared" si="36"/>
        <v>279.2078283764684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7.333333333333333</v>
      </c>
      <c r="N15" s="13">
        <f>IF('Données projet'!$A$36&gt;35,N14+M15-V14,IF(A15&lt;'Données projet'!$A$36,$K$205^A15,IF(A15='Données projet'!$A$36,'Données projet'!$B$36,N14+M15-V14)))</f>
        <v>42.964933914241549</v>
      </c>
      <c r="O15" s="13">
        <f>N15*VLOOKUP('Données projet'!$B$9,Paramètres!$A$1:$I$89,3,0)*VLOOKUP('Données projet'!$B$9,Paramètres!$A$1:$I$89,5,0)</f>
        <v>25.693030480716448</v>
      </c>
      <c r="P15" s="13">
        <f t="shared" si="33"/>
        <v>8.1145584398633126</v>
      </c>
      <c r="Q15" s="20">
        <f t="shared" si="2"/>
        <v>58.881550703343073</v>
      </c>
      <c r="R15" s="59">
        <f t="shared" si="0"/>
        <v>330.21488403667638</v>
      </c>
      <c r="S15" s="59">
        <f ca="1">AVERAGE(OFFSET($R$3,0,0,'Données projet'!$E$9+1,1))-AVERAGE(OFFSET($H$3,0,0,'Données projet'!$E$9+1,1))</f>
        <v>504.81063008331739</v>
      </c>
      <c r="T15" s="59">
        <f t="shared" si="34"/>
        <v>441.82647565372287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3.6141025641025637</v>
      </c>
      <c r="AI15" s="13">
        <f>IF('Données projet'!$A$62&gt;35,AI14+AH15-AQ14,IF(A15&lt;'Données projet'!$A$62,$AF$205^A15,IF(A15='Données projet'!$A$62,'Données projet'!$B$62,AI14+AH15-AQ14)))</f>
        <v>6.5170145582565855</v>
      </c>
      <c r="AJ15" s="13">
        <f>AI15*VLOOKUP('Données projet'!$B$10,Paramètres!$A$1:$I$89,3,0)*VLOOKUP('Données projet'!$B$10,Paramètres!$A$1:$I$89,5,0)</f>
        <v>6.608252762072178</v>
      </c>
      <c r="AK15" s="13">
        <f t="shared" si="35"/>
        <v>2.444446999981138</v>
      </c>
      <c r="AL15" s="20">
        <f t="shared" si="4"/>
        <v>15.766785418909523</v>
      </c>
      <c r="AM15" s="59">
        <f t="shared" si="5"/>
        <v>287.10011875224285</v>
      </c>
      <c r="AN15" s="59">
        <f ca="1">AVERAGE(OFFSET($AM$3,0,0,'Données projet'!$E$10+1,1))-AVERAGE(OFFSET($H$3,0,0,'Données projet'!$E$10+1,1))</f>
        <v>778.88878506193896</v>
      </c>
      <c r="AO15" s="59">
        <f t="shared" si="36"/>
        <v>279.2078283764684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7.333333333333333</v>
      </c>
      <c r="N16" s="13">
        <f>IF('Données projet'!$A$36&gt;35,N15+M16-V15,IF(A16&lt;'Données projet'!$A$36,$K$205^A16,IF(A16='Données projet'!$A$36,'Données projet'!$B$36,N15+M16-V15)))</f>
        <v>58.776942894238665</v>
      </c>
      <c r="O16" s="13">
        <f>N16*VLOOKUP('Données projet'!$B$9,Paramètres!$A$1:$I$89,3,0)*VLOOKUP('Données projet'!$B$9,Paramètres!$A$1:$I$89,5,0)</f>
        <v>35.148611850754726</v>
      </c>
      <c r="P16" s="13">
        <f t="shared" si="33"/>
        <v>10.703271225293379</v>
      </c>
      <c r="Q16" s="20">
        <f t="shared" si="2"/>
        <v>79.858696357450455</v>
      </c>
      <c r="R16" s="59">
        <f t="shared" si="0"/>
        <v>352.41425191300601</v>
      </c>
      <c r="S16" s="59">
        <f ca="1">AVERAGE(OFFSET($R$3,0,0,'Données projet'!$E$9+1,1))-AVERAGE(OFFSET($H$3,0,0,'Données projet'!$E$9+1,1))</f>
        <v>504.81063008331739</v>
      </c>
      <c r="T16" s="59">
        <f t="shared" si="34"/>
        <v>441.82647565372287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3.6141025641025637</v>
      </c>
      <c r="AI16" s="13">
        <f>IF('Données projet'!$A$62&gt;35,AI15+AH16-AQ15,IF(A16&lt;'Données projet'!$A$62,$AF$205^A16,IF(A16='Données projet'!$A$62,'Données projet'!$B$62,AI15+AH16-AQ15)))</f>
        <v>7.618791385868616</v>
      </c>
      <c r="AJ16" s="13">
        <f>AI16*VLOOKUP('Données projet'!$B$10,Paramètres!$A$1:$I$89,3,0)*VLOOKUP('Données projet'!$B$10,Paramètres!$A$1:$I$89,5,0)</f>
        <v>7.7254544652707775</v>
      </c>
      <c r="AK16" s="13">
        <f t="shared" si="35"/>
        <v>2.8062201842152872</v>
      </c>
      <c r="AL16" s="20">
        <f t="shared" si="4"/>
        <v>18.342666681188227</v>
      </c>
      <c r="AM16" s="59">
        <f t="shared" si="5"/>
        <v>290.89822223674378</v>
      </c>
      <c r="AN16" s="59">
        <f ca="1">AVERAGE(OFFSET($AM$3,0,0,'Données projet'!$E$10+1,1))-AVERAGE(OFFSET($H$3,0,0,'Données projet'!$E$10+1,1))</f>
        <v>778.88878506193896</v>
      </c>
      <c r="AO16" s="59">
        <f t="shared" si="36"/>
        <v>279.2078283764684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7.333333333333333</v>
      </c>
      <c r="N17" s="13">
        <f>IF('Données projet'!$A$36&gt;35,N16+M17-V16,IF(A17&lt;'Données projet'!$A$36,$K$205^A17,IF(A17='Données projet'!$A$36,'Données projet'!$B$36,N16+M17-V16)))</f>
        <v>80.408107292525273</v>
      </c>
      <c r="O17" s="13">
        <f>N17*VLOOKUP('Données projet'!$B$9,Paramètres!$A$1:$I$89,3,0)*VLOOKUP('Données projet'!$B$9,Paramètres!$A$1:$I$89,5,0)</f>
        <v>48.084048160930124</v>
      </c>
      <c r="P17" s="13">
        <f t="shared" si="33"/>
        <v>14.11783718993377</v>
      </c>
      <c r="Q17" s="20">
        <f t="shared" si="2"/>
        <v>108.33495031942128</v>
      </c>
      <c r="R17" s="59">
        <f t="shared" si="0"/>
        <v>382.11272809719907</v>
      </c>
      <c r="S17" s="59">
        <f ca="1">AVERAGE(OFFSET($R$3,0,0,'Données projet'!$E$9+1,1))-AVERAGE(OFFSET($H$3,0,0,'Données projet'!$E$9+1,1))</f>
        <v>504.81063008331739</v>
      </c>
      <c r="T17" s="59">
        <f t="shared" si="34"/>
        <v>441.82647565372287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3.6141025641025637</v>
      </c>
      <c r="AI17" s="13">
        <f>IF('Données projet'!$A$62&gt;35,AI16+AH17-AQ16,IF(A17&lt;'Données projet'!$A$62,$AF$205^A17,IF(A17='Données projet'!$A$62,'Données projet'!$B$62,AI16+AH17-AQ16)))</f>
        <v>8.9068363531343948</v>
      </c>
      <c r="AJ17" s="13">
        <f>AI17*VLOOKUP('Données projet'!$B$10,Paramètres!$A$1:$I$89,3,0)*VLOOKUP('Données projet'!$B$10,Paramètres!$A$1:$I$89,5,0)</f>
        <v>9.0315320620782771</v>
      </c>
      <c r="AK17" s="13">
        <f t="shared" si="35"/>
        <v>3.2215350639052716</v>
      </c>
      <c r="AL17" s="20">
        <f t="shared" si="4"/>
        <v>21.340758577754681</v>
      </c>
      <c r="AM17" s="59">
        <f t="shared" si="5"/>
        <v>295.11853635553246</v>
      </c>
      <c r="AN17" s="59">
        <f ca="1">AVERAGE(OFFSET($AM$3,0,0,'Données projet'!$E$10+1,1))-AVERAGE(OFFSET($H$3,0,0,'Données projet'!$E$10+1,1))</f>
        <v>778.88878506193896</v>
      </c>
      <c r="AO17" s="59">
        <f t="shared" si="36"/>
        <v>279.2078283764684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110</v>
      </c>
      <c r="L18" s="12">
        <f>VLOOKUP(A18,'Données projet'!$A$35:$I$55,9,0)</f>
        <v>7.333333333333333</v>
      </c>
      <c r="M18" s="12">
        <f t="array" ref="M18">INDEX(L:L,MIN(IF(ISNUMBER(L18:L214),ROW(L18:L214),"")))</f>
        <v>7.333333333333333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421.99966348541216</v>
      </c>
      <c r="S18" s="59">
        <f ca="1">AVERAGE(OFFSET($R$3,0,0,'Données projet'!$E$9+1,1))-AVERAGE(OFFSET($H$3,0,0,'Données projet'!$E$9+1,1))</f>
        <v>504.81063008331739</v>
      </c>
      <c r="T18" s="59">
        <f t="shared" si="34"/>
        <v>441.82647565372287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14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1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9.4790487948915736</v>
      </c>
      <c r="AC18" s="22">
        <f t="shared" si="3"/>
        <v>9.4790487948915736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3.6141025641025637</v>
      </c>
      <c r="AI18" s="13">
        <f>IF('Données projet'!$A$62&gt;35,AI17+AH18-AQ17,IF(A18&lt;'Données projet'!$A$62,$AF$205^A18,IF(A18='Données projet'!$A$62,'Données projet'!$B$62,AI17+AH18-AQ17)))</f>
        <v>10.41264024746253</v>
      </c>
      <c r="AJ18" s="13">
        <f>AI18*VLOOKUP('Données projet'!$B$10,Paramètres!$A$1:$I$89,3,0)*VLOOKUP('Données projet'!$B$10,Paramètres!$A$1:$I$89,5,0)</f>
        <v>10.558417210927006</v>
      </c>
      <c r="AK18" s="13">
        <f t="shared" si="35"/>
        <v>3.6983157010800451</v>
      </c>
      <c r="AL18" s="20">
        <f t="shared" si="4"/>
        <v>24.830476488412277</v>
      </c>
      <c r="AM18" s="59">
        <f t="shared" si="5"/>
        <v>299.83047648841227</v>
      </c>
      <c r="AN18" s="59">
        <f ca="1">AVERAGE(OFFSET($AM$3,0,0,'Données projet'!$E$10+1,1))-AVERAGE(OFFSET($H$3,0,0,'Données projet'!$E$10+1,1))</f>
        <v>778.88878506193896</v>
      </c>
      <c r="AO18" s="59">
        <f t="shared" si="36"/>
        <v>279.2078283764684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21.4</v>
      </c>
      <c r="N19" s="13">
        <f>IF('Données projet'!$A$36&gt;35,N18+M19-V18,IF(A19&lt;'Données projet'!$A$36,$K$205^A19,IF(A19='Données projet'!$A$36,'Données projet'!$B$36,N18+M19-V18)))</f>
        <v>117.4</v>
      </c>
      <c r="O19" s="13">
        <f>N19*VLOOKUP('Données projet'!$B$9,Paramètres!$A$1:$I$89,3,0)*VLOOKUP('Données projet'!$B$9,Paramètres!$A$1:$I$89,5,0)</f>
        <v>70.205200000000005</v>
      </c>
      <c r="P19" s="13">
        <f t="shared" si="33"/>
        <v>19.724407279037784</v>
      </c>
      <c r="Q19" s="20">
        <f t="shared" si="2"/>
        <v>156.62739934432412</v>
      </c>
      <c r="R19" s="59">
        <f t="shared" si="0"/>
        <v>432.84962156654638</v>
      </c>
      <c r="S19" s="59">
        <f ca="1">AVERAGE(OFFSET($R$3,0,0,'Données projet'!$E$9+1,1))-AVERAGE(OFFSET($H$3,0,0,'Données projet'!$E$9+1,1))</f>
        <v>504.81063008331739</v>
      </c>
      <c r="T19" s="59">
        <f t="shared" si="34"/>
        <v>441.82647565372287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6.7026996820660036</v>
      </c>
      <c r="AC19" s="22">
        <f t="shared" si="3"/>
        <v>6.7026996820660036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3.6141025641025637</v>
      </c>
      <c r="AI19" s="13">
        <f>IF('Données projet'!$A$62&gt;35,AI18+AH19-AQ18,IF(A19&lt;'Données projet'!$A$62,$AF$205^A19,IF(A19='Données projet'!$A$62,'Données projet'!$B$62,AI18+AH19-AQ18)))</f>
        <v>12.173017738775622</v>
      </c>
      <c r="AJ19" s="13">
        <f>AI19*VLOOKUP('Données projet'!$B$10,Paramètres!$A$1:$I$89,3,0)*VLOOKUP('Données projet'!$B$10,Paramètres!$A$1:$I$89,5,0)</f>
        <v>12.343439987118481</v>
      </c>
      <c r="AK19" s="13">
        <f t="shared" si="35"/>
        <v>4.2456589028321003</v>
      </c>
      <c r="AL19" s="20">
        <f t="shared" si="4"/>
        <v>28.892680566663927</v>
      </c>
      <c r="AM19" s="59">
        <f t="shared" si="5"/>
        <v>305.11490278888618</v>
      </c>
      <c r="AN19" s="59">
        <f ca="1">AVERAGE(OFFSET($AM$3,0,0,'Données projet'!$E$10+1,1))-AVERAGE(OFFSET($H$3,0,0,'Données projet'!$E$10+1,1))</f>
        <v>778.88878506193896</v>
      </c>
      <c r="AO19" s="59">
        <f t="shared" si="36"/>
        <v>279.2078283764684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21.4</v>
      </c>
      <c r="N20" s="13">
        <f>IF('Données projet'!$A$36&gt;35,N19+M20-V19,IF(A20&lt;'Données projet'!$A$36,$K$205^A20,IF(A20='Données projet'!$A$36,'Données projet'!$B$36,N19+M20-V19)))</f>
        <v>138.80000000000001</v>
      </c>
      <c r="O20" s="13">
        <f>N20*VLOOKUP('Données projet'!$B$9,Paramètres!$A$1:$I$89,3,0)*VLOOKUP('Données projet'!$B$9,Paramètres!$A$1:$I$89,5,0)</f>
        <v>83.002400000000009</v>
      </c>
      <c r="P20" s="13">
        <f t="shared" si="33"/>
        <v>22.869705036637765</v>
      </c>
      <c r="Q20" s="20">
        <f t="shared" si="2"/>
        <v>184.39391627214411</v>
      </c>
      <c r="R20" s="59">
        <f t="shared" si="0"/>
        <v>461.83836071658857</v>
      </c>
      <c r="S20" s="59">
        <f ca="1">AVERAGE(OFFSET($R$3,0,0,'Données projet'!$E$9+1,1))-AVERAGE(OFFSET($H$3,0,0,'Données projet'!$E$9+1,1))</f>
        <v>504.81063008331739</v>
      </c>
      <c r="T20" s="59">
        <f t="shared" si="34"/>
        <v>441.82647565372287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4.7395243974457877</v>
      </c>
      <c r="AC20" s="22">
        <f t="shared" si="3"/>
        <v>4.7395243974457877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3.6141025641025637</v>
      </c>
      <c r="AI20" s="13">
        <f>IF('Données projet'!$A$62&gt;35,AI19+AH20-AQ19,IF(A20&lt;'Données projet'!$A$62,$AF$205^A20,IF(A20='Données projet'!$A$62,'Données projet'!$B$62,AI19+AH20-AQ19)))</f>
        <v>14.231007443540239</v>
      </c>
      <c r="AJ20" s="13">
        <f>AI20*VLOOKUP('Données projet'!$B$10,Paramètres!$A$1:$I$89,3,0)*VLOOKUP('Données projet'!$B$10,Paramètres!$A$1:$I$89,5,0)</f>
        <v>14.430241547749802</v>
      </c>
      <c r="AK20" s="13">
        <f t="shared" si="35"/>
        <v>4.8740077852016022</v>
      </c>
      <c r="AL20" s="20">
        <f t="shared" si="4"/>
        <v>33.621567588223691</v>
      </c>
      <c r="AM20" s="59">
        <f t="shared" si="5"/>
        <v>311.06601203266814</v>
      </c>
      <c r="AN20" s="59">
        <f ca="1">AVERAGE(OFFSET($AM$3,0,0,'Données projet'!$E$10+1,1))-AVERAGE(OFFSET($H$3,0,0,'Données projet'!$E$10+1,1))</f>
        <v>778.88878506193896</v>
      </c>
      <c r="AO20" s="59">
        <f t="shared" si="36"/>
        <v>279.2078283764684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21.4</v>
      </c>
      <c r="N21" s="13">
        <f>IF('Données projet'!$A$36&gt;35,N20+M21-V20,IF(A21&lt;'Données projet'!$A$36,$K$205^A21,IF(A21='Données projet'!$A$36,'Données projet'!$B$36,N20+M21-V20)))</f>
        <v>160.20000000000002</v>
      </c>
      <c r="O21" s="13">
        <f>N21*VLOOKUP('Données projet'!$B$9,Paramètres!$A$1:$I$89,3,0)*VLOOKUP('Données projet'!$B$9,Paramètres!$A$1:$I$89,5,0)</f>
        <v>95.799600000000012</v>
      </c>
      <c r="P21" s="13">
        <f t="shared" si="33"/>
        <v>25.958824745990441</v>
      </c>
      <c r="Q21" s="20">
        <f t="shared" si="2"/>
        <v>212.06258976593335</v>
      </c>
      <c r="R21" s="59">
        <f t="shared" si="0"/>
        <v>490.72925643260004</v>
      </c>
      <c r="S21" s="59">
        <f ca="1">AVERAGE(OFFSET($R$3,0,0,'Données projet'!$E$9+1,1))-AVERAGE(OFFSET($H$3,0,0,'Données projet'!$E$9+1,1))</f>
        <v>504.81063008331739</v>
      </c>
      <c r="T21" s="59">
        <f t="shared" si="34"/>
        <v>441.82647565372287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3.3513498410330023</v>
      </c>
      <c r="AC21" s="22">
        <f t="shared" si="3"/>
        <v>3.3513498410330023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3.6141025641025637</v>
      </c>
      <c r="AI21" s="13">
        <f>IF('Données projet'!$A$62&gt;35,AI20+AH21-AQ20,IF(A21&lt;'Données projet'!$A$62,$AF$205^A21,IF(A21='Données projet'!$A$62,'Données projet'!$B$62,AI20+AH21-AQ20)))</f>
        <v>16.636924155050774</v>
      </c>
      <c r="AJ21" s="13">
        <f>AI21*VLOOKUP('Données projet'!$B$10,Paramètres!$A$1:$I$89,3,0)*VLOOKUP('Données projet'!$B$10,Paramètres!$A$1:$I$89,5,0)</f>
        <v>16.869841093221485</v>
      </c>
      <c r="AK21" s="13">
        <f t="shared" si="35"/>
        <v>5.5953510241624089</v>
      </c>
      <c r="AL21" s="20">
        <f t="shared" si="4"/>
        <v>39.126876271110284</v>
      </c>
      <c r="AM21" s="59">
        <f t="shared" si="5"/>
        <v>317.79354293777698</v>
      </c>
      <c r="AN21" s="59">
        <f ca="1">AVERAGE(OFFSET($AM$3,0,0,'Données projet'!$E$10+1,1))-AVERAGE(OFFSET($H$3,0,0,'Données projet'!$E$10+1,1))</f>
        <v>778.88878506193896</v>
      </c>
      <c r="AO21" s="59">
        <f t="shared" si="36"/>
        <v>279.2078283764684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21.4</v>
      </c>
      <c r="N22" s="13">
        <f>IF('Données projet'!$A$36&gt;35,N21+M22-V21,IF(A22&lt;'Données projet'!$A$36,$K$205^A22,IF(A22='Données projet'!$A$36,'Données projet'!$B$36,N21+M22-V21)))</f>
        <v>181.60000000000002</v>
      </c>
      <c r="O22" s="13">
        <f>N22*VLOOKUP('Données projet'!$B$9,Paramètres!$A$1:$I$89,3,0)*VLOOKUP('Données projet'!$B$9,Paramètres!$A$1:$I$89,5,0)</f>
        <v>108.59680000000003</v>
      </c>
      <c r="P22" s="13">
        <f t="shared" si="33"/>
        <v>29.000133087134955</v>
      </c>
      <c r="Q22" s="20">
        <f t="shared" si="2"/>
        <v>239.64799179342674</v>
      </c>
      <c r="R22" s="59">
        <f t="shared" si="0"/>
        <v>519.53688068231554</v>
      </c>
      <c r="S22" s="59">
        <f ca="1">AVERAGE(OFFSET($R$3,0,0,'Données projet'!$E$9+1,1))-AVERAGE(OFFSET($H$3,0,0,'Données projet'!$E$9+1,1))</f>
        <v>504.81063008331739</v>
      </c>
      <c r="T22" s="59">
        <f t="shared" si="34"/>
        <v>441.82647565372287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2.3697621987228943</v>
      </c>
      <c r="AC22" s="22">
        <f t="shared" si="3"/>
        <v>2.3697621987228943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3.6141025641025637</v>
      </c>
      <c r="AI22" s="13">
        <f>IF('Données projet'!$A$62&gt;35,AI21+AH22-AQ21,IF(A22&lt;'Données projet'!$A$62,$AF$205^A22,IF(A22='Données projet'!$A$62,'Données projet'!$B$62,AI21+AH22-AQ21)))</f>
        <v>19.449588965435588</v>
      </c>
      <c r="AJ22" s="13">
        <f>AI22*VLOOKUP('Données projet'!$B$10,Paramètres!$A$1:$I$89,3,0)*VLOOKUP('Données projet'!$B$10,Paramètres!$A$1:$I$89,5,0)</f>
        <v>19.721883210951685</v>
      </c>
      <c r="AK22" s="13">
        <f t="shared" si="35"/>
        <v>6.4234515953487206</v>
      </c>
      <c r="AL22" s="20">
        <f t="shared" si="4"/>
        <v>45.536458120973201</v>
      </c>
      <c r="AM22" s="59">
        <f t="shared" si="5"/>
        <v>325.42534700986204</v>
      </c>
      <c r="AN22" s="59">
        <f ca="1">AVERAGE(OFFSET($AM$3,0,0,'Données projet'!$E$10+1,1))-AVERAGE(OFFSET($H$3,0,0,'Données projet'!$E$10+1,1))</f>
        <v>778.88878506193896</v>
      </c>
      <c r="AO22" s="59">
        <f t="shared" si="36"/>
        <v>279.2078283764684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203</v>
      </c>
      <c r="L23" s="12">
        <f>VLOOKUP(A23,'Données projet'!$A$35:$I$55,9,0)</f>
        <v>21.4</v>
      </c>
      <c r="M23" s="12">
        <f t="array" ref="M23">INDEX(L:L,MIN(IF(ISNUMBER(L23:L219),ROW(L23:L219),"")))</f>
        <v>21.4</v>
      </c>
      <c r="N23" s="13">
        <f>IF('Données projet'!$A$36&gt;35,N22+M23-V22,IF(A23&lt;'Données projet'!$A$36,$K$205^A23,IF(A23='Données projet'!$A$36,'Données projet'!$B$36,N22+M23-V22)))</f>
        <v>203.00000000000003</v>
      </c>
      <c r="O23" s="13">
        <f>N23*VLOOKUP('Données projet'!$B$9,Paramètres!$A$1:$I$89,3,0)*VLOOKUP('Données projet'!$B$9,Paramètres!$A$1:$I$89,5,0)</f>
        <v>121.39400000000003</v>
      </c>
      <c r="P23" s="13">
        <f t="shared" si="33"/>
        <v>31.999908030972463</v>
      </c>
      <c r="Q23" s="20">
        <f t="shared" si="2"/>
        <v>267.16105648727711</v>
      </c>
      <c r="R23" s="59">
        <f t="shared" si="0"/>
        <v>548.27216759838825</v>
      </c>
      <c r="S23" s="59">
        <f ca="1">AVERAGE(OFFSET($R$3,0,0,'Données projet'!$E$9+1,1))-AVERAGE(OFFSET($H$3,0,0,'Données projet'!$E$9+1,1))</f>
        <v>504.81063008331739</v>
      </c>
      <c r="T23" s="59">
        <f t="shared" si="34"/>
        <v>441.82647565372287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63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0.45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22.401094880093407</v>
      </c>
      <c r="AB23" s="21">
        <f>EXP(-LN(2)/2)*AB22+(1-EXP(-LN(2)/2))/(LN(2)/2)*V23*Y23*VLOOKUP('Données projet'!$B$9,Paramètres!$A$1:$I$89,3,0)*0.475*44/12</f>
        <v>1.6756749205165016</v>
      </c>
      <c r="AC23" s="22">
        <f t="shared" si="3"/>
        <v>24.07676980060991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3.6141025641025637</v>
      </c>
      <c r="AI23" s="13">
        <f>IF('Données projet'!$A$62&gt;35,AI22+AH23-AQ22,IF(A23&lt;'Données projet'!$A$62,$AF$205^A23,IF(A23='Données projet'!$A$62,'Données projet'!$B$62,AI22+AH23-AQ22)))</f>
        <v>22.73776735404245</v>
      </c>
      <c r="AJ23" s="13">
        <f>AI23*VLOOKUP('Données projet'!$B$10,Paramètres!$A$1:$I$89,3,0)*VLOOKUP('Données projet'!$B$10,Paramètres!$A$1:$I$89,5,0)</f>
        <v>23.056096096999045</v>
      </c>
      <c r="AK23" s="13">
        <f t="shared" si="35"/>
        <v>7.3741093667960733</v>
      </c>
      <c r="AL23" s="20">
        <f t="shared" si="4"/>
        <v>52.999274516109828</v>
      </c>
      <c r="AM23" s="59">
        <f t="shared" si="5"/>
        <v>334.11038562722098</v>
      </c>
      <c r="AN23" s="59">
        <f ca="1">AVERAGE(OFFSET($AM$3,0,0,'Données projet'!$E$10+1,1))-AVERAGE(OFFSET($H$3,0,0,'Données projet'!$E$10+1,1))</f>
        <v>778.88878506193896</v>
      </c>
      <c r="AO23" s="59">
        <f t="shared" si="36"/>
        <v>279.2078283764684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22.8</v>
      </c>
      <c r="N24" s="13">
        <f>IF('Données projet'!$A$36&gt;35,N23+M24-V23,IF(A24&lt;'Données projet'!$A$36,$K$205^A24,IF(A24='Données projet'!$A$36,'Données projet'!$B$36,N23+M24-V23)))</f>
        <v>162.80000000000004</v>
      </c>
      <c r="O24" s="13">
        <f>N24*VLOOKUP('Données projet'!$B$9,Paramètres!$A$1:$I$89,3,0)*VLOOKUP('Données projet'!$B$9,Paramètres!$A$1:$I$89,5,0)</f>
        <v>97.354400000000027</v>
      </c>
      <c r="P24" s="13">
        <f t="shared" si="33"/>
        <v>26.330739676620471</v>
      </c>
      <c r="Q24" s="20">
        <f t="shared" si="2"/>
        <v>215.41828493678068</v>
      </c>
      <c r="R24" s="59">
        <f t="shared" si="0"/>
        <v>497.75161827011402</v>
      </c>
      <c r="S24" s="59">
        <f ca="1">AVERAGE(OFFSET($R$3,0,0,'Données projet'!$E$9+1,1))-AVERAGE(OFFSET($H$3,0,0,'Données projet'!$E$9+1,1))</f>
        <v>504.81063008331739</v>
      </c>
      <c r="T24" s="59">
        <f t="shared" si="34"/>
        <v>441.82647565372287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21.78853576257487</v>
      </c>
      <c r="AB24" s="21">
        <f>EXP(-LN(2)/2)*AB23+(1-EXP(-LN(2)/2))/(LN(2)/2)*V24*Y24*VLOOKUP('Données projet'!$B$9,Paramètres!$A$1:$I$89,3,0)*0.475*44/12</f>
        <v>1.1848810993614474</v>
      </c>
      <c r="AC24" s="22">
        <f t="shared" si="3"/>
        <v>22.973416861936318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3.6141025641025637</v>
      </c>
      <c r="AI24" s="13">
        <f>IF('Données projet'!$A$62&gt;35,AI23+AH24-AQ23,IF(A24&lt;'Données projet'!$A$62,$AF$205^A24,IF(A24='Données projet'!$A$62,'Données projet'!$B$62,AI23+AH24-AQ23)))</f>
        <v>26.581850401329536</v>
      </c>
      <c r="AJ24" s="13">
        <f>AI24*VLOOKUP('Données projet'!$B$10,Paramètres!$A$1:$I$89,3,0)*VLOOKUP('Données projet'!$B$10,Paramètres!$A$1:$I$89,5,0)</f>
        <v>26.953996306948152</v>
      </c>
      <c r="AK24" s="13">
        <f t="shared" si="35"/>
        <v>8.4654625548738949</v>
      </c>
      <c r="AL24" s="20">
        <f t="shared" si="4"/>
        <v>61.68889085100674</v>
      </c>
      <c r="AM24" s="59">
        <f t="shared" si="5"/>
        <v>344.02222418434008</v>
      </c>
      <c r="AN24" s="59">
        <f ca="1">AVERAGE(OFFSET($AM$3,0,0,'Données projet'!$E$10+1,1))-AVERAGE(OFFSET($H$3,0,0,'Données projet'!$E$10+1,1))</f>
        <v>778.88878506193896</v>
      </c>
      <c r="AO24" s="59">
        <f t="shared" si="36"/>
        <v>279.2078283764684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22.8</v>
      </c>
      <c r="N25" s="13">
        <f>IF('Données projet'!$A$36&gt;35,N24+M25-V24,IF(A25&lt;'Données projet'!$A$36,$K$205^A25,IF(A25='Données projet'!$A$36,'Données projet'!$B$36,N24+M25-V24)))</f>
        <v>185.60000000000005</v>
      </c>
      <c r="O25" s="13">
        <f>N25*VLOOKUP('Données projet'!$B$9,Paramètres!$A$1:$I$89,3,0)*VLOOKUP('Données projet'!$B$9,Paramètres!$A$1:$I$89,5,0)</f>
        <v>110.98880000000004</v>
      </c>
      <c r="P25" s="13">
        <f t="shared" si="33"/>
        <v>29.56383208945169</v>
      </c>
      <c r="Q25" s="20">
        <f t="shared" si="2"/>
        <v>244.79583422246174</v>
      </c>
      <c r="R25" s="59">
        <f t="shared" si="0"/>
        <v>528.35138977801728</v>
      </c>
      <c r="S25" s="59">
        <f ca="1">AVERAGE(OFFSET($R$3,0,0,'Données projet'!$E$9+1,1))-AVERAGE(OFFSET($H$3,0,0,'Données projet'!$E$9+1,1))</f>
        <v>504.81063008331739</v>
      </c>
      <c r="T25" s="59">
        <f t="shared" si="34"/>
        <v>441.82647565372287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21.192727106337962</v>
      </c>
      <c r="AB25" s="21">
        <f>EXP(-LN(2)/2)*AB24+(1-EXP(-LN(2)/2))/(LN(2)/2)*V25*Y25*VLOOKUP('Données projet'!$B$9,Paramètres!$A$1:$I$89,3,0)*0.475*44/12</f>
        <v>0.8378374602582509</v>
      </c>
      <c r="AC25" s="22">
        <f t="shared" si="3"/>
        <v>22.030564566596212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3.6141025641025637</v>
      </c>
      <c r="AI25" s="13">
        <f>IF('Données projet'!$A$62&gt;35,AI24+AH25-AQ24,IF(A25&lt;'Données projet'!$A$62,$AF$205^A25,IF(A25='Données projet'!$A$62,'Données projet'!$B$62,AI24+AH25-AQ24)))</f>
        <v>31.075820231445945</v>
      </c>
      <c r="AJ25" s="13">
        <f>AI25*VLOOKUP('Données projet'!$B$10,Paramètres!$A$1:$I$89,3,0)*VLOOKUP('Données projet'!$B$10,Paramètres!$A$1:$I$89,5,0)</f>
        <v>31.510881714686189</v>
      </c>
      <c r="AK25" s="13">
        <f t="shared" si="35"/>
        <v>9.7183337950829536</v>
      </c>
      <c r="AL25" s="20">
        <f t="shared" si="4"/>
        <v>71.807550346181259</v>
      </c>
      <c r="AM25" s="59">
        <f t="shared" si="5"/>
        <v>355.36310590173679</v>
      </c>
      <c r="AN25" s="59">
        <f ca="1">AVERAGE(OFFSET($AM$3,0,0,'Données projet'!$E$10+1,1))-AVERAGE(OFFSET($H$3,0,0,'Données projet'!$E$10+1,1))</f>
        <v>778.88878506193896</v>
      </c>
      <c r="AO25" s="59">
        <f t="shared" si="36"/>
        <v>279.2078283764684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22.8</v>
      </c>
      <c r="N26" s="13">
        <f>IF('Données projet'!$A$36&gt;35,N25+M26-V25,IF(A26&lt;'Données projet'!$A$36,$K$205^A26,IF(A26='Données projet'!$A$36,'Données projet'!$B$36,N25+M26-V25)))</f>
        <v>208.40000000000006</v>
      </c>
      <c r="O26" s="13">
        <f>N26*VLOOKUP('Données projet'!$B$9,Paramètres!$A$1:$I$89,3,0)*VLOOKUP('Données projet'!$B$9,Paramètres!$A$1:$I$89,5,0)</f>
        <v>124.62320000000004</v>
      </c>
      <c r="P26" s="13">
        <f t="shared" si="33"/>
        <v>32.750900958675722</v>
      </c>
      <c r="Q26" s="20">
        <f t="shared" si="2"/>
        <v>274.09322583636032</v>
      </c>
      <c r="R26" s="59">
        <f t="shared" si="0"/>
        <v>558.87100361413809</v>
      </c>
      <c r="S26" s="59">
        <f ca="1">AVERAGE(OFFSET($R$3,0,0,'Données projet'!$E$9+1,1))-AVERAGE(OFFSET($H$3,0,0,'Données projet'!$E$9+1,1))</f>
        <v>504.81063008331739</v>
      </c>
      <c r="T26" s="59">
        <f t="shared" si="34"/>
        <v>441.82647565372287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20.613210869138069</v>
      </c>
      <c r="AB26" s="21">
        <f>EXP(-LN(2)/2)*AB25+(1-EXP(-LN(2)/2))/(LN(2)/2)*V26*Y26*VLOOKUP('Données projet'!$B$9,Paramètres!$A$1:$I$89,3,0)*0.475*44/12</f>
        <v>0.59244054968072379</v>
      </c>
      <c r="AC26" s="22">
        <f t="shared" si="3"/>
        <v>21.205651418818793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3.6141025641025637</v>
      </c>
      <c r="AI26" s="13">
        <f>IF('Données projet'!$A$62&gt;35,AI25+AH26-AQ25,IF(A26&lt;'Données projet'!$A$62,$AF$205^A26,IF(A26='Données projet'!$A$62,'Données projet'!$B$62,AI25+AH26-AQ25)))</f>
        <v>36.329547735655126</v>
      </c>
      <c r="AJ26" s="13">
        <f>AI26*VLOOKUP('Données projet'!$B$10,Paramètres!$A$1:$I$89,3,0)*VLOOKUP('Données projet'!$B$10,Paramètres!$A$1:$I$89,5,0)</f>
        <v>36.838161403954302</v>
      </c>
      <c r="AK26" s="13">
        <f t="shared" si="35"/>
        <v>11.15662743062696</v>
      </c>
      <c r="AL26" s="20">
        <f t="shared" si="4"/>
        <v>83.590923886895695</v>
      </c>
      <c r="AM26" s="59">
        <f t="shared" si="5"/>
        <v>368.36870166467349</v>
      </c>
      <c r="AN26" s="59">
        <f ca="1">AVERAGE(OFFSET($AM$3,0,0,'Données projet'!$E$10+1,1))-AVERAGE(OFFSET($H$3,0,0,'Données projet'!$E$10+1,1))</f>
        <v>778.88878506193896</v>
      </c>
      <c r="AO26" s="59">
        <f t="shared" si="36"/>
        <v>279.2078283764684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22.8</v>
      </c>
      <c r="N27" s="13">
        <f>IF('Données projet'!$A$36&gt;35,N26+M27-V26,IF(A27&lt;'Données projet'!$A$36,$K$205^A27,IF(A27='Données projet'!$A$36,'Données projet'!$B$36,N26+M27-V26)))</f>
        <v>231.20000000000007</v>
      </c>
      <c r="O27" s="13">
        <f>N27*VLOOKUP('Données projet'!$B$9,Paramètres!$A$1:$I$89,3,0)*VLOOKUP('Données projet'!$B$9,Paramètres!$A$1:$I$89,5,0)</f>
        <v>138.25760000000005</v>
      </c>
      <c r="P27" s="13">
        <f t="shared" si="33"/>
        <v>35.897555647294986</v>
      </c>
      <c r="Q27" s="20">
        <f t="shared" si="2"/>
        <v>303.32022941903887</v>
      </c>
      <c r="R27" s="59">
        <f t="shared" si="0"/>
        <v>589.32022941903892</v>
      </c>
      <c r="S27" s="59">
        <f ca="1">AVERAGE(OFFSET($R$3,0,0,'Données projet'!$E$9+1,1))-AVERAGE(OFFSET($H$3,0,0,'Données projet'!$E$9+1,1))</f>
        <v>504.81063008331739</v>
      </c>
      <c r="T27" s="59">
        <f t="shared" si="34"/>
        <v>441.82647565372287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20.04954153391984</v>
      </c>
      <c r="AB27" s="21">
        <f>EXP(-LN(2)/2)*AB26+(1-EXP(-LN(2)/2))/(LN(2)/2)*V27*Y27*VLOOKUP('Données projet'!$B$9,Paramètres!$A$1:$I$89,3,0)*0.475*44/12</f>
        <v>0.41891873012912551</v>
      </c>
      <c r="AC27" s="22">
        <f t="shared" si="3"/>
        <v>20.468460264048964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3.6141025641025637</v>
      </c>
      <c r="AI27" s="13">
        <f>IF('Données projet'!$A$62&gt;35,AI26+AH27-AQ26,IF(A27&lt;'Données projet'!$A$62,$AF$205^A27,IF(A27='Données projet'!$A$62,'Données projet'!$B$62,AI26+AH27-AQ26)))</f>
        <v>42.47147875252827</v>
      </c>
      <c r="AJ27" s="13">
        <f>AI27*VLOOKUP('Données projet'!$B$10,Paramètres!$A$1:$I$89,3,0)*VLOOKUP('Données projet'!$B$10,Paramètres!$A$1:$I$89,5,0)</f>
        <v>43.066079455063672</v>
      </c>
      <c r="AK27" s="13">
        <f t="shared" si="35"/>
        <v>12.807785598884697</v>
      </c>
      <c r="AL27" s="20">
        <f t="shared" si="4"/>
        <v>97.313648302293402</v>
      </c>
      <c r="AM27" s="59">
        <f t="shared" si="5"/>
        <v>383.31364830229342</v>
      </c>
      <c r="AN27" s="59">
        <f ca="1">AVERAGE(OFFSET($AM$3,0,0,'Données projet'!$E$10+1,1))-AVERAGE(OFFSET($H$3,0,0,'Données projet'!$E$10+1,1))</f>
        <v>778.88878506193896</v>
      </c>
      <c r="AO27" s="59">
        <f t="shared" si="36"/>
        <v>279.2078283764684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254</v>
      </c>
      <c r="L28" s="12">
        <f>VLOOKUP(A28,'Données projet'!$A$35:$I$55,9,0)</f>
        <v>22.8</v>
      </c>
      <c r="M28" s="12">
        <f t="array" ref="M28">INDEX(L:L,MIN(IF(ISNUMBER(L28:L224),ROW(L28:L224),"")))</f>
        <v>22.8</v>
      </c>
      <c r="N28" s="13">
        <f>IF('Données projet'!$A$36&gt;35,N27+M28-V27,IF(A28&lt;'Données projet'!$A$36,$K$205^A28,IF(A28='Données projet'!$A$36,'Données projet'!$B$36,N27+M28-V27)))</f>
        <v>254.00000000000009</v>
      </c>
      <c r="O28" s="13">
        <f>N28*VLOOKUP('Données projet'!$B$9,Paramètres!$A$1:$I$89,3,0)*VLOOKUP('Données projet'!$B$9,Paramètres!$A$1:$I$89,5,0)</f>
        <v>151.89200000000005</v>
      </c>
      <c r="P28" s="13">
        <f t="shared" si="33"/>
        <v>39.008235247069457</v>
      </c>
      <c r="Q28" s="20">
        <f t="shared" si="2"/>
        <v>332.48457638864602</v>
      </c>
      <c r="R28" s="59">
        <f t="shared" si="0"/>
        <v>619.70679861086819</v>
      </c>
      <c r="S28" s="59">
        <f ca="1">AVERAGE(OFFSET($R$3,0,0,'Données projet'!$E$9+1,1))-AVERAGE(OFFSET($H$3,0,0,'Données projet'!$E$9+1,1))</f>
        <v>504.81063008331739</v>
      </c>
      <c r="T28" s="59">
        <f t="shared" si="34"/>
        <v>441.82647565372287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63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0.45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41.902380646408645</v>
      </c>
      <c r="AB28" s="21">
        <f>EXP(-LN(2)/2)*AB27+(1-EXP(-LN(2)/2))/(LN(2)/2)*V28*Y28*VLOOKUP('Données projet'!$B$9,Paramètres!$A$1:$I$89,3,0)*0.475*44/12</f>
        <v>0.2962202748403619</v>
      </c>
      <c r="AC28" s="22">
        <f t="shared" si="3"/>
        <v>42.198600921249003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3.6141025641025637</v>
      </c>
      <c r="AI28" s="13">
        <f>IF('Données projet'!$A$62&gt;35,AI27+AH28-AQ27,IF(A28&lt;'Données projet'!$A$62,$AF$205^A28,IF(A28='Données projet'!$A$62,'Données projet'!$B$62,AI27+AH28-AQ27)))</f>
        <v>49.651774378025635</v>
      </c>
      <c r="AJ28" s="13">
        <f>AI28*VLOOKUP('Données projet'!$B$10,Paramètres!$A$1:$I$89,3,0)*VLOOKUP('Données projet'!$B$10,Paramètres!$A$1:$I$89,5,0)</f>
        <v>50.346899219318004</v>
      </c>
      <c r="AK28" s="13">
        <f t="shared" si="35"/>
        <v>14.703311817752425</v>
      </c>
      <c r="AL28" s="20">
        <f t="shared" si="4"/>
        <v>113.29578422289764</v>
      </c>
      <c r="AM28" s="59">
        <f t="shared" si="5"/>
        <v>400.51800644511985</v>
      </c>
      <c r="AN28" s="59">
        <f ca="1">AVERAGE(OFFSET($AM$3,0,0,'Données projet'!$E$10+1,1))-AVERAGE(OFFSET($H$3,0,0,'Données projet'!$E$10+1,1))</f>
        <v>778.88878506193896</v>
      </c>
      <c r="AO28" s="59">
        <f t="shared" si="36"/>
        <v>279.2078283764684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</v>
      </c>
      <c r="N29" s="13">
        <f>IF('Données projet'!$A$36&gt;35,N28+M29-V28,IF(A29&lt;'Données projet'!$A$36,$K$205^A29,IF(A29='Données projet'!$A$36,'Données projet'!$B$36,N28+M29-V28)))</f>
        <v>215.00000000000011</v>
      </c>
      <c r="O29" s="13">
        <f>N29*VLOOKUP('Données projet'!$B$9,Paramètres!$A$1:$I$89,3,0)*VLOOKUP('Données projet'!$B$9,Paramètres!$A$1:$I$89,5,0)</f>
        <v>128.57000000000008</v>
      </c>
      <c r="P29" s="13">
        <f t="shared" si="33"/>
        <v>33.665715905233277</v>
      </c>
      <c r="Q29" s="20">
        <f t="shared" si="2"/>
        <v>282.56053853494808</v>
      </c>
      <c r="R29" s="59">
        <f t="shared" si="0"/>
        <v>571.00498297939248</v>
      </c>
      <c r="S29" s="59">
        <f ca="1">AVERAGE(OFFSET($R$3,0,0,'Données projet'!$E$9+1,1))-AVERAGE(OFFSET($H$3,0,0,'Données projet'!$E$9+1,1))</f>
        <v>504.81063008331739</v>
      </c>
      <c r="T29" s="59">
        <f t="shared" si="34"/>
        <v>441.82647565372287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40.756557844082174</v>
      </c>
      <c r="AB29" s="21">
        <f>EXP(-LN(2)/2)*AB28+(1-EXP(-LN(2)/2))/(LN(2)/2)*V29*Y29*VLOOKUP('Données projet'!$B$9,Paramètres!$A$1:$I$89,3,0)*0.475*44/12</f>
        <v>0.20945936506456275</v>
      </c>
      <c r="AC29" s="22">
        <f t="shared" si="3"/>
        <v>40.966017209146735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3.6141025641025637</v>
      </c>
      <c r="AI29" s="13">
        <f>IF('Données projet'!$A$62&gt;35,AI28+AH29-AQ28,IF(A29&lt;'Données projet'!$A$62,$AF$205^A29,IF(A29='Données projet'!$A$62,'Données projet'!$B$62,AI28+AH29-AQ28)))</f>
        <v>58.045982181385838</v>
      </c>
      <c r="AJ29" s="13">
        <f>AI29*VLOOKUP('Données projet'!$B$10,Paramètres!$A$1:$I$89,3,0)*VLOOKUP('Données projet'!$B$10,Paramètres!$A$1:$I$89,5,0)</f>
        <v>58.858625931925246</v>
      </c>
      <c r="AK29" s="13">
        <f t="shared" si="35"/>
        <v>16.87937206170001</v>
      </c>
      <c r="AL29" s="20">
        <f t="shared" si="4"/>
        <v>131.91034650556398</v>
      </c>
      <c r="AM29" s="59">
        <f t="shared" si="5"/>
        <v>420.35479095000846</v>
      </c>
      <c r="AN29" s="59">
        <f ca="1">AVERAGE(OFFSET($AM$3,0,0,'Données projet'!$E$10+1,1))-AVERAGE(OFFSET($H$3,0,0,'Données projet'!$E$10+1,1))</f>
        <v>778.88878506193896</v>
      </c>
      <c r="AO29" s="59">
        <f t="shared" si="36"/>
        <v>279.2078283764684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</v>
      </c>
      <c r="N30" s="13">
        <f>IF('Données projet'!$A$36&gt;35,N29+M30-V29,IF(A30&lt;'Données projet'!$A$36,$K$205^A30,IF(A30='Données projet'!$A$36,'Données projet'!$B$36,N29+M30-V29)))</f>
        <v>239.00000000000011</v>
      </c>
      <c r="O30" s="13">
        <f>N30*VLOOKUP('Données projet'!$B$9,Paramètres!$A$1:$I$89,3,0)*VLOOKUP('Données projet'!$B$9,Paramètres!$A$1:$I$89,5,0)</f>
        <v>142.92200000000008</v>
      </c>
      <c r="P30" s="13">
        <f t="shared" si="33"/>
        <v>36.965587791044591</v>
      </c>
      <c r="Q30" s="20">
        <f t="shared" si="2"/>
        <v>313.30421540273613</v>
      </c>
      <c r="R30" s="59">
        <f t="shared" si="0"/>
        <v>602.97088206940282</v>
      </c>
      <c r="S30" s="59">
        <f ca="1">AVERAGE(OFFSET($R$3,0,0,'Données projet'!$E$9+1,1))-AVERAGE(OFFSET($H$3,0,0,'Données projet'!$E$9+1,1))</f>
        <v>504.81063008331739</v>
      </c>
      <c r="T30" s="59">
        <f t="shared" si="34"/>
        <v>441.82647565372287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39.642067626541518</v>
      </c>
      <c r="AB30" s="21">
        <f>EXP(-LN(2)/2)*AB29+(1-EXP(-LN(2)/2))/(LN(2)/2)*V30*Y30*VLOOKUP('Données projet'!$B$9,Paramètres!$A$1:$I$89,3,0)*0.475*44/12</f>
        <v>0.14811013742018095</v>
      </c>
      <c r="AC30" s="22">
        <f t="shared" si="3"/>
        <v>39.790177763961701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3.6141025641025637</v>
      </c>
      <c r="AI30" s="13">
        <f>IF('Données projet'!$A$62&gt;35,AI29+AH30-AQ29,IF(A30&lt;'Données projet'!$A$62,$AF$205^A30,IF(A30='Données projet'!$A$62,'Données projet'!$B$62,AI29+AH30-AQ29)))</f>
        <v>67.859328082601763</v>
      </c>
      <c r="AJ30" s="13">
        <f>AI30*VLOOKUP('Données projet'!$B$10,Paramètres!$A$1:$I$89,3,0)*VLOOKUP('Données projet'!$B$10,Paramètres!$A$1:$I$89,5,0)</f>
        <v>68.80935867575819</v>
      </c>
      <c r="AK30" s="13">
        <f t="shared" si="35"/>
        <v>19.377484795860848</v>
      </c>
      <c r="AL30" s="20">
        <f t="shared" si="4"/>
        <v>153.59208571306985</v>
      </c>
      <c r="AM30" s="59">
        <f t="shared" si="5"/>
        <v>443.25875237973651</v>
      </c>
      <c r="AN30" s="59">
        <f ca="1">AVERAGE(OFFSET($AM$3,0,0,'Données projet'!$E$10+1,1))-AVERAGE(OFFSET($H$3,0,0,'Données projet'!$E$10+1,1))</f>
        <v>778.88878506193896</v>
      </c>
      <c r="AO30" s="59">
        <f t="shared" si="36"/>
        <v>279.2078283764684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</v>
      </c>
      <c r="N31" s="13">
        <f>IF('Données projet'!$A$36&gt;35,N30+M31-V30,IF(A31&lt;'Données projet'!$A$36,$K$205^A31,IF(A31='Données projet'!$A$36,'Données projet'!$B$36,N30+M31-V30)))</f>
        <v>263.00000000000011</v>
      </c>
      <c r="O31" s="13">
        <f>N31*VLOOKUP('Données projet'!$B$9,Paramètres!$A$1:$I$89,3,0)*VLOOKUP('Données projet'!$B$9,Paramètres!$A$1:$I$89,5,0)</f>
        <v>157.27400000000009</v>
      </c>
      <c r="P31" s="13">
        <f t="shared" si="33"/>
        <v>40.22704491543449</v>
      </c>
      <c r="Q31" s="20">
        <f t="shared" si="2"/>
        <v>343.98098656104861</v>
      </c>
      <c r="R31" s="59">
        <f t="shared" si="0"/>
        <v>634.86987544993747</v>
      </c>
      <c r="S31" s="59">
        <f ca="1">AVERAGE(OFFSET($R$3,0,0,'Données projet'!$E$9+1,1))-AVERAGE(OFFSET($H$3,0,0,'Données projet'!$E$9+1,1))</f>
        <v>504.81063008331739</v>
      </c>
      <c r="T31" s="59">
        <f t="shared" si="34"/>
        <v>441.82647565372287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38.558053202608008</v>
      </c>
      <c r="AB31" s="21">
        <f>EXP(-LN(2)/2)*AB30+(1-EXP(-LN(2)/2))/(LN(2)/2)*V31*Y31*VLOOKUP('Données projet'!$B$9,Paramètres!$A$1:$I$89,3,0)*0.475*44/12</f>
        <v>0.10472968253228138</v>
      </c>
      <c r="AC31" s="22">
        <f t="shared" si="3"/>
        <v>38.662782885140288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3.6141025641025637</v>
      </c>
      <c r="AI31" s="13">
        <f>IF('Données projet'!$A$62&gt;35,AI30+AH31-AQ30,IF(A31&lt;'Données projet'!$A$62,$AF$205^A31,IF(A31='Données projet'!$A$62,'Données projet'!$B$62,AI30+AH31-AQ30)))</f>
        <v>79.331733821516394</v>
      </c>
      <c r="AJ31" s="13">
        <f>AI31*VLOOKUP('Données projet'!$B$10,Paramètres!$A$1:$I$89,3,0)*VLOOKUP('Données projet'!$B$10,Paramètres!$A$1:$I$89,5,0)</f>
        <v>80.442378095017631</v>
      </c>
      <c r="AK31" s="13">
        <f t="shared" si="35"/>
        <v>22.245313133763656</v>
      </c>
      <c r="AL31" s="20">
        <f t="shared" si="4"/>
        <v>178.84772889012743</v>
      </c>
      <c r="AM31" s="59">
        <f t="shared" si="5"/>
        <v>469.73661777901629</v>
      </c>
      <c r="AN31" s="59">
        <f ca="1">AVERAGE(OFFSET($AM$3,0,0,'Données projet'!$E$10+1,1))-AVERAGE(OFFSET($H$3,0,0,'Données projet'!$E$10+1,1))</f>
        <v>778.88878506193896</v>
      </c>
      <c r="AO31" s="59">
        <f t="shared" si="36"/>
        <v>279.2078283764684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</v>
      </c>
      <c r="N32" s="13">
        <f>IF('Données projet'!$A$36&gt;35,N31+M32-V31,IF(A32&lt;'Données projet'!$A$36,$K$205^A32,IF(A32='Données projet'!$A$36,'Données projet'!$B$36,N31+M32-V31)))</f>
        <v>287.00000000000011</v>
      </c>
      <c r="O32" s="13">
        <f>N32*VLOOKUP('Données projet'!$B$9,Paramètres!$A$1:$I$89,3,0)*VLOOKUP('Données projet'!$B$9,Paramètres!$A$1:$I$89,5,0)</f>
        <v>171.62600000000009</v>
      </c>
      <c r="P32" s="13">
        <f t="shared" si="33"/>
        <v>43.453991492329642</v>
      </c>
      <c r="Q32" s="20">
        <f t="shared" si="2"/>
        <v>374.5976518491409</v>
      </c>
      <c r="R32" s="59">
        <f t="shared" si="0"/>
        <v>666.70876296025199</v>
      </c>
      <c r="S32" s="59">
        <f ca="1">AVERAGE(OFFSET($R$3,0,0,'Données projet'!$E$9+1,1))-AVERAGE(OFFSET($H$3,0,0,'Données projet'!$E$9+1,1))</f>
        <v>504.81063008331739</v>
      </c>
      <c r="T32" s="59">
        <f t="shared" si="34"/>
        <v>441.82647565372287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37.503681210102798</v>
      </c>
      <c r="AB32" s="21">
        <f>EXP(-LN(2)/2)*AB31+(1-EXP(-LN(2)/2))/(LN(2)/2)*V32*Y32*VLOOKUP('Données projet'!$B$9,Paramètres!$A$1:$I$89,3,0)*0.475*44/12</f>
        <v>7.4055068710090474E-2</v>
      </c>
      <c r="AC32" s="22">
        <f t="shared" si="3"/>
        <v>37.577736278812885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3.6141025641025637</v>
      </c>
      <c r="AI32" s="13">
        <f>IF('Données projet'!$A$62&gt;35,AI31+AH32-AQ31,IF(A32&lt;'Données projet'!$A$62,$AF$205^A32,IF(A32='Données projet'!$A$62,'Données projet'!$B$62,AI31+AH32-AQ31)))</f>
        <v>92.74368268820956</v>
      </c>
      <c r="AJ32" s="13">
        <f>AI32*VLOOKUP('Données projet'!$B$10,Paramètres!$A$1:$I$89,3,0)*VLOOKUP('Données projet'!$B$10,Paramètres!$A$1:$I$89,5,0)</f>
        <v>94.042094245844496</v>
      </c>
      <c r="AK32" s="13">
        <f t="shared" si="35"/>
        <v>25.537574232797304</v>
      </c>
      <c r="AL32" s="20">
        <f t="shared" si="4"/>
        <v>208.26792260030109</v>
      </c>
      <c r="AM32" s="59">
        <f t="shared" si="5"/>
        <v>500.37903371141226</v>
      </c>
      <c r="AN32" s="59">
        <f ca="1">AVERAGE(OFFSET($AM$3,0,0,'Données projet'!$E$10+1,1))-AVERAGE(OFFSET($H$3,0,0,'Données projet'!$E$10+1,1))</f>
        <v>778.88878506193896</v>
      </c>
      <c r="AO32" s="59">
        <f t="shared" si="36"/>
        <v>279.2078283764684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311</v>
      </c>
      <c r="L33" s="12">
        <f>VLOOKUP(A33,'Données projet'!$A$35:$I$55,9,0)</f>
        <v>24</v>
      </c>
      <c r="M33" s="12">
        <f t="array" ref="M33">INDEX(L:L,MIN(IF(ISNUMBER(L33:L229),ROW(L33:L229),"")))</f>
        <v>24</v>
      </c>
      <c r="N33" s="13">
        <f>IF('Données projet'!$A$36&gt;35,N32+M33-V32,IF(A33&lt;'Données projet'!$A$36,$K$205^A33,IF(A33='Données projet'!$A$36,'Données projet'!$B$36,N32+M33-V32)))</f>
        <v>311.00000000000011</v>
      </c>
      <c r="O33" s="13">
        <f>N33*VLOOKUP('Données projet'!$B$9,Paramètres!$A$1:$I$89,3,0)*VLOOKUP('Données projet'!$B$9,Paramètres!$A$1:$I$89,5,0)</f>
        <v>185.97800000000009</v>
      </c>
      <c r="P33" s="13">
        <f t="shared" si="33"/>
        <v>46.649641523668613</v>
      </c>
      <c r="Q33" s="20">
        <f t="shared" si="2"/>
        <v>405.15980898705629</v>
      </c>
      <c r="R33" s="59">
        <f t="shared" si="0"/>
        <v>698.49314232038955</v>
      </c>
      <c r="S33" s="59">
        <f ca="1">AVERAGE(OFFSET($R$3,0,0,'Données projet'!$E$9+1,1))-AVERAGE(OFFSET($H$3,0,0,'Données projet'!$E$9+1,1))</f>
        <v>504.81063008331739</v>
      </c>
      <c r="T33" s="59">
        <f t="shared" si="34"/>
        <v>441.82647565372287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58.87923595527306</v>
      </c>
      <c r="AB33" s="21">
        <f>EXP(-LN(2)/2)*AB32+(1-EXP(-LN(2)/2))/(LN(2)/2)*V33*Y33*VLOOKUP('Données projet'!$B$9,Paramètres!$A$1:$I$89,3,0)*0.475*44/12</f>
        <v>5.2364841266140688E-2</v>
      </c>
      <c r="AC33" s="22">
        <f t="shared" si="3"/>
        <v>58.9316007965392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108.42307692307691</v>
      </c>
      <c r="AG33" s="12">
        <f>VLOOKUP(A33,'Données projet'!$A$61:$I$81,9,0)</f>
        <v>3.6141025641025637</v>
      </c>
      <c r="AH33" s="12">
        <f t="array" ref="AH33">INDEX(AG:AG,MIN(IF(ISNUMBER(AG33:AG229),ROW(AG33:AG229),"")))</f>
        <v>3.6141025641025637</v>
      </c>
      <c r="AI33" s="13">
        <f>IF('Données projet'!$A$62&gt;35,AI32+AH33-AQ32,IF(A33&lt;'Données projet'!$A$62,$AF$205^A33,IF(A33='Données projet'!$A$62,'Données projet'!$B$62,AI32+AH33-AQ32)))</f>
        <v>108.42307692307691</v>
      </c>
      <c r="AJ33" s="13">
        <f>AI33*VLOOKUP('Données projet'!$B$10,Paramètres!$A$1:$I$89,3,0)*VLOOKUP('Données projet'!$B$10,Paramètres!$A$1:$I$89,5,0)</f>
        <v>109.94099999999999</v>
      </c>
      <c r="AK33" s="13">
        <f t="shared" si="35"/>
        <v>29.317083278355092</v>
      </c>
      <c r="AL33" s="20">
        <f t="shared" si="4"/>
        <v>242.5411617098018</v>
      </c>
      <c r="AM33" s="59">
        <f t="shared" si="5"/>
        <v>535.87449504313508</v>
      </c>
      <c r="AN33" s="59">
        <f ca="1">AVERAGE(OFFSET($AM$3,0,0,'Données projet'!$E$10+1,1))-AVERAGE(OFFSET($H$3,0,0,'Données projet'!$E$10+1,1))</f>
        <v>778.88878506193896</v>
      </c>
      <c r="AO33" s="59">
        <f t="shared" si="36"/>
        <v>279.2078283764684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24.2</v>
      </c>
      <c r="N34" s="13">
        <f>IF('Données projet'!$A$36&gt;35,N33+M34-V33,IF(A34&lt;'Données projet'!$A$36,$K$205^A34,IF(A34='Données projet'!$A$36,'Données projet'!$B$36,N33+M34-V33)))</f>
        <v>272.2000000000001</v>
      </c>
      <c r="O34" s="13">
        <f>N34*VLOOKUP('Données projet'!$B$9,Paramètres!$A$1:$I$89,3,0)*VLOOKUP('Données projet'!$B$9,Paramètres!$A$1:$I$89,5,0)</f>
        <v>162.77560000000005</v>
      </c>
      <c r="P34" s="13">
        <f t="shared" si="33"/>
        <v>41.467931707956311</v>
      </c>
      <c r="Q34" s="20">
        <f t="shared" si="2"/>
        <v>355.72415105802401</v>
      </c>
      <c r="R34" s="59">
        <f t="shared" si="0"/>
        <v>649.05748439135732</v>
      </c>
      <c r="S34" s="59">
        <f ca="1">AVERAGE(OFFSET($R$3,0,0,'Données projet'!$E$9+1,1))-AVERAGE(OFFSET($H$3,0,0,'Données projet'!$E$9+1,1))</f>
        <v>504.81063008331739</v>
      </c>
      <c r="T34" s="59">
        <f t="shared" si="34"/>
        <v>441.82647565372287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57.269180151751669</v>
      </c>
      <c r="AB34" s="21">
        <f>EXP(-LN(2)/2)*AB33+(1-EXP(-LN(2)/2))/(LN(2)/2)*V34*Y34*VLOOKUP('Données projet'!$B$9,Paramètres!$A$1:$I$89,3,0)*0.475*44/12</f>
        <v>3.7027534355045237E-2</v>
      </c>
      <c r="AC34" s="22">
        <f t="shared" si="3"/>
        <v>57.306207686106717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16.154230769230772</v>
      </c>
      <c r="AI34" s="13">
        <f>IF('Données projet'!$A$62&gt;35,AI33+AH34-AQ33,IF(A34&lt;'Données projet'!$A$62,$AF$205^A34,IF(A34='Données projet'!$A$62,'Données projet'!$B$62,AI33+AH34-AQ33)))</f>
        <v>124.57730769230767</v>
      </c>
      <c r="AJ34" s="13">
        <f>AI34*VLOOKUP('Données projet'!$B$10,Paramètres!$A$1:$I$89,3,0)*VLOOKUP('Données projet'!$B$10,Paramètres!$A$1:$I$89,5,0)</f>
        <v>126.32138999999998</v>
      </c>
      <c r="AK34" s="13">
        <f t="shared" si="35"/>
        <v>33.144925718698765</v>
      </c>
      <c r="AL34" s="20">
        <f t="shared" si="4"/>
        <v>277.73716654340029</v>
      </c>
      <c r="AM34" s="59">
        <f t="shared" si="5"/>
        <v>571.07049987673361</v>
      </c>
      <c r="AN34" s="59">
        <f ca="1">AVERAGE(OFFSET($AM$3,0,0,'Données projet'!$E$10+1,1))-AVERAGE(OFFSET($H$3,0,0,'Données projet'!$E$10+1,1))</f>
        <v>778.88878506193896</v>
      </c>
      <c r="AO34" s="59">
        <f t="shared" si="36"/>
        <v>279.2078283764684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24.2</v>
      </c>
      <c r="N35" s="13">
        <f>IF('Données projet'!$A$36&gt;35,N34+M35-V34,IF(A35&lt;'Données projet'!$A$36,$K$205^A35,IF(A35='Données projet'!$A$36,'Données projet'!$B$36,N34+M35-V34)))</f>
        <v>296.40000000000009</v>
      </c>
      <c r="O35" s="13">
        <f>N35*VLOOKUP('Données projet'!$B$9,Paramètres!$A$1:$I$89,3,0)*VLOOKUP('Données projet'!$B$9,Paramètres!$A$1:$I$89,5,0)</f>
        <v>177.24720000000008</v>
      </c>
      <c r="P35" s="13">
        <f t="shared" si="33"/>
        <v>44.709190633994517</v>
      </c>
      <c r="Q35" s="20">
        <f t="shared" ref="Q35:Q66" si="53">(O35+P35)*0.475*44/12</f>
        <v>386.57404702087388</v>
      </c>
      <c r="R35" s="59">
        <f t="shared" si="0"/>
        <v>679.90738035420713</v>
      </c>
      <c r="S35" s="59">
        <f ca="1">AVERAGE(OFFSET($R$3,0,0,'Données projet'!$E$9+1,1))-AVERAGE(OFFSET($H$3,0,0,'Données projet'!$E$9+1,1))</f>
        <v>504.81063008331739</v>
      </c>
      <c r="T35" s="59">
        <f t="shared" si="34"/>
        <v>441.82647565372287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55.703151408846729</v>
      </c>
      <c r="AB35" s="21">
        <f>EXP(-LN(2)/2)*AB34+(1-EXP(-LN(2)/2))/(LN(2)/2)*V35*Y35*VLOOKUP('Données projet'!$B$9,Paramètres!$A$1:$I$89,3,0)*0.475*44/12</f>
        <v>2.6182420633070344E-2</v>
      </c>
      <c r="AC35" s="22">
        <f t="shared" si="3"/>
        <v>55.729333829479799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16.154230769230772</v>
      </c>
      <c r="AI35" s="13">
        <f>IF('Données projet'!$A$62&gt;35,AI34+AH35-AQ34,IF(A35&lt;'Données projet'!$A$62,$AF$205^A35,IF(A35='Données projet'!$A$62,'Données projet'!$B$62,AI34+AH35-AQ34)))</f>
        <v>140.73153846153843</v>
      </c>
      <c r="AJ35" s="13">
        <f>AI35*VLOOKUP('Données projet'!$B$10,Paramètres!$A$1:$I$89,3,0)*VLOOKUP('Données projet'!$B$10,Paramètres!$A$1:$I$89,5,0)</f>
        <v>142.70177999999999</v>
      </c>
      <c r="AK35" s="13">
        <f t="shared" si="35"/>
        <v>36.915255121667798</v>
      </c>
      <c r="AL35" s="20">
        <f t="shared" si="4"/>
        <v>312.83300283690465</v>
      </c>
      <c r="AM35" s="59">
        <f t="shared" si="5"/>
        <v>606.16633617023797</v>
      </c>
      <c r="AN35" s="59">
        <f ca="1">AVERAGE(OFFSET($AM$3,0,0,'Données projet'!$E$10+1,1))-AVERAGE(OFFSET($H$3,0,0,'Données projet'!$E$10+1,1))</f>
        <v>778.88878506193896</v>
      </c>
      <c r="AO35" s="59">
        <f t="shared" si="36"/>
        <v>279.2078283764684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24.2</v>
      </c>
      <c r="N36" s="13">
        <f>IF('Données projet'!$A$36&gt;35,N35+M36-V35,IF(A36&lt;'Données projet'!$A$36,$K$205^A36,IF(A36='Données projet'!$A$36,'Données projet'!$B$36,N35+M36-V35)))</f>
        <v>320.60000000000008</v>
      </c>
      <c r="O36" s="13">
        <f>N36*VLOOKUP('Données projet'!$B$9,Paramètres!$A$1:$I$89,3,0)*VLOOKUP('Données projet'!$B$9,Paramètres!$A$1:$I$89,5,0)</f>
        <v>191.71880000000007</v>
      </c>
      <c r="P36" s="13">
        <f t="shared" si="33"/>
        <v>47.919755728134994</v>
      </c>
      <c r="Q36" s="20">
        <f t="shared" si="53"/>
        <v>417.37048455983518</v>
      </c>
      <c r="R36" s="59">
        <f t="shared" si="0"/>
        <v>710.70381789316843</v>
      </c>
      <c r="S36" s="59">
        <f ca="1">AVERAGE(OFFSET($R$3,0,0,'Données projet'!$E$9+1,1))-AVERAGE(OFFSET($H$3,0,0,'Données projet'!$E$9+1,1))</f>
        <v>504.81063008331739</v>
      </c>
      <c r="T36" s="59">
        <f t="shared" si="34"/>
        <v>441.82647565372287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54.179945804270396</v>
      </c>
      <c r="AB36" s="21">
        <f>EXP(-LN(2)/2)*AB35+(1-EXP(-LN(2)/2))/(LN(2)/2)*V36*Y36*VLOOKUP('Données projet'!$B$9,Paramètres!$A$1:$I$89,3,0)*0.475*44/12</f>
        <v>1.8513767177522619E-2</v>
      </c>
      <c r="AC36" s="22">
        <f t="shared" si="3"/>
        <v>54.19845957144792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16.154230769230772</v>
      </c>
      <c r="AI36" s="13">
        <f>IF('Données projet'!$A$62&gt;35,AI35+AH36-AQ35,IF(A36&lt;'Données projet'!$A$62,$AF$205^A36,IF(A36='Données projet'!$A$62,'Données projet'!$B$62,AI35+AH36-AQ35)))</f>
        <v>156.8857692307692</v>
      </c>
      <c r="AJ36" s="13">
        <f>AI36*VLOOKUP('Données projet'!$B$10,Paramètres!$A$1:$I$89,3,0)*VLOOKUP('Données projet'!$B$10,Paramètres!$A$1:$I$89,5,0)</f>
        <v>159.08216999999996</v>
      </c>
      <c r="AK36" s="13">
        <f t="shared" si="35"/>
        <v>40.635427024694458</v>
      </c>
      <c r="AL36" s="20">
        <f t="shared" si="4"/>
        <v>347.84148148467608</v>
      </c>
      <c r="AM36" s="59">
        <f t="shared" si="5"/>
        <v>641.17481481800939</v>
      </c>
      <c r="AN36" s="59">
        <f ca="1">AVERAGE(OFFSET($AM$3,0,0,'Données projet'!$E$10+1,1))-AVERAGE(OFFSET($H$3,0,0,'Données projet'!$E$10+1,1))</f>
        <v>778.88878506193896</v>
      </c>
      <c r="AO36" s="59">
        <f t="shared" si="36"/>
        <v>279.2078283764684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24.2</v>
      </c>
      <c r="N37" s="13">
        <f>IF('Données projet'!$A$36&gt;35,N36+M37-V36,IF(A37&lt;'Données projet'!$A$36,$K$205^A37,IF(A37='Données projet'!$A$36,'Données projet'!$B$36,N36+M37-V36)))</f>
        <v>344.80000000000007</v>
      </c>
      <c r="O37" s="13">
        <f>N37*VLOOKUP('Données projet'!$B$9,Paramètres!$A$1:$I$89,3,0)*VLOOKUP('Données projet'!$B$9,Paramètres!$A$1:$I$89,5,0)</f>
        <v>206.19040000000004</v>
      </c>
      <c r="P37" s="13">
        <f t="shared" si="33"/>
        <v>51.102207309460546</v>
      </c>
      <c r="Q37" s="20">
        <f t="shared" si="53"/>
        <v>448.11795773064387</v>
      </c>
      <c r="R37" s="59">
        <f t="shared" si="0"/>
        <v>741.45129106397712</v>
      </c>
      <c r="S37" s="59">
        <f ca="1">AVERAGE(OFFSET($R$3,0,0,'Données projet'!$E$9+1,1))-AVERAGE(OFFSET($H$3,0,0,'Données projet'!$E$9+1,1))</f>
        <v>504.81063008331739</v>
      </c>
      <c r="T37" s="59">
        <f t="shared" si="34"/>
        <v>441.82647565372287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52.6983923370531</v>
      </c>
      <c r="AB37" s="21">
        <f>EXP(-LN(2)/2)*AB36+(1-EXP(-LN(2)/2))/(LN(2)/2)*V37*Y37*VLOOKUP('Données projet'!$B$9,Paramètres!$A$1:$I$89,3,0)*0.475*44/12</f>
        <v>1.3091210316535172E-2</v>
      </c>
      <c r="AC37" s="22">
        <f t="shared" si="3"/>
        <v>52.711483547369639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16.154230769230772</v>
      </c>
      <c r="AH37" s="12">
        <f t="array" ref="AH37">INDEX(AG:AG,MIN(IF(ISNUMBER(AG37:AG233),ROW(AG37:AG233),"")))</f>
        <v>16.154230769230772</v>
      </c>
      <c r="AI37" s="13">
        <f>IF('Données projet'!$A$62&gt;35,AI36+AH37-AQ36,IF(A37&lt;'Données projet'!$A$62,$AF$205^A37,IF(A37='Données projet'!$A$62,'Données projet'!$B$62,AI36+AH37-AQ36)))</f>
        <v>173.03999999999996</v>
      </c>
      <c r="AJ37" s="13">
        <f>AI37*VLOOKUP('Données projet'!$B$10,Paramètres!$A$1:$I$89,3,0)*VLOOKUP('Données projet'!$B$10,Paramètres!$A$1:$I$89,5,0)</f>
        <v>175.46256</v>
      </c>
      <c r="AK37" s="13">
        <f t="shared" si="35"/>
        <v>44.311194244027057</v>
      </c>
      <c r="AL37" s="20">
        <f t="shared" si="4"/>
        <v>382.77262197501381</v>
      </c>
      <c r="AM37" s="59">
        <f t="shared" si="5"/>
        <v>676.10595530834712</v>
      </c>
      <c r="AN37" s="59">
        <f ca="1">AVERAGE(OFFSET($AM$3,0,0,'Données projet'!$E$10+1,1))-AVERAGE(OFFSET($H$3,0,0,'Données projet'!$E$10+1,1))</f>
        <v>778.88878506193896</v>
      </c>
      <c r="AO37" s="59">
        <f t="shared" si="36"/>
        <v>279.2078283764684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17.08715505863627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17.08715505863627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369</v>
      </c>
      <c r="L38" s="12">
        <f>VLOOKUP(A38,'Données projet'!$A$35:$I$55,9,0)</f>
        <v>24.2</v>
      </c>
      <c r="M38" s="12">
        <f t="array" ref="M38">INDEX(L:L,MIN(IF(ISNUMBER(L38:L234),ROW(L38:L234),"")))</f>
        <v>24.2</v>
      </c>
      <c r="N38" s="13">
        <f>IF('Données projet'!$A$36&gt;35,N37+M38-V37,IF(A38&lt;'Données projet'!$A$36,$K$205^A38,IF(A38='Données projet'!$A$36,'Données projet'!$B$36,N37+M38-V37)))</f>
        <v>369.00000000000006</v>
      </c>
      <c r="O38" s="13">
        <f>N38*VLOOKUP('Données projet'!$B$9,Paramètres!$A$1:$I$89,3,0)*VLOOKUP('Données projet'!$B$9,Paramètres!$A$1:$I$89,5,0)</f>
        <v>220.66200000000006</v>
      </c>
      <c r="P38" s="13">
        <f t="shared" si="33"/>
        <v>54.258742979955002</v>
      </c>
      <c r="Q38" s="20">
        <f t="shared" si="53"/>
        <v>478.82029402342181</v>
      </c>
      <c r="R38" s="59">
        <f t="shared" si="0"/>
        <v>772.15362735675512</v>
      </c>
      <c r="S38" s="59">
        <f ca="1">AVERAGE(OFFSET($R$3,0,0,'Données projet'!$E$9+1,1))-AVERAGE(OFFSET($H$3,0,0,'Données projet'!$E$9+1,1))</f>
        <v>504.81063008331739</v>
      </c>
      <c r="T38" s="59">
        <f t="shared" si="34"/>
        <v>441.82647565372287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63</v>
      </c>
      <c r="W38" s="16">
        <f>IF(ISNA(VLOOKUP(A38,'Données projet'!$A$35:$I$55,5,0)),0%,VLOOKUP(A38,'Données projet'!$A$35:$I$55,5,0)*VLOOKUP('Données projet'!$B$9,Paramètres!$A$1:$I$89,7,0))</f>
        <v>0.45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22.489645182403162</v>
      </c>
      <c r="AA38" s="21">
        <f>EXP(-LN(2)/25)*AA37+(1-EXP(-LN(2)/25))/(LN(2)/25)*Calculateur!V38*Calculateur!X38*VLOOKUP('Données projet'!$B$9,Paramètres!$A$1:$I$89,3,0)*0.475*44/12</f>
        <v>51.257352027308372</v>
      </c>
      <c r="AB38" s="21">
        <f>EXP(-LN(2)/2)*AB37+(1-EXP(-LN(2)/2))/(LN(2)/2)*V38*Y38*VLOOKUP('Données projet'!$B$9,Paramètres!$A$1:$I$89,3,0)*0.475*44/12</f>
        <v>9.2568835887613093E-3</v>
      </c>
      <c r="AC38" s="22">
        <f t="shared" si="3"/>
        <v>73.756254093300299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153.51199500000001</v>
      </c>
      <c r="AK38" s="13">
        <f t="shared" si="35"/>
        <v>39.375620894369419</v>
      </c>
      <c r="AL38" s="20">
        <f t="shared" si="4"/>
        <v>335.9459310160268</v>
      </c>
      <c r="AM38" s="59">
        <f t="shared" si="5"/>
        <v>629.27926434936012</v>
      </c>
      <c r="AN38" s="59">
        <f ca="1">AVERAGE(OFFSET($AM$3,0,0,'Données projet'!$E$10+1,1))-AVERAGE(OFFSET($H$3,0,0,'Données projet'!$E$10+1,1))</f>
        <v>778.88878506193896</v>
      </c>
      <c r="AO38" s="59">
        <f t="shared" si="36"/>
        <v>279.2078283764684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16.752086370071897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16.752086370071897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23.6</v>
      </c>
      <c r="N39" s="13">
        <f>IF('Données projet'!$A$36&gt;35,N38+M39-V38,IF(A39&lt;'Données projet'!$A$36,$K$205^A39,IF(A39='Données projet'!$A$36,'Données projet'!$B$36,N38+M39-V38)))</f>
        <v>329.60000000000008</v>
      </c>
      <c r="O39" s="13">
        <f>N39*VLOOKUP('Données projet'!$B$9,Paramètres!$A$1:$I$89,3,0)*VLOOKUP('Données projet'!$B$9,Paramètres!$A$1:$I$89,5,0)</f>
        <v>197.10080000000005</v>
      </c>
      <c r="P39" s="13">
        <f t="shared" si="33"/>
        <v>49.10647084525754</v>
      </c>
      <c r="Q39" s="20">
        <f t="shared" si="53"/>
        <v>428.81099672215697</v>
      </c>
      <c r="R39" s="59">
        <f t="shared" si="0"/>
        <v>722.14433005549029</v>
      </c>
      <c r="S39" s="59">
        <f ca="1">AVERAGE(OFFSET($R$3,0,0,'Données projet'!$E$9+1,1))-AVERAGE(OFFSET($H$3,0,0,'Données projet'!$E$9+1,1))</f>
        <v>504.81063008331739</v>
      </c>
      <c r="T39" s="59">
        <f t="shared" si="34"/>
        <v>441.82647565372287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22.048636957705323</v>
      </c>
      <c r="AA39" s="21">
        <f>EXP(-LN(2)/25)*AA38+(1-EXP(-LN(2)/25))/(LN(2)/25)*Calculateur!V39*Calculateur!X39*VLOOKUP('Données projet'!$B$9,Paramètres!$A$1:$I$89,3,0)*0.475*44/12</f>
        <v>49.855717040614628</v>
      </c>
      <c r="AB39" s="21">
        <f>EXP(-LN(2)/2)*AB38+(1-EXP(-LN(2)/2))/(LN(2)/2)*V39*Y39*VLOOKUP('Données projet'!$B$9,Paramètres!$A$1:$I$89,3,0)*0.475*44/12</f>
        <v>6.545605158267586E-3</v>
      </c>
      <c r="AC39" s="22">
        <f t="shared" si="3"/>
        <v>71.910899603478214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167.50773000000001</v>
      </c>
      <c r="AK39" s="13">
        <f t="shared" si="35"/>
        <v>42.53135912962076</v>
      </c>
      <c r="AL39" s="20">
        <f t="shared" si="4"/>
        <v>365.81808023408945</v>
      </c>
      <c r="AM39" s="59">
        <f t="shared" si="5"/>
        <v>659.15141356742276</v>
      </c>
      <c r="AN39" s="59">
        <f ca="1">AVERAGE(OFFSET($AM$3,0,0,'Données projet'!$E$10+1,1))-AVERAGE(OFFSET($H$3,0,0,'Données projet'!$E$10+1,1))</f>
        <v>778.88878506193896</v>
      </c>
      <c r="AO39" s="59">
        <f t="shared" si="36"/>
        <v>279.2078283764684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16.423588174118553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16.423588174118553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23.6</v>
      </c>
      <c r="N40" s="13">
        <f>IF('Données projet'!$A$36&gt;35,N39+M40-V39,IF(A40&lt;'Données projet'!$A$36,$K$205^A40,IF(A40='Données projet'!$A$36,'Données projet'!$B$36,N39+M40-V39)))</f>
        <v>353.2000000000001</v>
      </c>
      <c r="O40" s="13">
        <f>N40*VLOOKUP('Données projet'!$B$9,Paramètres!$A$1:$I$89,3,0)*VLOOKUP('Données projet'!$B$9,Paramètres!$A$1:$I$89,5,0)</f>
        <v>211.2136000000001</v>
      </c>
      <c r="P40" s="13">
        <f t="shared" si="33"/>
        <v>52.20069882503806</v>
      </c>
      <c r="Q40" s="20">
        <f t="shared" si="53"/>
        <v>458.77990378694136</v>
      </c>
      <c r="R40" s="59">
        <f t="shared" si="0"/>
        <v>752.11323712027468</v>
      </c>
      <c r="S40" s="59">
        <f ca="1">AVERAGE(OFFSET($R$3,0,0,'Données projet'!$E$9+1,1))-AVERAGE(OFFSET($H$3,0,0,'Données projet'!$E$9+1,1))</f>
        <v>504.81063008331739</v>
      </c>
      <c r="T40" s="59">
        <f t="shared" si="34"/>
        <v>441.82647565372287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21.616276635305354</v>
      </c>
      <c r="AA40" s="21">
        <f>EXP(-LN(2)/25)*AA39+(1-EXP(-LN(2)/25))/(LN(2)/25)*Calculateur!V40*Calculateur!X40*VLOOKUP('Données projet'!$B$9,Paramètres!$A$1:$I$89,3,0)*0.475*44/12</f>
        <v>48.492409836340812</v>
      </c>
      <c r="AB40" s="21">
        <f>EXP(-LN(2)/2)*AB39+(1-EXP(-LN(2)/2))/(LN(2)/2)*V40*Y40*VLOOKUP('Données projet'!$B$9,Paramètres!$A$1:$I$89,3,0)*0.475*44/12</f>
        <v>4.6284417943806546E-3</v>
      </c>
      <c r="AC40" s="22">
        <f t="shared" si="3"/>
        <v>70.113314913440547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181.50346500000001</v>
      </c>
      <c r="AK40" s="13">
        <f t="shared" si="35"/>
        <v>45.656517328578786</v>
      </c>
      <c r="AL40" s="20">
        <f t="shared" si="4"/>
        <v>395.63696922227473</v>
      </c>
      <c r="AM40" s="59">
        <f t="shared" si="5"/>
        <v>688.97030255560799</v>
      </c>
      <c r="AN40" s="59">
        <f ca="1">AVERAGE(OFFSET($AM$3,0,0,'Données projet'!$E$10+1,1))-AVERAGE(OFFSET($H$3,0,0,'Données projet'!$E$10+1,1))</f>
        <v>778.88878506193896</v>
      </c>
      <c r="AO40" s="59">
        <f t="shared" si="36"/>
        <v>279.2078283764684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16.101531627423739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16.101531627423739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23.6</v>
      </c>
      <c r="N41" s="13">
        <f>IF('Données projet'!$A$36&gt;35,N40+M41-V40,IF(A41&lt;'Données projet'!$A$36,$K$205^A41,IF(A41='Données projet'!$A$36,'Données projet'!$B$36,N40+M41-V40)))</f>
        <v>376.80000000000013</v>
      </c>
      <c r="O41" s="13">
        <f>N41*VLOOKUP('Données projet'!$B$9,Paramètres!$A$1:$I$89,3,0)*VLOOKUP('Données projet'!$B$9,Paramètres!$A$1:$I$89,5,0)</f>
        <v>225.32640000000009</v>
      </c>
      <c r="P41" s="13">
        <f t="shared" si="33"/>
        <v>55.270935716234675</v>
      </c>
      <c r="Q41" s="20">
        <f t="shared" si="53"/>
        <v>488.70702637244216</v>
      </c>
      <c r="R41" s="59">
        <f t="shared" si="0"/>
        <v>782.04035970577547</v>
      </c>
      <c r="S41" s="59">
        <f ca="1">AVERAGE(OFFSET($R$3,0,0,'Données projet'!$E$9+1,1))-AVERAGE(OFFSET($H$3,0,0,'Données projet'!$E$9+1,1))</f>
        <v>504.81063008331739</v>
      </c>
      <c r="T41" s="59">
        <f t="shared" si="34"/>
        <v>441.82647565372287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21.192394635113889</v>
      </c>
      <c r="AA41" s="21">
        <f>EXP(-LN(2)/25)*AA40+(1-EXP(-LN(2)/25))/(LN(2)/25)*Calculateur!V41*Calculateur!X41*VLOOKUP('Données projet'!$B$9,Paramètres!$A$1:$I$89,3,0)*0.475*44/12</f>
        <v>47.166382339261069</v>
      </c>
      <c r="AB41" s="21">
        <f>EXP(-LN(2)/2)*AB40+(1-EXP(-LN(2)/2))/(LN(2)/2)*V41*Y41*VLOOKUP('Données projet'!$B$9,Paramètres!$A$1:$I$89,3,0)*0.475*44/12</f>
        <v>3.272802579133793E-3</v>
      </c>
      <c r="AC41" s="22">
        <f t="shared" si="3"/>
        <v>68.362049776954095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195.49920000000003</v>
      </c>
      <c r="AK41" s="13">
        <f t="shared" si="35"/>
        <v>48.753721622209305</v>
      </c>
      <c r="AL41" s="20">
        <f t="shared" si="4"/>
        <v>425.40717182534786</v>
      </c>
      <c r="AM41" s="59">
        <f t="shared" si="5"/>
        <v>718.74050515868112</v>
      </c>
      <c r="AN41" s="59">
        <f ca="1">AVERAGE(OFFSET($AM$3,0,0,'Données projet'!$E$10+1,1))-AVERAGE(OFFSET($H$3,0,0,'Données projet'!$E$10+1,1))</f>
        <v>778.88878506193896</v>
      </c>
      <c r="AO41" s="59">
        <f t="shared" si="36"/>
        <v>279.2078283764684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15.785790413174512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15.785790413174512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23.6</v>
      </c>
      <c r="N42" s="13">
        <f>IF('Données projet'!$A$36&gt;35,N41+M42-V41,IF(A42&lt;'Données projet'!$A$36,$K$205^A42,IF(A42='Données projet'!$A$36,'Données projet'!$B$36,N41+M42-V41)))</f>
        <v>400.40000000000015</v>
      </c>
      <c r="O42" s="13">
        <f>N42*VLOOKUP('Données projet'!$B$9,Paramètres!$A$1:$I$89,3,0)*VLOOKUP('Données projet'!$B$9,Paramètres!$A$1:$I$89,5,0)</f>
        <v>239.43920000000011</v>
      </c>
      <c r="P42" s="13">
        <f t="shared" si="33"/>
        <v>58.318855207171957</v>
      </c>
      <c r="Q42" s="20">
        <f t="shared" si="53"/>
        <v>518.59527948582468</v>
      </c>
      <c r="R42" s="59">
        <f t="shared" si="0"/>
        <v>811.92861281915793</v>
      </c>
      <c r="S42" s="59">
        <f ca="1">AVERAGE(OFFSET($R$3,0,0,'Données projet'!$E$9+1,1))-AVERAGE(OFFSET($H$3,0,0,'Données projet'!$E$9+1,1))</f>
        <v>504.81063008331739</v>
      </c>
      <c r="T42" s="59">
        <f t="shared" si="34"/>
        <v>441.82647565372287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20.776824702403687</v>
      </c>
      <c r="AA42" s="21">
        <f>EXP(-LN(2)/25)*AA41+(1-EXP(-LN(2)/25))/(LN(2)/25)*Calculateur!V42*Calculateur!X42*VLOOKUP('Données projet'!$B$9,Paramètres!$A$1:$I$89,3,0)*0.475*44/12</f>
        <v>45.87661513382173</v>
      </c>
      <c r="AB42" s="21">
        <f>EXP(-LN(2)/2)*AB41+(1-EXP(-LN(2)/2))/(LN(2)/2)*V42*Y42*VLOOKUP('Données projet'!$B$9,Paramètres!$A$1:$I$89,3,0)*0.475*44/12</f>
        <v>2.3142208971903273E-3</v>
      </c>
      <c r="AC42" s="22">
        <f t="shared" si="3"/>
        <v>66.655754057122607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209.49493500000003</v>
      </c>
      <c r="AK42" s="13">
        <f t="shared" si="35"/>
        <v>51.825200825730676</v>
      </c>
      <c r="AL42" s="20">
        <f t="shared" si="4"/>
        <v>455.1325698964809</v>
      </c>
      <c r="AM42" s="59">
        <f t="shared" si="5"/>
        <v>748.46590322981422</v>
      </c>
      <c r="AN42" s="59">
        <f ca="1">AVERAGE(OFFSET($AM$3,0,0,'Données projet'!$E$10+1,1))-AVERAGE(OFFSET($H$3,0,0,'Données projet'!$E$10+1,1))</f>
        <v>778.88878506193896</v>
      </c>
      <c r="AO42" s="59">
        <f t="shared" si="36"/>
        <v>279.2078283764684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15.476240691553588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15.476240691553588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424</v>
      </c>
      <c r="L43" s="12">
        <f>VLOOKUP(A43,'Données projet'!$A$35:$I$55,9,0)</f>
        <v>23.6</v>
      </c>
      <c r="M43" s="12">
        <f t="array" ref="M43">INDEX(L:L,MIN(IF(ISNUMBER(L43:L239),ROW(L43:L239),"")))</f>
        <v>23.6</v>
      </c>
      <c r="N43" s="13">
        <f>IF('Données projet'!$A$36&gt;35,N42+M43-V42,IF(A43&lt;'Données projet'!$A$36,$K$205^A43,IF(A43='Données projet'!$A$36,'Données projet'!$B$36,N42+M43-V42)))</f>
        <v>424.00000000000017</v>
      </c>
      <c r="O43" s="13">
        <f>N43*VLOOKUP('Données projet'!$B$9,Paramètres!$A$1:$I$89,3,0)*VLOOKUP('Données projet'!$B$9,Paramètres!$A$1:$I$89,5,0)</f>
        <v>253.55200000000011</v>
      </c>
      <c r="P43" s="13">
        <f t="shared" si="33"/>
        <v>61.345922542613536</v>
      </c>
      <c r="Q43" s="20">
        <f t="shared" si="53"/>
        <v>548.447215095052</v>
      </c>
      <c r="R43" s="59">
        <f t="shared" si="0"/>
        <v>841.78054842838537</v>
      </c>
      <c r="S43" s="59">
        <f ca="1">AVERAGE(OFFSET($R$3,0,0,'Données projet'!$E$9+1,1))-AVERAGE(OFFSET($H$3,0,0,'Données projet'!$E$9+1,1))</f>
        <v>504.81063008331739</v>
      </c>
      <c r="T43" s="59">
        <f t="shared" si="34"/>
        <v>441.82647565372287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63</v>
      </c>
      <c r="W43" s="16">
        <f>IF(ISNA(VLOOKUP(A43,'Données projet'!$A$35:$I$55,5,0)),0%,VLOOKUP(A43,'Données projet'!$A$35:$I$55,5,0)*VLOOKUP('Données projet'!$B$9,Paramètres!$A$1:$I$89,7,0))</f>
        <v>0.45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42.859049025004467</v>
      </c>
      <c r="AA43" s="21">
        <f>EXP(-LN(2)/25)*AA42+(1-EXP(-LN(2)/25))/(LN(2)/25)*Calculateur!V43*Calculateur!X43*VLOOKUP('Données projet'!$B$9,Paramètres!$A$1:$I$89,3,0)*0.475*44/12</f>
        <v>44.622116680441039</v>
      </c>
      <c r="AB43" s="21">
        <f>EXP(-LN(2)/2)*AB42+(1-EXP(-LN(2)/2))/(LN(2)/2)*V43*Y43*VLOOKUP('Données projet'!$B$9,Paramètres!$A$1:$I$89,3,0)*0.475*44/12</f>
        <v>1.6364012895668965E-3</v>
      </c>
      <c r="AC43" s="22">
        <f t="shared" si="3"/>
        <v>87.482802106735079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223.49067000000005</v>
      </c>
      <c r="AK43" s="13">
        <f t="shared" si="35"/>
        <v>54.872869104654043</v>
      </c>
      <c r="AL43" s="20">
        <f t="shared" si="4"/>
        <v>484.81649727393921</v>
      </c>
      <c r="AM43" s="59">
        <f t="shared" si="5"/>
        <v>778.14983060727252</v>
      </c>
      <c r="AN43" s="59">
        <f ca="1">AVERAGE(OFFSET($AM$3,0,0,'Données projet'!$E$10+1,1))-AVERAGE(OFFSET($H$3,0,0,'Données projet'!$E$10+1,1))</f>
        <v>778.88878506193896</v>
      </c>
      <c r="AO43" s="59">
        <f t="shared" si="36"/>
        <v>279.2078283764684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15.172761051166963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15.172761051166963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21.6</v>
      </c>
      <c r="N44" s="13">
        <f>IF('Données projet'!$A$36&gt;35,N43+M44-V43,IF(A44&lt;'Données projet'!$A$36,$K$205^A44,IF(A44='Données projet'!$A$36,'Données projet'!$B$36,N43+M44-V43)))</f>
        <v>382.60000000000019</v>
      </c>
      <c r="O44" s="13">
        <f>N44*VLOOKUP('Données projet'!$B$9,Paramètres!$A$1:$I$89,3,0)*VLOOKUP('Données projet'!$B$9,Paramètres!$A$1:$I$89,5,0)</f>
        <v>228.79480000000012</v>
      </c>
      <c r="P44" s="13">
        <f t="shared" si="33"/>
        <v>56.022009485811381</v>
      </c>
      <c r="Q44" s="20">
        <f t="shared" si="53"/>
        <v>496.05594318778844</v>
      </c>
      <c r="R44" s="59">
        <f t="shared" si="0"/>
        <v>789.3892765211217</v>
      </c>
      <c r="S44" s="59">
        <f ca="1">AVERAGE(OFFSET($R$3,0,0,'Données projet'!$E$9+1,1))-AVERAGE(OFFSET($H$3,0,0,'Données projet'!$E$9+1,1))</f>
        <v>504.81063008331739</v>
      </c>
      <c r="T44" s="59">
        <f t="shared" si="34"/>
        <v>441.82647565372287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42.018609215062781</v>
      </c>
      <c r="AA44" s="21">
        <f>EXP(-LN(2)/25)*AA43+(1-EXP(-LN(2)/25))/(LN(2)/25)*Calculateur!V44*Calculateur!X44*VLOOKUP('Données projet'!$B$9,Paramètres!$A$1:$I$89,3,0)*0.475*44/12</f>
        <v>43.401922553239245</v>
      </c>
      <c r="AB44" s="21">
        <f>EXP(-LN(2)/2)*AB43+(1-EXP(-LN(2)/2))/(LN(2)/2)*V44*Y44*VLOOKUP('Données projet'!$B$9,Paramètres!$A$1:$I$89,3,0)*0.475*44/12</f>
        <v>1.1571104485951637E-3</v>
      </c>
      <c r="AC44" s="22">
        <f t="shared" si="3"/>
        <v>85.421688878750615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237.48640500000005</v>
      </c>
      <c r="AK44" s="13">
        <f t="shared" si="35"/>
        <v>57.898387330944949</v>
      </c>
      <c r="AL44" s="20">
        <f t="shared" si="4"/>
        <v>514.46184664306247</v>
      </c>
      <c r="AM44" s="59">
        <f t="shared" si="5"/>
        <v>807.79517997639573</v>
      </c>
      <c r="AN44" s="59">
        <f ca="1">AVERAGE(OFFSET($AM$3,0,0,'Données projet'!$E$10+1,1))-AVERAGE(OFFSET($H$3,0,0,'Données projet'!$E$10+1,1))</f>
        <v>778.88878506193896</v>
      </c>
      <c r="AO44" s="59">
        <f t="shared" si="36"/>
        <v>279.2078283764684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14.875232461424018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14.875232461424018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21.6</v>
      </c>
      <c r="N45" s="13">
        <f>IF('Données projet'!$A$36&gt;35,N44+M45-V44,IF(A45&lt;'Données projet'!$A$36,$K$205^A45,IF(A45='Données projet'!$A$36,'Données projet'!$B$36,N44+M45-V44)))</f>
        <v>404.20000000000022</v>
      </c>
      <c r="O45" s="13">
        <f>N45*VLOOKUP('Données projet'!$B$9,Paramètres!$A$1:$I$89,3,0)*VLOOKUP('Données projet'!$B$9,Paramètres!$A$1:$I$89,5,0)</f>
        <v>241.71160000000015</v>
      </c>
      <c r="P45" s="13">
        <f t="shared" si="33"/>
        <v>58.807637113502857</v>
      </c>
      <c r="Q45" s="20">
        <f t="shared" si="53"/>
        <v>523.40433797268429</v>
      </c>
      <c r="R45" s="59">
        <f t="shared" si="0"/>
        <v>816.73767130601755</v>
      </c>
      <c r="S45" s="59">
        <f ca="1">AVERAGE(OFFSET($R$3,0,0,'Données projet'!$E$9+1,1))-AVERAGE(OFFSET($H$3,0,0,'Données projet'!$E$9+1,1))</f>
        <v>504.81063008331739</v>
      </c>
      <c r="T45" s="59">
        <f t="shared" si="34"/>
        <v>441.82647565372287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41.194649917176385</v>
      </c>
      <c r="AA45" s="21">
        <f>EXP(-LN(2)/25)*AA44+(1-EXP(-LN(2)/25))/(LN(2)/25)*Calculateur!V45*Calculateur!X45*VLOOKUP('Données projet'!$B$9,Paramètres!$A$1:$I$89,3,0)*0.475*44/12</f>
        <v>42.215094698613008</v>
      </c>
      <c r="AB45" s="21">
        <f>EXP(-LN(2)/2)*AB44+(1-EXP(-LN(2)/2))/(LN(2)/2)*V45*Y45*VLOOKUP('Données projet'!$B$9,Paramètres!$A$1:$I$89,3,0)*0.475*44/12</f>
        <v>8.1820064478344825E-4</v>
      </c>
      <c r="AC45" s="22">
        <f t="shared" si="3"/>
        <v>83.410562816434179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251.48214000000007</v>
      </c>
      <c r="AK45" s="13">
        <f t="shared" si="35"/>
        <v>60.903209558225292</v>
      </c>
      <c r="AL45" s="20">
        <f t="shared" si="4"/>
        <v>544.07115048057574</v>
      </c>
      <c r="AM45" s="59">
        <f t="shared" si="5"/>
        <v>837.40448381390911</v>
      </c>
      <c r="AN45" s="59">
        <f ca="1">AVERAGE(OFFSET($AM$3,0,0,'Données projet'!$E$10+1,1))-AVERAGE(OFFSET($H$3,0,0,'Données projet'!$E$10+1,1))</f>
        <v>778.88878506193896</v>
      </c>
      <c r="AO45" s="59">
        <f t="shared" si="36"/>
        <v>279.2078283764684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41.29155689437146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41.29155689437146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</v>
      </c>
      <c r="N46" s="13">
        <f>IF('Données projet'!$A$36&gt;35,N45+M46-V45,IF(A46&lt;'Données projet'!$A$36,$K$205^A46,IF(A46='Données projet'!$A$36,'Données projet'!$B$36,N45+M46-V45)))</f>
        <v>425.80000000000024</v>
      </c>
      <c r="O46" s="13">
        <f>N46*VLOOKUP('Données projet'!$B$9,Paramètres!$A$1:$I$89,3,0)*VLOOKUP('Données projet'!$B$9,Paramètres!$A$1:$I$89,5,0)</f>
        <v>254.62840000000014</v>
      </c>
      <c r="P46" s="13">
        <f t="shared" si="33"/>
        <v>61.575982433801578</v>
      </c>
      <c r="Q46" s="20">
        <f t="shared" si="53"/>
        <v>550.7226327388712</v>
      </c>
      <c r="R46" s="59">
        <f t="shared" si="0"/>
        <v>844.05596607220446</v>
      </c>
      <c r="S46" s="59">
        <f ca="1">AVERAGE(OFFSET($R$3,0,0,'Données projet'!$E$9+1,1))-AVERAGE(OFFSET($H$3,0,0,'Données projet'!$E$9+1,1))</f>
        <v>504.81063008331739</v>
      </c>
      <c r="T46" s="59">
        <f t="shared" si="34"/>
        <v>441.82647565372287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40.386847958555997</v>
      </c>
      <c r="AA46" s="21">
        <f>EXP(-LN(2)/25)*AA45+(1-EXP(-LN(2)/25))/(LN(2)/25)*Calculateur!V46*Calculateur!X46*VLOOKUP('Données projet'!$B$9,Paramètres!$A$1:$I$89,3,0)*0.475*44/12</f>
        <v>41.060720714084091</v>
      </c>
      <c r="AB46" s="21">
        <f>EXP(-LN(2)/2)*AB45+(1-EXP(-LN(2)/2))/(LN(2)/2)*V46*Y46*VLOOKUP('Données projet'!$B$9,Paramètres!$A$1:$I$89,3,0)*0.475*44/12</f>
        <v>5.7855522429758183E-4</v>
      </c>
      <c r="AC46" s="22">
        <f t="shared" si="3"/>
        <v>81.448147227864382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209.50761000000003</v>
      </c>
      <c r="AK46" s="13">
        <f t="shared" si="35"/>
        <v>51.827971398824275</v>
      </c>
      <c r="AL46" s="20">
        <f t="shared" si="4"/>
        <v>455.15947093628557</v>
      </c>
      <c r="AM46" s="59">
        <f t="shared" si="5"/>
        <v>748.49280426961889</v>
      </c>
      <c r="AN46" s="59">
        <f ca="1">AVERAGE(OFFSET($AM$3,0,0,'Données projet'!$E$10+1,1))-AVERAGE(OFFSET($H$3,0,0,'Données projet'!$E$10+1,1))</f>
        <v>778.88878506193896</v>
      </c>
      <c r="AO46" s="59">
        <f t="shared" si="36"/>
        <v>279.2078283764684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40.481854649035697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40.481854649035697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</v>
      </c>
      <c r="N47" s="13">
        <f>IF('Données projet'!$A$36&gt;35,N46+M47-V46,IF(A47&lt;'Données projet'!$A$36,$K$205^A47,IF(A47='Données projet'!$A$36,'Données projet'!$B$36,N46+M47-V46)))</f>
        <v>447.40000000000026</v>
      </c>
      <c r="O47" s="13">
        <f>N47*VLOOKUP('Données projet'!$B$9,Paramètres!$A$1:$I$89,3,0)*VLOOKUP('Données projet'!$B$9,Paramètres!$A$1:$I$89,5,0)</f>
        <v>267.54520000000014</v>
      </c>
      <c r="P47" s="13">
        <f t="shared" si="33"/>
        <v>64.328022166288974</v>
      </c>
      <c r="Q47" s="20">
        <f t="shared" si="53"/>
        <v>578.01252860628688</v>
      </c>
      <c r="R47" s="59">
        <f t="shared" si="0"/>
        <v>871.34586193962014</v>
      </c>
      <c r="S47" s="59">
        <f ca="1">AVERAGE(OFFSET($R$3,0,0,'Données projet'!$E$9+1,1))-AVERAGE(OFFSET($H$3,0,0,'Données projet'!$E$9+1,1))</f>
        <v>504.81063008331739</v>
      </c>
      <c r="T47" s="59">
        <f t="shared" si="34"/>
        <v>441.82647565372287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39.59488650363361</v>
      </c>
      <c r="AA47" s="21">
        <f>EXP(-LN(2)/25)*AA46+(1-EXP(-LN(2)/25))/(LN(2)/25)*Calculateur!V47*Calculateur!X47*VLOOKUP('Données projet'!$B$9,Paramètres!$A$1:$I$89,3,0)*0.475*44/12</f>
        <v>39.937913146868006</v>
      </c>
      <c r="AB47" s="21">
        <f>EXP(-LN(2)/2)*AB46+(1-EXP(-LN(2)/2))/(LN(2)/2)*V47*Y47*VLOOKUP('Données projet'!$B$9,Paramètres!$A$1:$I$89,3,0)*0.475*44/12</f>
        <v>4.0910032239172413E-4</v>
      </c>
      <c r="AC47" s="22">
        <f t="shared" si="3"/>
        <v>79.533208750824002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223.71882000000008</v>
      </c>
      <c r="AK47" s="13">
        <f t="shared" si="35"/>
        <v>54.922362660590522</v>
      </c>
      <c r="AL47" s="20">
        <f t="shared" si="4"/>
        <v>485.30005980052869</v>
      </c>
      <c r="AM47" s="59">
        <f t="shared" si="5"/>
        <v>778.633393133862</v>
      </c>
      <c r="AN47" s="59">
        <f ca="1">AVERAGE(OFFSET($AM$3,0,0,'Données projet'!$E$10+1,1))-AVERAGE(OFFSET($H$3,0,0,'Données projet'!$E$10+1,1))</f>
        <v>778.88878506193896</v>
      </c>
      <c r="AO47" s="59">
        <f t="shared" si="36"/>
        <v>279.2078283764684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39.68803017086136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39.68803017086136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469</v>
      </c>
      <c r="L48" s="12">
        <f>VLOOKUP(A48,'Données projet'!$A$35:$I$55,9,0)</f>
        <v>21.6</v>
      </c>
      <c r="M48" s="12">
        <f t="array" ref="M48">INDEX(L:L,MIN(IF(ISNUMBER(L48:L244),ROW(L48:L244),"")))</f>
        <v>21.6</v>
      </c>
      <c r="N48" s="13">
        <f>IF('Données projet'!$A$36&gt;35,N47+M48-V47,IF(A48&lt;'Données projet'!$A$36,$K$205^A48,IF(A48='Données projet'!$A$36,'Données projet'!$B$36,N47+M48-V47)))</f>
        <v>469.00000000000028</v>
      </c>
      <c r="O48" s="13">
        <f>N48*VLOOKUP('Données projet'!$B$9,Paramètres!$A$1:$I$89,3,0)*VLOOKUP('Données projet'!$B$9,Paramètres!$A$1:$I$89,5,0)</f>
        <v>280.46200000000022</v>
      </c>
      <c r="P48" s="13">
        <f t="shared" si="33"/>
        <v>67.064633392006456</v>
      </c>
      <c r="Q48" s="20">
        <f t="shared" si="53"/>
        <v>605.27555315774487</v>
      </c>
      <c r="R48" s="59">
        <f t="shared" si="0"/>
        <v>898.60888649107824</v>
      </c>
      <c r="S48" s="59">
        <f ca="1">AVERAGE(OFFSET($R$3,0,0,'Données projet'!$E$9+1,1))-AVERAGE(OFFSET($H$3,0,0,'Données projet'!$E$9+1,1))</f>
        <v>504.81063008331739</v>
      </c>
      <c r="T48" s="59">
        <f t="shared" si="34"/>
        <v>441.82647565372287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60</v>
      </c>
      <c r="W48" s="16">
        <f>IF(ISNA(VLOOKUP(A48,'Données projet'!$A$35:$I$55,5,0)),0%,VLOOKUP(A48,'Données projet'!$A$35:$I$55,5,0)*VLOOKUP('Données projet'!$B$9,Paramètres!$A$1:$I$89,7,0))</f>
        <v>0.45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60.237164627320283</v>
      </c>
      <c r="AA48" s="21">
        <f>EXP(-LN(2)/25)*AA47+(1-EXP(-LN(2)/25))/(LN(2)/25)*Calculateur!V48*Calculateur!X48*VLOOKUP('Données projet'!$B$9,Paramètres!$A$1:$I$89,3,0)*0.475*44/12</f>
        <v>38.845808811623328</v>
      </c>
      <c r="AB48" s="21">
        <f>EXP(-LN(2)/2)*AB47+(1-EXP(-LN(2)/2))/(LN(2)/2)*V48*Y48*VLOOKUP('Données projet'!$B$9,Paramètres!$A$1:$I$89,3,0)*0.475*44/12</f>
        <v>2.8927761214879091E-4</v>
      </c>
      <c r="AC48" s="22">
        <f t="shared" si="3"/>
        <v>99.083262716555765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237.9300300000001</v>
      </c>
      <c r="AK48" s="13">
        <f t="shared" si="35"/>
        <v>57.993942073834525</v>
      </c>
      <c r="AL48" s="20">
        <f t="shared" si="4"/>
        <v>515.40091802859536</v>
      </c>
      <c r="AM48" s="59">
        <f t="shared" si="5"/>
        <v>808.73425136192873</v>
      </c>
      <c r="AN48" s="59">
        <f ca="1">AVERAGE(OFFSET($AM$3,0,0,'Données projet'!$E$10+1,1))-AVERAGE(OFFSET($H$3,0,0,'Données projet'!$E$10+1,1))</f>
        <v>778.88878506193896</v>
      </c>
      <c r="AO48" s="59">
        <f t="shared" si="36"/>
        <v>279.2078283764684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38.909772106518901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38.909772106518901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20</v>
      </c>
      <c r="N49" s="13">
        <f>IF('Données projet'!$A$36&gt;35,N48+M49-V48,IF(A49&lt;'Données projet'!$A$36,$K$205^A49,IF(A49='Données projet'!$A$36,'Données projet'!$B$36,N48+M49-V48)))</f>
        <v>429.00000000000028</v>
      </c>
      <c r="O49" s="13">
        <f>N49*VLOOKUP('Données projet'!$B$9,Paramètres!$A$1:$I$89,3,0)*VLOOKUP('Données projet'!$B$9,Paramètres!$A$1:$I$89,5,0)</f>
        <v>256.5420000000002</v>
      </c>
      <c r="P49" s="13">
        <f t="shared" si="33"/>
        <v>61.984698688972557</v>
      </c>
      <c r="Q49" s="20">
        <f t="shared" si="53"/>
        <v>554.76733354996088</v>
      </c>
      <c r="R49" s="59">
        <f t="shared" si="0"/>
        <v>848.10066688329425</v>
      </c>
      <c r="S49" s="59">
        <f ca="1">AVERAGE(OFFSET($R$3,0,0,'Données projet'!$E$9+1,1))-AVERAGE(OFFSET($H$3,0,0,'Données projet'!$E$9+1,1))</f>
        <v>504.81063008331739</v>
      </c>
      <c r="T49" s="59">
        <f t="shared" si="34"/>
        <v>441.82647565372287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59.055950570021075</v>
      </c>
      <c r="AA49" s="21">
        <f>EXP(-LN(2)/25)*AA48+(1-EXP(-LN(2)/25))/(LN(2)/25)*Calculateur!V49*Calculateur!X49*VLOOKUP('Données projet'!$B$9,Paramètres!$A$1:$I$89,3,0)*0.475*44/12</f>
        <v>37.783568126857183</v>
      </c>
      <c r="AB49" s="21">
        <f>EXP(-LN(2)/2)*AB48+(1-EXP(-LN(2)/2))/(LN(2)/2)*V49*Y49*VLOOKUP('Données projet'!$B$9,Paramètres!$A$1:$I$89,3,0)*0.475*44/12</f>
        <v>2.0455016119586206E-4</v>
      </c>
      <c r="AC49" s="22">
        <f t="shared" si="3"/>
        <v>96.839723247039458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252.1412400000001</v>
      </c>
      <c r="AK49" s="13">
        <f t="shared" si="35"/>
        <v>61.044227335970774</v>
      </c>
      <c r="AL49" s="20">
        <f t="shared" si="4"/>
        <v>545.46468894348254</v>
      </c>
      <c r="AM49" s="59">
        <f t="shared" si="5"/>
        <v>838.7980222768158</v>
      </c>
      <c r="AN49" s="59">
        <f ca="1">AVERAGE(OFFSET($AM$3,0,0,'Données projet'!$E$10+1,1))-AVERAGE(OFFSET($H$3,0,0,'Données projet'!$E$10+1,1))</f>
        <v>778.88878506193896</v>
      </c>
      <c r="AO49" s="59">
        <f t="shared" si="36"/>
        <v>279.2078283764684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38.14677520812765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38.14677520812765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20</v>
      </c>
      <c r="N50" s="13">
        <f>IF('Données projet'!$A$36&gt;35,N49+M50-V49,IF(A50&lt;'Données projet'!$A$36,$K$205^A50,IF(A50='Données projet'!$A$36,'Données projet'!$B$36,N49+M50-V49)))</f>
        <v>449.00000000000028</v>
      </c>
      <c r="O50" s="13">
        <f>N50*VLOOKUP('Données projet'!$B$9,Paramètres!$A$1:$I$89,3,0)*VLOOKUP('Données projet'!$B$9,Paramètres!$A$1:$I$89,5,0)</f>
        <v>268.50200000000018</v>
      </c>
      <c r="P50" s="13">
        <f t="shared" si="33"/>
        <v>64.531253013339224</v>
      </c>
      <c r="Q50" s="20">
        <f t="shared" si="53"/>
        <v>580.03291566489941</v>
      </c>
      <c r="R50" s="59">
        <f t="shared" si="0"/>
        <v>873.36624899823278</v>
      </c>
      <c r="S50" s="59">
        <f ca="1">AVERAGE(OFFSET($R$3,0,0,'Données projet'!$E$9+1,1))-AVERAGE(OFFSET($H$3,0,0,'Données projet'!$E$9+1,1))</f>
        <v>504.81063008331739</v>
      </c>
      <c r="T50" s="59">
        <f t="shared" si="34"/>
        <v>441.82647565372287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57.897899399916071</v>
      </c>
      <c r="AA50" s="21">
        <f>EXP(-LN(2)/25)*AA49+(1-EXP(-LN(2)/25))/(LN(2)/25)*Calculateur!V50*Calculateur!X50*VLOOKUP('Données projet'!$B$9,Paramètres!$A$1:$I$89,3,0)*0.475*44/12</f>
        <v>36.750374469476782</v>
      </c>
      <c r="AB50" s="21">
        <f>EXP(-LN(2)/2)*AB49+(1-EXP(-LN(2)/2))/(LN(2)/2)*V50*Y50*VLOOKUP('Données projet'!$B$9,Paramètres!$A$1:$I$89,3,0)*0.475*44/12</f>
        <v>1.4463880607439546E-4</v>
      </c>
      <c r="AC50" s="22">
        <f t="shared" si="3"/>
        <v>94.64841850819893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266.35245000000009</v>
      </c>
      <c r="AK50" s="13">
        <f t="shared" si="35"/>
        <v>64.074555400413075</v>
      </c>
      <c r="AL50" s="20">
        <f t="shared" si="4"/>
        <v>575.49370107238622</v>
      </c>
      <c r="AM50" s="59">
        <f t="shared" si="5"/>
        <v>868.82703440571959</v>
      </c>
      <c r="AN50" s="59">
        <f ca="1">AVERAGE(OFFSET($AM$3,0,0,'Données projet'!$E$10+1,1))-AVERAGE(OFFSET($H$3,0,0,'Données projet'!$E$10+1,1))</f>
        <v>778.88878506193896</v>
      </c>
      <c r="AO50" s="59">
        <f t="shared" si="36"/>
        <v>279.2078283764684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37.398740213531696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37.398740213531696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20</v>
      </c>
      <c r="N51" s="13">
        <f>IF('Données projet'!$A$36&gt;35,N50+M51-V50,IF(A51&lt;'Données projet'!$A$36,$K$205^A51,IF(A51='Données projet'!$A$36,'Données projet'!$B$36,N50+M51-V50)))</f>
        <v>469.00000000000028</v>
      </c>
      <c r="O51" s="13">
        <f>N51*VLOOKUP('Données projet'!$B$9,Paramètres!$A$1:$I$89,3,0)*VLOOKUP('Données projet'!$B$9,Paramètres!$A$1:$I$89,5,0)</f>
        <v>280.46200000000022</v>
      </c>
      <c r="P51" s="13">
        <f t="shared" si="33"/>
        <v>67.064633392006456</v>
      </c>
      <c r="Q51" s="20">
        <f t="shared" si="53"/>
        <v>605.27555315774487</v>
      </c>
      <c r="R51" s="59">
        <f t="shared" si="0"/>
        <v>898.60888649107824</v>
      </c>
      <c r="S51" s="59">
        <f ca="1">AVERAGE(OFFSET($R$3,0,0,'Données projet'!$E$9+1,1))-AVERAGE(OFFSET($H$3,0,0,'Données projet'!$E$9+1,1))</f>
        <v>504.81063008331739</v>
      </c>
      <c r="T51" s="59">
        <f t="shared" si="34"/>
        <v>441.82647565372287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56.762556906915357</v>
      </c>
      <c r="AA51" s="21">
        <f>EXP(-LN(2)/25)*AA50+(1-EXP(-LN(2)/25))/(LN(2)/25)*Calculateur!V51*Calculateur!X51*VLOOKUP('Données projet'!$B$9,Paramètres!$A$1:$I$89,3,0)*0.475*44/12</f>
        <v>35.745433546990739</v>
      </c>
      <c r="AB51" s="21">
        <f>EXP(-LN(2)/2)*AB50+(1-EXP(-LN(2)/2))/(LN(2)/2)*V51*Y51*VLOOKUP('Données projet'!$B$9,Paramètres!$A$1:$I$89,3,0)*0.475*44/12</f>
        <v>1.0227508059793103E-4</v>
      </c>
      <c r="AC51" s="22">
        <f t="shared" si="3"/>
        <v>92.508092728986696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280.56366000000008</v>
      </c>
      <c r="AK51" s="13">
        <f t="shared" si="35"/>
        <v>67.086112496955295</v>
      </c>
      <c r="AL51" s="20">
        <f t="shared" si="4"/>
        <v>605.4900204321973</v>
      </c>
      <c r="AM51" s="59">
        <f t="shared" si="5"/>
        <v>898.82335376553056</v>
      </c>
      <c r="AN51" s="59">
        <f ca="1">AVERAGE(OFFSET($AM$3,0,0,'Données projet'!$E$10+1,1))-AVERAGE(OFFSET($H$3,0,0,'Données projet'!$E$10+1,1))</f>
        <v>778.88878506193896</v>
      </c>
      <c r="AO51" s="59">
        <f t="shared" si="36"/>
        <v>279.2078283764684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36.66537372892347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36.66537372892347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</v>
      </c>
      <c r="N52" s="13">
        <f>IF('Données projet'!$A$36&gt;35,N51+M52-V51,IF(A52&lt;'Données projet'!$A$36,$K$205^A52,IF(A52='Données projet'!$A$36,'Données projet'!$B$36,N51+M52-V51)))</f>
        <v>489.00000000000028</v>
      </c>
      <c r="O52" s="13">
        <f>N52*VLOOKUP('Données projet'!$B$9,Paramètres!$A$1:$I$89,3,0)*VLOOKUP('Données projet'!$B$9,Paramètres!$A$1:$I$89,5,0)</f>
        <v>292.4220000000002</v>
      </c>
      <c r="P52" s="13">
        <f t="shared" si="33"/>
        <v>69.585465839061499</v>
      </c>
      <c r="Q52" s="20">
        <f t="shared" si="53"/>
        <v>630.49633633636574</v>
      </c>
      <c r="R52" s="59">
        <f t="shared" si="0"/>
        <v>923.82966966969911</v>
      </c>
      <c r="S52" s="59">
        <f ca="1">AVERAGE(OFFSET($R$3,0,0,'Données projet'!$E$9+1,1))-AVERAGE(OFFSET($H$3,0,0,'Données projet'!$E$9+1,1))</f>
        <v>504.81063008331739</v>
      </c>
      <c r="T52" s="59">
        <f t="shared" si="34"/>
        <v>441.82647565372287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55.649477787711845</v>
      </c>
      <c r="AA52" s="21">
        <f>EXP(-LN(2)/25)*AA51+(1-EXP(-LN(2)/25))/(LN(2)/25)*Calculateur!V52*Calculateur!X52*VLOOKUP('Données projet'!$B$9,Paramètres!$A$1:$I$89,3,0)*0.475*44/12</f>
        <v>34.767972786877621</v>
      </c>
      <c r="AB52" s="21">
        <f>EXP(-LN(2)/2)*AB51+(1-EXP(-LN(2)/2))/(LN(2)/2)*V52*Y52*VLOOKUP('Données projet'!$B$9,Paramètres!$A$1:$I$89,3,0)*0.475*44/12</f>
        <v>7.2319403037197729E-5</v>
      </c>
      <c r="AC52" s="22">
        <f t="shared" si="3"/>
        <v>90.417522893992498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294.77487000000002</v>
      </c>
      <c r="AK52" s="13">
        <f t="shared" si="35"/>
        <v>70.079957896732736</v>
      </c>
      <c r="AL52" s="20">
        <f t="shared" si="4"/>
        <v>635.45549192014289</v>
      </c>
      <c r="AM52" s="59">
        <f t="shared" si="5"/>
        <v>928.78882525347626</v>
      </c>
      <c r="AN52" s="59">
        <f ca="1">AVERAGE(OFFSET($AM$3,0,0,'Données projet'!$E$10+1,1))-AVERAGE(OFFSET($H$3,0,0,'Données projet'!$E$10+1,1))</f>
        <v>778.88878506193896</v>
      </c>
      <c r="AO52" s="59">
        <f t="shared" si="36"/>
        <v>279.2078283764684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35.946388113769025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35.946388113769025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509</v>
      </c>
      <c r="L53" s="12">
        <f>VLOOKUP(A53,'Données projet'!$A$35:$I$55,9,0)</f>
        <v>20</v>
      </c>
      <c r="M53" s="12">
        <f t="array" ref="M53">INDEX(L:L,MIN(IF(ISNUMBER(L53:L249),ROW(L53:L249),"")))</f>
        <v>20</v>
      </c>
      <c r="N53" s="13">
        <f>IF('Données projet'!$A$36&gt;35,N52+M53-V52,IF(A53&lt;'Données projet'!$A$36,$K$205^A53,IF(A53='Données projet'!$A$36,'Données projet'!$B$36,N52+M53-V52)))</f>
        <v>509.00000000000028</v>
      </c>
      <c r="O53" s="13">
        <f>N53*VLOOKUP('Données projet'!$B$9,Paramètres!$A$1:$I$89,3,0)*VLOOKUP('Données projet'!$B$9,Paramètres!$A$1:$I$89,5,0)</f>
        <v>304.38200000000018</v>
      </c>
      <c r="P53" s="13">
        <f t="shared" si="33"/>
        <v>72.094322263150417</v>
      </c>
      <c r="Q53" s="20">
        <f t="shared" si="53"/>
        <v>655.69626127498725</v>
      </c>
      <c r="R53" s="59">
        <f t="shared" si="0"/>
        <v>949.02959460832062</v>
      </c>
      <c r="S53" s="59">
        <f ca="1">AVERAGE(OFFSET($R$3,0,0,'Données projet'!$E$9+1,1))-AVERAGE(OFFSET($H$3,0,0,'Données projet'!$E$9+1,1))</f>
        <v>504.81063008331739</v>
      </c>
      <c r="T53" s="59">
        <f t="shared" si="34"/>
        <v>441.82647565372287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53</v>
      </c>
      <c r="W53" s="16">
        <f>IF(ISNA(VLOOKUP(A53,'Données projet'!$A$35:$I$55,5,0)),0%,VLOOKUP(A53,'Données projet'!$A$35:$I$55,5,0)*VLOOKUP('Données projet'!$B$9,Paramètres!$A$1:$I$89,7,0))</f>
        <v>0.45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73.478085703940053</v>
      </c>
      <c r="AA53" s="21">
        <f>EXP(-LN(2)/25)*AA52+(1-EXP(-LN(2)/25))/(LN(2)/25)*Calculateur!V53*Calculateur!X53*VLOOKUP('Données projet'!$B$9,Paramètres!$A$1:$I$89,3,0)*0.475*44/12</f>
        <v>33.817240742652224</v>
      </c>
      <c r="AB53" s="21">
        <f>EXP(-LN(2)/2)*AB52+(1-EXP(-LN(2)/2))/(LN(2)/2)*V53*Y53*VLOOKUP('Données projet'!$B$9,Paramètres!$A$1:$I$89,3,0)*0.475*44/12</f>
        <v>5.1137540298965516E-5</v>
      </c>
      <c r="AC53" s="22">
        <f t="shared" si="3"/>
        <v>107.29537758413257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308.98608000000002</v>
      </c>
      <c r="AK53" s="13">
        <f t="shared" si="35"/>
        <v>73.057042964372911</v>
      </c>
      <c r="AL53" s="20">
        <f t="shared" si="4"/>
        <v>665.39177249628278</v>
      </c>
      <c r="AM53" s="59">
        <f t="shared" si="5"/>
        <v>958.72510582961604</v>
      </c>
      <c r="AN53" s="59">
        <f ca="1">AVERAGE(OFFSET($AM$3,0,0,'Données projet'!$E$10+1,1))-AVERAGE(OFFSET($H$3,0,0,'Données projet'!$E$10+1,1))</f>
        <v>778.88878506193896</v>
      </c>
      <c r="AO53" s="59">
        <f t="shared" si="36"/>
        <v>279.2078283764684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67.352820691159053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67.352820691159053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18.399999999999999</v>
      </c>
      <c r="N54" s="13">
        <f>IF('Données projet'!$A$36&gt;35,N53+M54-V53,IF(A54&lt;'Données projet'!$A$36,$K$205^A54,IF(A54='Données projet'!$A$36,'Données projet'!$B$36,N53+M54-V53)))</f>
        <v>474.40000000000032</v>
      </c>
      <c r="O54" s="13">
        <f>N54*VLOOKUP('Données projet'!$B$9,Paramètres!$A$1:$I$89,3,0)*VLOOKUP('Données projet'!$B$9,Paramètres!$A$1:$I$89,5,0)</f>
        <v>283.69120000000021</v>
      </c>
      <c r="P54" s="13">
        <f t="shared" si="33"/>
        <v>67.746469973847553</v>
      </c>
      <c r="Q54" s="20">
        <f t="shared" si="53"/>
        <v>612.08727520445143</v>
      </c>
      <c r="R54" s="59">
        <f t="shared" si="0"/>
        <v>905.4206085377848</v>
      </c>
      <c r="S54" s="59">
        <f ca="1">AVERAGE(OFFSET($R$3,0,0,'Données projet'!$E$9+1,1))-AVERAGE(OFFSET($H$3,0,0,'Données projet'!$E$9+1,1))</f>
        <v>504.81063008331739</v>
      </c>
      <c r="T54" s="59">
        <f t="shared" si="34"/>
        <v>441.82647565372287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72.037225260492733</v>
      </c>
      <c r="AA54" s="21">
        <f>EXP(-LN(2)/25)*AA53+(1-EXP(-LN(2)/25))/(LN(2)/25)*Calculateur!V54*Calculateur!X54*VLOOKUP('Données projet'!$B$9,Paramètres!$A$1:$I$89,3,0)*0.475*44/12</f>
        <v>32.892506516173</v>
      </c>
      <c r="AB54" s="21">
        <f>EXP(-LN(2)/2)*AB53+(1-EXP(-LN(2)/2))/(LN(2)/2)*V54*Y54*VLOOKUP('Données projet'!$B$9,Paramètres!$A$1:$I$89,3,0)*0.475*44/12</f>
        <v>3.6159701518598864E-5</v>
      </c>
      <c r="AC54" s="22">
        <f t="shared" si="3"/>
        <v>104.92976793636726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255.18324000000001</v>
      </c>
      <c r="AK54" s="13">
        <f t="shared" si="35"/>
        <v>61.694524622951683</v>
      </c>
      <c r="AL54" s="20">
        <f t="shared" si="4"/>
        <v>551.89544005164078</v>
      </c>
      <c r="AM54" s="59">
        <f t="shared" si="5"/>
        <v>845.22877338497415</v>
      </c>
      <c r="AN54" s="59">
        <f ca="1">AVERAGE(OFFSET($AM$3,0,0,'Données projet'!$E$10+1,1))-AVERAGE(OFFSET($H$3,0,0,'Données projet'!$E$10+1,1))</f>
        <v>778.88878506193896</v>
      </c>
      <c r="AO54" s="59">
        <f t="shared" si="36"/>
        <v>279.2078283764684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66.032072958569614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66.032072958569614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18.399999999999999</v>
      </c>
      <c r="N55" s="13">
        <f>IF('Données projet'!$A$36&gt;35,N54+M55-V54,IF(A55&lt;'Données projet'!$A$36,$K$205^A55,IF(A55='Données projet'!$A$36,'Données projet'!$B$36,N54+M55-V54)))</f>
        <v>492.8000000000003</v>
      </c>
      <c r="O55" s="13">
        <f>N55*VLOOKUP('Données projet'!$B$9,Paramètres!$A$1:$I$89,3,0)*VLOOKUP('Données projet'!$B$9,Paramètres!$A$1:$I$89,5,0)</f>
        <v>294.6944000000002</v>
      </c>
      <c r="P55" s="13">
        <f t="shared" si="33"/>
        <v>70.063053488002765</v>
      </c>
      <c r="Q55" s="20">
        <f t="shared" si="53"/>
        <v>635.28589815827183</v>
      </c>
      <c r="R55" s="59">
        <f t="shared" si="0"/>
        <v>928.61923149160521</v>
      </c>
      <c r="S55" s="59">
        <f ca="1">AVERAGE(OFFSET($R$3,0,0,'Données projet'!$E$9+1,1))-AVERAGE(OFFSET($H$3,0,0,'Données projet'!$E$9+1,1))</f>
        <v>504.81063008331739</v>
      </c>
      <c r="T55" s="59">
        <f t="shared" si="34"/>
        <v>441.82647565372287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70.62461921150333</v>
      </c>
      <c r="AA55" s="21">
        <f>EXP(-LN(2)/25)*AA54+(1-EXP(-LN(2)/25))/(LN(2)/25)*Calculateur!V55*Calculateur!X55*VLOOKUP('Données projet'!$B$9,Paramètres!$A$1:$I$89,3,0)*0.475*44/12</f>
        <v>31.993059195746508</v>
      </c>
      <c r="AB55" s="21">
        <f>EXP(-LN(2)/2)*AB54+(1-EXP(-LN(2)/2))/(LN(2)/2)*V55*Y55*VLOOKUP('Données projet'!$B$9,Paramètres!$A$1:$I$89,3,0)*0.475*44/12</f>
        <v>2.5568770149482758E-5</v>
      </c>
      <c r="AC55" s="22">
        <f t="shared" si="3"/>
        <v>102.61770397602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268.93308000000007</v>
      </c>
      <c r="AK55" s="13">
        <f t="shared" si="35"/>
        <v>64.622789785966404</v>
      </c>
      <c r="AL55" s="20">
        <f t="shared" si="4"/>
        <v>580.94313987722501</v>
      </c>
      <c r="AM55" s="59">
        <f t="shared" si="5"/>
        <v>874.27647321055838</v>
      </c>
      <c r="AN55" s="59">
        <f ca="1">AVERAGE(OFFSET($AM$3,0,0,'Données projet'!$E$10+1,1))-AVERAGE(OFFSET($H$3,0,0,'Données projet'!$E$10+1,1))</f>
        <v>778.88878506193896</v>
      </c>
      <c r="AO55" s="59">
        <f t="shared" si="36"/>
        <v>279.2078283764684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64.737224283439687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64.737224283439687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18.399999999999999</v>
      </c>
      <c r="N56" s="13">
        <f>IF('Données projet'!$A$36&gt;35,N55+M56-V55,IF(A56&lt;'Données projet'!$A$36,$K$205^A56,IF(A56='Données projet'!$A$36,'Données projet'!$B$36,N55+M56-V55)))</f>
        <v>511.20000000000027</v>
      </c>
      <c r="O56" s="13">
        <f>N56*VLOOKUP('Données projet'!$B$9,Paramètres!$A$1:$I$89,3,0)*VLOOKUP('Données projet'!$B$9,Paramètres!$A$1:$I$89,5,0)</f>
        <v>305.69760000000019</v>
      </c>
      <c r="P56" s="13">
        <f t="shared" si="33"/>
        <v>72.369588270212418</v>
      </c>
      <c r="Q56" s="20">
        <f t="shared" si="53"/>
        <v>658.46701957062021</v>
      </c>
      <c r="R56" s="59">
        <f t="shared" si="0"/>
        <v>951.80035290395358</v>
      </c>
      <c r="S56" s="59">
        <f ca="1">AVERAGE(OFFSET($R$3,0,0,'Données projet'!$E$9+1,1))-AVERAGE(OFFSET($H$3,0,0,'Données projet'!$E$9+1,1))</f>
        <v>504.81063008331739</v>
      </c>
      <c r="T56" s="59">
        <f t="shared" si="34"/>
        <v>441.82647565372287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69.239713505529991</v>
      </c>
      <c r="AA56" s="21">
        <f>EXP(-LN(2)/25)*AA55+(1-EXP(-LN(2)/25))/(LN(2)/25)*Calculateur!V56*Calculateur!X56*VLOOKUP('Données projet'!$B$9,Paramètres!$A$1:$I$89,3,0)*0.475*44/12</f>
        <v>31.118207309596958</v>
      </c>
      <c r="AB56" s="21">
        <f>EXP(-LN(2)/2)*AB55+(1-EXP(-LN(2)/2))/(LN(2)/2)*V56*Y56*VLOOKUP('Données projet'!$B$9,Paramètres!$A$1:$I$89,3,0)*0.475*44/12</f>
        <v>1.8079850759299432E-5</v>
      </c>
      <c r="AC56" s="22">
        <f t="shared" si="3"/>
        <v>100.35793889497771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282.68292000000002</v>
      </c>
      <c r="AK56" s="13">
        <f t="shared" si="35"/>
        <v>67.533671940336532</v>
      </c>
      <c r="AL56" s="20">
        <f t="shared" si="4"/>
        <v>609.9605642960862</v>
      </c>
      <c r="AM56" s="59">
        <f t="shared" si="5"/>
        <v>903.29389762941946</v>
      </c>
      <c r="AN56" s="59">
        <f ca="1">AVERAGE(OFFSET($AM$3,0,0,'Données projet'!$E$10+1,1))-AVERAGE(OFFSET($H$3,0,0,'Données projet'!$E$10+1,1))</f>
        <v>778.88878506193896</v>
      </c>
      <c r="AO56" s="59">
        <f t="shared" si="36"/>
        <v>279.2078283764684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63.467766801049351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63.467766801049351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18.399999999999999</v>
      </c>
      <c r="N57" s="13">
        <f>IF('Données projet'!$A$36&gt;35,N56+M57-V56,IF(A57&lt;'Données projet'!$A$36,$K$205^A57,IF(A57='Données projet'!$A$36,'Données projet'!$B$36,N56+M57-V56)))</f>
        <v>529.60000000000025</v>
      </c>
      <c r="O57" s="13">
        <f>N57*VLOOKUP('Données projet'!$B$9,Paramètres!$A$1:$I$89,3,0)*VLOOKUP('Données projet'!$B$9,Paramètres!$A$1:$I$89,5,0)</f>
        <v>316.70080000000019</v>
      </c>
      <c r="P57" s="13">
        <f t="shared" si="33"/>
        <v>74.666477445141737</v>
      </c>
      <c r="Q57" s="20">
        <f t="shared" si="53"/>
        <v>681.63134155028877</v>
      </c>
      <c r="R57" s="59">
        <f t="shared" si="0"/>
        <v>974.96467488362214</v>
      </c>
      <c r="S57" s="59">
        <f ca="1">AVERAGE(OFFSET($R$3,0,0,'Données projet'!$E$9+1,1))-AVERAGE(OFFSET($H$3,0,0,'Données projet'!$E$9+1,1))</f>
        <v>504.81063008331739</v>
      </c>
      <c r="T57" s="59">
        <f t="shared" si="34"/>
        <v>441.82647565372287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67.881964955741722</v>
      </c>
      <c r="AA57" s="21">
        <f>EXP(-LN(2)/25)*AA56+(1-EXP(-LN(2)/25))/(LN(2)/25)*Calculateur!V57*Calculateur!X57*VLOOKUP('Données projet'!$B$9,Paramètres!$A$1:$I$89,3,0)*0.475*44/12</f>
        <v>30.267278294280629</v>
      </c>
      <c r="AB57" s="21">
        <f>EXP(-LN(2)/2)*AB56+(1-EXP(-LN(2)/2))/(LN(2)/2)*V57*Y57*VLOOKUP('Données projet'!$B$9,Paramètres!$A$1:$I$89,3,0)*0.475*44/12</f>
        <v>1.2784385074741379E-5</v>
      </c>
      <c r="AC57" s="22">
        <f t="shared" si="3"/>
        <v>98.149256034407429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296.43276000000003</v>
      </c>
      <c r="AK57" s="13">
        <f t="shared" si="35"/>
        <v>70.42811311586739</v>
      </c>
      <c r="AL57" s="20">
        <f t="shared" si="4"/>
        <v>638.94935401013572</v>
      </c>
      <c r="AM57" s="59">
        <f t="shared" si="5"/>
        <v>932.28268734346898</v>
      </c>
      <c r="AN57" s="59">
        <f ca="1">AVERAGE(OFFSET($AM$3,0,0,'Données projet'!$E$10+1,1))-AVERAGE(OFFSET($H$3,0,0,'Données projet'!$E$10+1,1))</f>
        <v>778.88878506193896</v>
      </c>
      <c r="AO57" s="59">
        <f t="shared" si="36"/>
        <v>279.2078283764684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62.223202605596079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62.223202605596079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548</v>
      </c>
      <c r="L58" s="12">
        <f>VLOOKUP(A58,'Données projet'!$A$35:$I$55,9,0)</f>
        <v>18.399999999999999</v>
      </c>
      <c r="M58" s="12">
        <f t="array" ref="M58">INDEX(L:L,MIN(IF(ISNUMBER(L58:L254),ROW(L58:L254),"")))</f>
        <v>18.399999999999999</v>
      </c>
      <c r="N58" s="13">
        <f>IF('Données projet'!$A$36&gt;35,N57+M58-V57,IF(A58&lt;'Données projet'!$A$36,$K$205^A58,IF(A58='Données projet'!$A$36,'Données projet'!$B$36,N57+M58-V57)))</f>
        <v>548.00000000000023</v>
      </c>
      <c r="O58" s="13">
        <f>N58*VLOOKUP('Données projet'!$B$9,Paramètres!$A$1:$I$89,3,0)*VLOOKUP('Données projet'!$B$9,Paramètres!$A$1:$I$89,5,0)</f>
        <v>327.70400000000018</v>
      </c>
      <c r="P58" s="13">
        <f t="shared" si="33"/>
        <v>76.954094537214459</v>
      </c>
      <c r="Q58" s="20">
        <f t="shared" si="53"/>
        <v>704.77951465231547</v>
      </c>
      <c r="R58" s="59">
        <f t="shared" si="0"/>
        <v>998.11284798564884</v>
      </c>
      <c r="S58" s="59">
        <f ca="1">AVERAGE(OFFSET($R$3,0,0,'Données projet'!$E$9+1,1))-AVERAGE(OFFSET($H$3,0,0,'Données projet'!$E$9+1,1))</f>
        <v>504.81063008331739</v>
      </c>
      <c r="T58" s="59">
        <f t="shared" si="34"/>
        <v>441.82647565372287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45</v>
      </c>
      <c r="W58" s="16">
        <f>IF(ISNA(VLOOKUP(A58,'Données projet'!$A$35:$I$55,5,0)),0%,VLOOKUP(A58,'Données projet'!$A$35:$I$55,5,0)*VLOOKUP('Données projet'!$B$9,Paramètres!$A$1:$I$89,7,0))</f>
        <v>0.45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82.614873300015063</v>
      </c>
      <c r="AA58" s="21">
        <f>EXP(-LN(2)/25)*AA57+(1-EXP(-LN(2)/25))/(LN(2)/25)*Calculateur!V58*Calculateur!X58*VLOOKUP('Données projet'!$B$9,Paramètres!$A$1:$I$89,3,0)*0.475*44/12</f>
        <v>29.439617977636537</v>
      </c>
      <c r="AB58" s="21">
        <f>EXP(-LN(2)/2)*AB57+(1-EXP(-LN(2)/2))/(LN(2)/2)*V58*Y58*VLOOKUP('Données projet'!$B$9,Paramètres!$A$1:$I$89,3,0)*0.475*44/12</f>
        <v>9.0399253796497161E-6</v>
      </c>
      <c r="AC58" s="22">
        <f t="shared" si="3"/>
        <v>112.05450031757698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310.18260000000009</v>
      </c>
      <c r="AK58" s="13">
        <f t="shared" si="35"/>
        <v>73.306963012444854</v>
      </c>
      <c r="AL58" s="20">
        <f t="shared" si="4"/>
        <v>667.91098891334161</v>
      </c>
      <c r="AM58" s="59">
        <f t="shared" si="5"/>
        <v>961.24432224667498</v>
      </c>
      <c r="AN58" s="59">
        <f ca="1">AVERAGE(OFFSET($AM$3,0,0,'Données projet'!$E$10+1,1))-AVERAGE(OFFSET($H$3,0,0,'Données projet'!$E$10+1,1))</f>
        <v>778.88878506193896</v>
      </c>
      <c r="AO58" s="59">
        <f t="shared" si="36"/>
        <v>279.2078283764684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61.003043554906441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61.003043554906441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</v>
      </c>
      <c r="N59" s="13">
        <f>IF('Données projet'!$A$36&gt;35,N58+M59-V58,IF(A59&lt;'Données projet'!$A$36,$K$205^A59,IF(A59='Données projet'!$A$36,'Données projet'!$B$36,N58+M59-V58)))</f>
        <v>520.00000000000023</v>
      </c>
      <c r="O59" s="13">
        <f>N59*VLOOKUP('Données projet'!$B$9,Paramètres!$A$1:$I$89,3,0)*VLOOKUP('Données projet'!$B$9,Paramètres!$A$1:$I$89,5,0)</f>
        <v>310.96000000000015</v>
      </c>
      <c r="P59" s="13">
        <f t="shared" si="33"/>
        <v>73.4692802883242</v>
      </c>
      <c r="Q59" s="20">
        <f t="shared" si="53"/>
        <v>669.54766316883149</v>
      </c>
      <c r="R59" s="59">
        <f t="shared" si="0"/>
        <v>962.88099650216486</v>
      </c>
      <c r="S59" s="59">
        <f ca="1">AVERAGE(OFFSET($R$3,0,0,'Données projet'!$E$9+1,1))-AVERAGE(OFFSET($H$3,0,0,'Données projet'!$E$9+1,1))</f>
        <v>504.81063008331739</v>
      </c>
      <c r="T59" s="59">
        <f t="shared" si="34"/>
        <v>441.82647565372287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80.994846024698873</v>
      </c>
      <c r="AA59" s="21">
        <f>EXP(-LN(2)/25)*AA58+(1-EXP(-LN(2)/25))/(LN(2)/25)*Calculateur!V59*Calculateur!X59*VLOOKUP('Données projet'!$B$9,Paramètres!$A$1:$I$89,3,0)*0.475*44/12</f>
        <v>28.634590075875842</v>
      </c>
      <c r="AB59" s="21">
        <f>EXP(-LN(2)/2)*AB58+(1-EXP(-LN(2)/2))/(LN(2)/2)*V59*Y59*VLOOKUP('Données projet'!$B$9,Paramètres!$A$1:$I$89,3,0)*0.475*44/12</f>
        <v>6.3921925373706895E-6</v>
      </c>
      <c r="AC59" s="22">
        <f t="shared" si="3"/>
        <v>109.62944249276724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323.93244000000004</v>
      </c>
      <c r="AK59" s="13">
        <f t="shared" si="35"/>
        <v>76.170991739423613</v>
      </c>
      <c r="AL59" s="20">
        <f t="shared" si="4"/>
        <v>696.84681027949625</v>
      </c>
      <c r="AM59" s="59">
        <f t="shared" si="5"/>
        <v>990.18014361282962</v>
      </c>
      <c r="AN59" s="59">
        <f ca="1">AVERAGE(OFFSET($AM$3,0,0,'Données projet'!$E$10+1,1))-AVERAGE(OFFSET($H$3,0,0,'Données projet'!$E$10+1,1))</f>
        <v>778.88878506193896</v>
      </c>
      <c r="AO59" s="59">
        <f t="shared" si="36"/>
        <v>279.2078283764684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59.80681107897729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59.80681107897729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</v>
      </c>
      <c r="N60" s="13">
        <f>IF('Données projet'!$A$36&gt;35,N59+M60-V59,IF(A60&lt;'Données projet'!$A$36,$K$205^A60,IF(A60='Données projet'!$A$36,'Données projet'!$B$36,N59+M60-V59)))</f>
        <v>537.00000000000023</v>
      </c>
      <c r="O60" s="13">
        <f>N60*VLOOKUP('Données projet'!$B$9,Paramètres!$A$1:$I$89,3,0)*VLOOKUP('Données projet'!$B$9,Paramètres!$A$1:$I$89,5,0)</f>
        <v>321.12600000000015</v>
      </c>
      <c r="P60" s="13">
        <f t="shared" si="33"/>
        <v>75.587591944000323</v>
      </c>
      <c r="Q60" s="20">
        <f t="shared" si="53"/>
        <v>690.94283930246741</v>
      </c>
      <c r="R60" s="59">
        <f t="shared" si="0"/>
        <v>984.27617263580078</v>
      </c>
      <c r="S60" s="59">
        <f ca="1">AVERAGE(OFFSET($R$3,0,0,'Données projet'!$E$9+1,1))-AVERAGE(OFFSET($H$3,0,0,'Données projet'!$E$9+1,1))</f>
        <v>504.81063008331739</v>
      </c>
      <c r="T60" s="59">
        <f t="shared" si="34"/>
        <v>441.82647565372287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79.406586496132562</v>
      </c>
      <c r="AA60" s="21">
        <f>EXP(-LN(2)/25)*AA59+(1-EXP(-LN(2)/25))/(LN(2)/25)*Calculateur!V60*Calculateur!X60*VLOOKUP('Données projet'!$B$9,Paramètres!$A$1:$I$89,3,0)*0.475*44/12</f>
        <v>27.851575704423372</v>
      </c>
      <c r="AB60" s="21">
        <f>EXP(-LN(2)/2)*AB59+(1-EXP(-LN(2)/2))/(LN(2)/2)*V60*Y60*VLOOKUP('Données projet'!$B$9,Paramètres!$A$1:$I$89,3,0)*0.475*44/12</f>
        <v>4.519962689824858E-6</v>
      </c>
      <c r="AC60" s="22">
        <f t="shared" si="3"/>
        <v>107.25816672051862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337.68228000000005</v>
      </c>
      <c r="AK60" s="13">
        <f t="shared" si="35"/>
        <v>79.020900331056751</v>
      </c>
      <c r="AL60" s="20">
        <f t="shared" si="4"/>
        <v>725.75803907659065</v>
      </c>
      <c r="AM60" s="59">
        <f t="shared" si="5"/>
        <v>1019.0913724099239</v>
      </c>
      <c r="AN60" s="59">
        <f ca="1">AVERAGE(OFFSET($AM$3,0,0,'Données projet'!$E$10+1,1))-AVERAGE(OFFSET($H$3,0,0,'Données projet'!$E$10+1,1))</f>
        <v>778.88878506193896</v>
      </c>
      <c r="AO60" s="59">
        <f t="shared" si="36"/>
        <v>279.2078283764684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58.634035992271343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58.634035992271343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</v>
      </c>
      <c r="N61" s="13">
        <f>IF('Données projet'!$A$36&gt;35,N60+M61-V60,IF(A61&lt;'Données projet'!$A$36,$K$205^A61,IF(A61='Données projet'!$A$36,'Données projet'!$B$36,N60+M61-V60)))</f>
        <v>554.00000000000023</v>
      </c>
      <c r="O61" s="13">
        <f>N61*VLOOKUP('Données projet'!$B$9,Paramètres!$A$1:$I$89,3,0)*VLOOKUP('Données projet'!$B$9,Paramètres!$A$1:$I$89,5,0)</f>
        <v>331.29200000000014</v>
      </c>
      <c r="P61" s="13">
        <f t="shared" si="33"/>
        <v>77.698110787752142</v>
      </c>
      <c r="Q61" s="20">
        <f t="shared" si="53"/>
        <v>712.32444295533526</v>
      </c>
      <c r="R61" s="59">
        <f t="shared" si="0"/>
        <v>1005.6577762886686</v>
      </c>
      <c r="S61" s="59">
        <f ca="1">AVERAGE(OFFSET($R$3,0,0,'Données projet'!$E$9+1,1))-AVERAGE(OFFSET($H$3,0,0,'Données projet'!$E$9+1,1))</f>
        <v>504.81063008331739</v>
      </c>
      <c r="T61" s="59">
        <f t="shared" si="34"/>
        <v>441.82647565372287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77.849471768178773</v>
      </c>
      <c r="AA61" s="21">
        <f>EXP(-LN(2)/25)*AA60+(1-EXP(-LN(2)/25))/(LN(2)/25)*Calculateur!V61*Calculateur!X61*VLOOKUP('Données projet'!$B$9,Paramètres!$A$1:$I$89,3,0)*0.475*44/12</f>
        <v>27.089972902135205</v>
      </c>
      <c r="AB61" s="21">
        <f>EXP(-LN(2)/2)*AB60+(1-EXP(-LN(2)/2))/(LN(2)/2)*V61*Y61*VLOOKUP('Données projet'!$B$9,Paramètres!$A$1:$I$89,3,0)*0.475*44/12</f>
        <v>3.1960962686853447E-6</v>
      </c>
      <c r="AC61" s="22">
        <f t="shared" si="3"/>
        <v>104.93944786641025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351.43212000000005</v>
      </c>
      <c r="AK61" s="13">
        <f t="shared" si="35"/>
        <v>81.857329501014519</v>
      </c>
      <c r="AL61" s="20">
        <f t="shared" si="4"/>
        <v>754.64579121426698</v>
      </c>
      <c r="AM61" s="59">
        <f t="shared" si="5"/>
        <v>1047.9791245476003</v>
      </c>
      <c r="AN61" s="59">
        <f ca="1">AVERAGE(OFFSET($AM$3,0,0,'Données projet'!$E$10+1,1))-AVERAGE(OFFSET($H$3,0,0,'Données projet'!$E$10+1,1))</f>
        <v>778.88878506193896</v>
      </c>
      <c r="AO61" s="59">
        <f t="shared" si="36"/>
        <v>279.2078283764684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87.445825543680286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87.445825543680286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</v>
      </c>
      <c r="N62" s="13">
        <f>IF('Données projet'!$A$36&gt;35,N61+M62-V61,IF(A62&lt;'Données projet'!$A$36,$K$205^A62,IF(A62='Données projet'!$A$36,'Données projet'!$B$36,N61+M62-V61)))</f>
        <v>571.00000000000023</v>
      </c>
      <c r="O62" s="13">
        <f>N62*VLOOKUP('Données projet'!$B$9,Paramètres!$A$1:$I$89,3,0)*VLOOKUP('Données projet'!$B$9,Paramètres!$A$1:$I$89,5,0)</f>
        <v>341.4580000000002</v>
      </c>
      <c r="P62" s="13">
        <f t="shared" si="33"/>
        <v>79.801103392528489</v>
      </c>
      <c r="Q62" s="20">
        <f t="shared" si="53"/>
        <v>733.69293840865419</v>
      </c>
      <c r="R62" s="59">
        <f t="shared" si="0"/>
        <v>1027.0262717419876</v>
      </c>
      <c r="S62" s="59">
        <f ca="1">AVERAGE(OFFSET($R$3,0,0,'Données projet'!$E$9+1,1))-AVERAGE(OFFSET($H$3,0,0,'Données projet'!$E$9+1,1))</f>
        <v>504.81063008331739</v>
      </c>
      <c r="T62" s="59">
        <f t="shared" si="34"/>
        <v>441.82647565372287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76.322891110293966</v>
      </c>
      <c r="AA62" s="21">
        <f>EXP(-LN(2)/25)*AA61+(1-EXP(-LN(2)/25))/(LN(2)/25)*Calculateur!V62*Calculateur!X62*VLOOKUP('Données projet'!$B$9,Paramètres!$A$1:$I$89,3,0)*0.475*44/12</f>
        <v>26.349196168526557</v>
      </c>
      <c r="AB62" s="21">
        <f>EXP(-LN(2)/2)*AB61+(1-EXP(-LN(2)/2))/(LN(2)/2)*V62*Y62*VLOOKUP('Données projet'!$B$9,Paramètres!$A$1:$I$89,3,0)*0.475*44/12</f>
        <v>2.259981344912429E-6</v>
      </c>
      <c r="AC62" s="22">
        <f t="shared" si="3"/>
        <v>102.67208953880187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301.64725500000009</v>
      </c>
      <c r="AK62" s="13">
        <f t="shared" si="35"/>
        <v>71.521681264721011</v>
      </c>
      <c r="AL62" s="20">
        <f t="shared" si="4"/>
        <v>649.9358973277225</v>
      </c>
      <c r="AM62" s="59">
        <f t="shared" si="5"/>
        <v>943.26923066105587</v>
      </c>
      <c r="AN62" s="59">
        <f ca="1">AVERAGE(OFFSET($AM$3,0,0,'Données projet'!$E$10+1,1))-AVERAGE(OFFSET($H$3,0,0,'Données projet'!$E$10+1,1))</f>
        <v>778.88878506193896</v>
      </c>
      <c r="AO62" s="59">
        <f t="shared" si="36"/>
        <v>279.2078283764684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85.731066241455736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85.731066241455736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588</v>
      </c>
      <c r="L63" s="12">
        <f>VLOOKUP(A63,'Données projet'!$A$35:$I$55,9,0)</f>
        <v>17</v>
      </c>
      <c r="M63" s="12">
        <f t="array" ref="M63">INDEX(L:L,MIN(IF(ISNUMBER(L63:L259),ROW(L63:L259),"")))</f>
        <v>17</v>
      </c>
      <c r="N63" s="13">
        <f>IF('Données projet'!$A$36&gt;35,N62+M63-V62,IF(A63&lt;'Données projet'!$A$36,$K$205^A63,IF(A63='Données projet'!$A$36,'Données projet'!$B$36,N62+M63-V62)))</f>
        <v>588.00000000000023</v>
      </c>
      <c r="O63" s="13">
        <f>N63*VLOOKUP('Données projet'!$B$9,Paramètres!$A$1:$I$89,3,0)*VLOOKUP('Données projet'!$B$9,Paramètres!$A$1:$I$89,5,0)</f>
        <v>351.62400000000019</v>
      </c>
      <c r="P63" s="13">
        <f t="shared" si="33"/>
        <v>81.89681955603848</v>
      </c>
      <c r="Q63" s="20">
        <f t="shared" si="53"/>
        <v>755.04876072676723</v>
      </c>
      <c r="R63" s="59">
        <f t="shared" si="0"/>
        <v>1048.3820940601006</v>
      </c>
      <c r="S63" s="59">
        <f ca="1">AVERAGE(OFFSET($R$3,0,0,'Données projet'!$E$9+1,1))-AVERAGE(OFFSET($H$3,0,0,'Données projet'!$E$9+1,1))</f>
        <v>504.81063008331739</v>
      </c>
      <c r="T63" s="59">
        <f t="shared" si="34"/>
        <v>441.82647565372287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39</v>
      </c>
      <c r="W63" s="16">
        <f>IF(ISNA(VLOOKUP(A63,'Données projet'!$A$35:$I$55,5,0)),0%,VLOOKUP(A63,'Données projet'!$A$35:$I$55,5,0)*VLOOKUP('Données projet'!$B$9,Paramètres!$A$1:$I$89,7,0))</f>
        <v>0.45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88.748407071380441</v>
      </c>
      <c r="AA63" s="21">
        <f>EXP(-LN(2)/25)*AA62+(1-EXP(-LN(2)/25))/(LN(2)/25)*Calculateur!V63*Calculateur!X63*VLOOKUP('Données projet'!$B$9,Paramètres!$A$1:$I$89,3,0)*0.475*44/12</f>
        <v>25.628676013654193</v>
      </c>
      <c r="AB63" s="21">
        <f>EXP(-LN(2)/2)*AB62+(1-EXP(-LN(2)/2))/(LN(2)/2)*V63*Y63*VLOOKUP('Données projet'!$B$9,Paramètres!$A$1:$I$89,3,0)*0.475*44/12</f>
        <v>1.5980481343426724E-6</v>
      </c>
      <c r="AC63" s="22">
        <f t="shared" si="3"/>
        <v>114.37708468308276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314.89263000000011</v>
      </c>
      <c r="AK63" s="13">
        <f t="shared" si="35"/>
        <v>74.289672960509861</v>
      </c>
      <c r="AL63" s="20">
        <f t="shared" si="4"/>
        <v>677.8258443228882</v>
      </c>
      <c r="AM63" s="59">
        <f t="shared" si="5"/>
        <v>971.15917765622157</v>
      </c>
      <c r="AN63" s="59">
        <f ca="1">AVERAGE(OFFSET($AM$3,0,0,'Données projet'!$E$10+1,1))-AVERAGE(OFFSET($H$3,0,0,'Données projet'!$E$10+1,1))</f>
        <v>778.88878506193896</v>
      </c>
      <c r="AO63" s="59">
        <f t="shared" si="36"/>
        <v>279.2078283764684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84.049932323247916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84.049932323247916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15.6</v>
      </c>
      <c r="N64" s="13">
        <f>IF('Données projet'!$A$36&gt;35,N63+M64-V63,IF(A64&lt;'Données projet'!$A$36,$K$205^A64,IF(A64='Données projet'!$A$36,'Données projet'!$B$36,N63+M64-V63)))</f>
        <v>564.60000000000025</v>
      </c>
      <c r="O64" s="13">
        <f>N64*VLOOKUP('Données projet'!$B$9,Paramètres!$A$1:$I$89,3,0)*VLOOKUP('Données projet'!$B$9,Paramètres!$A$1:$I$89,5,0)</f>
        <v>337.63080000000019</v>
      </c>
      <c r="P64" s="13">
        <f t="shared" si="33"/>
        <v>79.01025567088999</v>
      </c>
      <c r="Q64" s="20">
        <f t="shared" si="53"/>
        <v>725.64983862680037</v>
      </c>
      <c r="R64" s="59">
        <f t="shared" si="0"/>
        <v>1018.9831719601336</v>
      </c>
      <c r="S64" s="59">
        <f ca="1">AVERAGE(OFFSET($R$3,0,0,'Données projet'!$E$9+1,1))-AVERAGE(OFFSET($H$3,0,0,'Données projet'!$E$9+1,1))</f>
        <v>504.81063008331739</v>
      </c>
      <c r="T64" s="59">
        <f t="shared" si="34"/>
        <v>441.82647565372287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87.008104939893968</v>
      </c>
      <c r="AA64" s="21">
        <f>EXP(-LN(2)/25)*AA63+(1-EXP(-LN(2)/25))/(LN(2)/25)*Calculateur!V64*Calculateur!X64*VLOOKUP('Données projet'!$B$9,Paramètres!$A$1:$I$89,3,0)*0.475*44/12</f>
        <v>24.927858520307321</v>
      </c>
      <c r="AB64" s="21">
        <f>EXP(-LN(2)/2)*AB63+(1-EXP(-LN(2)/2))/(LN(2)/2)*V64*Y64*VLOOKUP('Données projet'!$B$9,Paramètres!$A$1:$I$89,3,0)*0.475*44/12</f>
        <v>1.1299906724562145E-6</v>
      </c>
      <c r="AC64" s="22">
        <f t="shared" si="3"/>
        <v>111.93596459019197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328.13800500000008</v>
      </c>
      <c r="AK64" s="13">
        <f t="shared" si="35"/>
        <v>77.044141064866722</v>
      </c>
      <c r="AL64" s="20">
        <f t="shared" si="4"/>
        <v>705.6922377296429</v>
      </c>
      <c r="AM64" s="59">
        <f t="shared" si="5"/>
        <v>999.02557106297627</v>
      </c>
      <c r="AN64" s="59">
        <f ca="1">AVERAGE(OFFSET($AM$3,0,0,'Données projet'!$E$10+1,1))-AVERAGE(OFFSET($H$3,0,0,'Données projet'!$E$10+1,1))</f>
        <v>778.88878506193896</v>
      </c>
      <c r="AO64" s="59">
        <f t="shared" si="36"/>
        <v>279.2078283764684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82.401764415785706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82.401764415785706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15.6</v>
      </c>
      <c r="N65" s="13">
        <f>IF('Données projet'!$A$36&gt;35,N64+M65-V64,IF(A65&lt;'Données projet'!$A$36,$K$205^A65,IF(A65='Données projet'!$A$36,'Données projet'!$B$36,N64+M65-V64)))</f>
        <v>580.20000000000027</v>
      </c>
      <c r="O65" s="13">
        <f>N65*VLOOKUP('Données projet'!$B$9,Paramètres!$A$1:$I$89,3,0)*VLOOKUP('Données projet'!$B$9,Paramètres!$A$1:$I$89,5,0)</f>
        <v>346.95960000000014</v>
      </c>
      <c r="P65" s="13">
        <f t="shared" si="33"/>
        <v>80.936143758770243</v>
      </c>
      <c r="Q65" s="20">
        <f t="shared" si="53"/>
        <v>745.25175371319165</v>
      </c>
      <c r="R65" s="59">
        <f t="shared" si="0"/>
        <v>1038.5850870465249</v>
      </c>
      <c r="S65" s="59">
        <f ca="1">AVERAGE(OFFSET($R$3,0,0,'Données projet'!$E$9+1,1))-AVERAGE(OFFSET($H$3,0,0,'Données projet'!$E$9+1,1))</f>
        <v>504.81063008331739</v>
      </c>
      <c r="T65" s="59">
        <f t="shared" si="34"/>
        <v>441.82647565372287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85.301929071726462</v>
      </c>
      <c r="AA65" s="21">
        <f>EXP(-LN(2)/25)*AA64+(1-EXP(-LN(2)/25))/(LN(2)/25)*Calculateur!V65*Calculateur!X65*VLOOKUP('Données projet'!$B$9,Paramètres!$A$1:$I$89,3,0)*0.475*44/12</f>
        <v>24.246204918170413</v>
      </c>
      <c r="AB65" s="21">
        <f>EXP(-LN(2)/2)*AB64+(1-EXP(-LN(2)/2))/(LN(2)/2)*V65*Y65*VLOOKUP('Données projet'!$B$9,Paramètres!$A$1:$I$89,3,0)*0.475*44/12</f>
        <v>7.9902406717133618E-7</v>
      </c>
      <c r="AC65" s="22">
        <f t="shared" si="3"/>
        <v>109.54813478892095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341.3833800000001</v>
      </c>
      <c r="AK65" s="13">
        <f t="shared" si="35"/>
        <v>79.785693909104083</v>
      </c>
      <c r="AL65" s="20">
        <f t="shared" si="4"/>
        <v>733.53613705835642</v>
      </c>
      <c r="AM65" s="59">
        <f t="shared" si="5"/>
        <v>1026.8694703916897</v>
      </c>
      <c r="AN65" s="59">
        <f ca="1">AVERAGE(OFFSET($AM$3,0,0,'Données projet'!$E$10+1,1))-AVERAGE(OFFSET($H$3,0,0,'Données projet'!$E$10+1,1))</f>
        <v>778.88878506193896</v>
      </c>
      <c r="AO65" s="59">
        <f t="shared" si="36"/>
        <v>279.2078283764684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80.785916075705671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80.785916075705671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15.6</v>
      </c>
      <c r="N66" s="13">
        <f>IF('Données projet'!$A$36&gt;35,N65+M66-V65,IF(A66&lt;'Données projet'!$A$36,$K$205^A66,IF(A66='Données projet'!$A$36,'Données projet'!$B$36,N65+M66-V65)))</f>
        <v>595.8000000000003</v>
      </c>
      <c r="O66" s="13">
        <f>N66*VLOOKUP('Données projet'!$B$9,Paramètres!$A$1:$I$89,3,0)*VLOOKUP('Données projet'!$B$9,Paramètres!$A$1:$I$89,5,0)</f>
        <v>356.28840000000019</v>
      </c>
      <c r="P66" s="13">
        <f t="shared" si="33"/>
        <v>82.856013090111389</v>
      </c>
      <c r="Q66" s="20">
        <f t="shared" si="53"/>
        <v>764.84318613194444</v>
      </c>
      <c r="R66" s="59">
        <f t="shared" si="0"/>
        <v>1058.1765194652778</v>
      </c>
      <c r="S66" s="59">
        <f ca="1">AVERAGE(OFFSET($R$3,0,0,'Données projet'!$E$9+1,1))-AVERAGE(OFFSET($H$3,0,0,'Données projet'!$E$9+1,1))</f>
        <v>504.81063008331739</v>
      </c>
      <c r="T66" s="59">
        <f t="shared" si="34"/>
        <v>441.82647565372287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83.629210271669194</v>
      </c>
      <c r="AA66" s="21">
        <f>EXP(-LN(2)/25)*AA65+(1-EXP(-LN(2)/25))/(LN(2)/25)*Calculateur!V66*Calculateur!X66*VLOOKUP('Données projet'!$B$9,Paramètres!$A$1:$I$89,3,0)*0.475*44/12</f>
        <v>23.583191169630542</v>
      </c>
      <c r="AB66" s="21">
        <f>EXP(-LN(2)/2)*AB65+(1-EXP(-LN(2)/2))/(LN(2)/2)*V66*Y66*VLOOKUP('Données projet'!$B$9,Paramètres!$A$1:$I$89,3,0)*0.475*44/12</f>
        <v>5.6499533622810726E-7</v>
      </c>
      <c r="AC66" s="22">
        <f t="shared" si="3"/>
        <v>107.21240200629506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354.62875500000007</v>
      </c>
      <c r="AK66" s="13">
        <f t="shared" si="35"/>
        <v>82.514889946092978</v>
      </c>
      <c r="AL66" s="20">
        <f t="shared" si="4"/>
        <v>761.35851494777864</v>
      </c>
      <c r="AM66" s="59">
        <f t="shared" si="5"/>
        <v>1054.691848281112</v>
      </c>
      <c r="AN66" s="59">
        <f ca="1">AVERAGE(OFFSET($AM$3,0,0,'Données projet'!$E$10+1,1))-AVERAGE(OFFSET($H$3,0,0,'Données projet'!$E$10+1,1))</f>
        <v>778.88878506193896</v>
      </c>
      <c r="AO66" s="59">
        <f t="shared" si="36"/>
        <v>279.2078283764684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79.201753536004432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79.201753536004432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15.6</v>
      </c>
      <c r="N67" s="13">
        <f>IF('Données projet'!$A$36&gt;35,N66+M67-V66,IF(A67&lt;'Données projet'!$A$36,$K$205^A67,IF(A67='Données projet'!$A$36,'Données projet'!$B$36,N66+M67-V66)))</f>
        <v>611.40000000000032</v>
      </c>
      <c r="O67" s="13">
        <f>N67*VLOOKUP('Données projet'!$B$9,Paramètres!$A$1:$I$89,3,0)*VLOOKUP('Données projet'!$B$9,Paramètres!$A$1:$I$89,5,0)</f>
        <v>365.6172000000002</v>
      </c>
      <c r="P67" s="13">
        <f t="shared" si="33"/>
        <v>84.770039372098395</v>
      </c>
      <c r="Q67" s="20">
        <f t="shared" ref="Q67:Q98" si="54">(O67+P67)*0.475*44/12</f>
        <v>784.42444190640492</v>
      </c>
      <c r="R67" s="59">
        <f t="shared" ref="R67:R130" si="55">Q67+(I67+J67)*44/12</f>
        <v>1077.7577752397383</v>
      </c>
      <c r="S67" s="59">
        <f ca="1">AVERAGE(OFFSET($R$3,0,0,'Données projet'!$E$9+1,1))-AVERAGE(OFFSET($H$3,0,0,'Données projet'!$E$9+1,1))</f>
        <v>504.81063008331739</v>
      </c>
      <c r="T67" s="59">
        <f t="shared" si="34"/>
        <v>441.82647565372287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81.989292467023333</v>
      </c>
      <c r="AA67" s="21">
        <f>EXP(-LN(2)/25)*AA66+(1-EXP(-LN(2)/25))/(LN(2)/25)*Calculateur!V67*Calculateur!X67*VLOOKUP('Données projet'!$B$9,Paramètres!$A$1:$I$89,3,0)*0.475*44/12</f>
        <v>22.938307566910872</v>
      </c>
      <c r="AB67" s="21">
        <f>EXP(-LN(2)/2)*AB66+(1-EXP(-LN(2)/2))/(LN(2)/2)*V67*Y67*VLOOKUP('Données projet'!$B$9,Paramètres!$A$1:$I$89,3,0)*0.475*44/12</f>
        <v>3.9951203358566809E-7</v>
      </c>
      <c r="AC67" s="22">
        <f t="shared" si="3"/>
        <v>104.92760043344623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367.87413000000009</v>
      </c>
      <c r="AK67" s="13">
        <f t="shared" si="35"/>
        <v>85.232243548932175</v>
      </c>
      <c r="AL67" s="20">
        <f t="shared" si="4"/>
        <v>789.16026726439031</v>
      </c>
      <c r="AM67" s="59">
        <f t="shared" si="5"/>
        <v>1082.4936005977236</v>
      </c>
      <c r="AN67" s="59">
        <f ca="1">AVERAGE(OFFSET($AM$3,0,0,'Données projet'!$E$10+1,1))-AVERAGE(OFFSET($H$3,0,0,'Données projet'!$E$10+1,1))</f>
        <v>778.88878506193896</v>
      </c>
      <c r="AO67" s="59">
        <f t="shared" si="36"/>
        <v>279.2078283764684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77.648655457462993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77.648655457462993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627</v>
      </c>
      <c r="L68" s="12">
        <f>VLOOKUP(A68,'Données projet'!$A$35:$I$55,9,0)</f>
        <v>15.6</v>
      </c>
      <c r="M68" s="12">
        <f t="array" ref="M68">INDEX(L:L,MIN(IF(ISNUMBER(L68:L264),ROW(L68:L264),"")))</f>
        <v>15.6</v>
      </c>
      <c r="N68" s="13">
        <f>IF('Données projet'!$A$36&gt;35,N67+M68-V67,IF(A68&lt;'Données projet'!$A$36,$K$205^A68,IF(A68='Données projet'!$A$36,'Données projet'!$B$36,N67+M68-V67)))</f>
        <v>627.00000000000034</v>
      </c>
      <c r="O68" s="13">
        <f>N68*VLOOKUP('Données projet'!$B$9,Paramètres!$A$1:$I$89,3,0)*VLOOKUP('Données projet'!$B$9,Paramètres!$A$1:$I$89,5,0)</f>
        <v>374.94600000000025</v>
      </c>
      <c r="P68" s="13">
        <f t="shared" si="33"/>
        <v>86.678388834633466</v>
      </c>
      <c r="Q68" s="20">
        <f t="shared" si="54"/>
        <v>803.99581055365354</v>
      </c>
      <c r="R68" s="59">
        <f t="shared" si="55"/>
        <v>1097.3291438869869</v>
      </c>
      <c r="S68" s="59">
        <f ca="1">AVERAGE(OFFSET($R$3,0,0,'Données projet'!$E$9+1,1))-AVERAGE(OFFSET($H$3,0,0,'Données projet'!$E$9+1,1))</f>
        <v>504.81063008331739</v>
      </c>
      <c r="T68" s="59">
        <f t="shared" si="34"/>
        <v>441.82647565372287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34</v>
      </c>
      <c r="W68" s="16">
        <f>IF(ISNA(VLOOKUP(A68,'Données projet'!$A$35:$I$55,5,0)),0%,VLOOKUP(A68,'Données projet'!$A$35:$I$55,5,0)*VLOOKUP('Données projet'!$B$9,Paramètres!$A$1:$I$89,7,0))</f>
        <v>0.45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92.518801278874008</v>
      </c>
      <c r="AA68" s="21">
        <f>EXP(-LN(2)/25)*AA67+(1-EXP(-LN(2)/25))/(LN(2)/25)*Calculateur!V68*Calculateur!X68*VLOOKUP('Données projet'!$B$9,Paramètres!$A$1:$I$89,3,0)*0.475*44/12</f>
        <v>22.311058340220526</v>
      </c>
      <c r="AB68" s="21">
        <f>EXP(-LN(2)/2)*AB67+(1-EXP(-LN(2)/2))/(LN(2)/2)*V68*Y68*VLOOKUP('Données projet'!$B$9,Paramètres!$A$1:$I$89,3,0)*0.475*44/12</f>
        <v>2.8249766811405363E-7</v>
      </c>
      <c r="AC68" s="22">
        <f t="shared" ref="AC68:AC131" si="57">SUM(Z68:AB68)</f>
        <v>114.8298599015922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381.11950500000012</v>
      </c>
      <c r="AK68" s="13">
        <f t="shared" si="35"/>
        <v>87.938229951020219</v>
      </c>
      <c r="AL68" s="20">
        <f t="shared" ref="AL68:AL131" si="58">(AJ68+AK68)*0.475*44/12</f>
        <v>816.94222170636033</v>
      </c>
      <c r="AM68" s="59">
        <f t="shared" ref="AM68:AM131" si="59">AL68+(AD68+AE68)*44/12</f>
        <v>1110.2755550396937</v>
      </c>
      <c r="AN68" s="59">
        <f ca="1">AVERAGE(OFFSET($AM$3,0,0,'Données projet'!$E$10+1,1))-AVERAGE(OFFSET($H$3,0,0,'Données projet'!$E$10+1,1))</f>
        <v>778.88878506193896</v>
      </c>
      <c r="AO68" s="59">
        <f t="shared" si="36"/>
        <v>279.2078283764684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76.126012684945465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76.126012684945465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13.8</v>
      </c>
      <c r="N69" s="13">
        <f>IF('Données projet'!$A$36&gt;35,N68+M69-V68,IF(A69&lt;'Données projet'!$A$36,$K$205^A69,IF(A69='Données projet'!$A$36,'Données projet'!$B$36,N68+M69-V68)))</f>
        <v>606.8000000000003</v>
      </c>
      <c r="O69" s="13">
        <f>N69*VLOOKUP('Données projet'!$B$9,Paramètres!$A$1:$I$89,3,0)*VLOOKUP('Données projet'!$B$9,Paramètres!$A$1:$I$89,5,0)</f>
        <v>362.86640000000023</v>
      </c>
      <c r="P69" s="13">
        <f t="shared" ref="P69:P132" si="87">EXP(-1.0587+0.8836*LN(O69)+0.284)</f>
        <v>84.206244461628913</v>
      </c>
      <c r="Q69" s="20">
        <f t="shared" si="54"/>
        <v>778.65152243733735</v>
      </c>
      <c r="R69" s="59">
        <f t="shared" si="55"/>
        <v>1071.9848557706707</v>
      </c>
      <c r="S69" s="59">
        <f ca="1">AVERAGE(OFFSET($R$3,0,0,'Données projet'!$E$9+1,1))-AVERAGE(OFFSET($H$3,0,0,'Données projet'!$E$9+1,1))</f>
        <v>504.81063008331739</v>
      </c>
      <c r="T69" s="59">
        <f t="shared" ref="T69:T132" si="88">$T$3</f>
        <v>441.82647565372287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90.704564016691975</v>
      </c>
      <c r="AA69" s="21">
        <f>EXP(-LN(2)/25)*AA68+(1-EXP(-LN(2)/25))/(LN(2)/25)*Calculateur!V69*Calculateur!X69*VLOOKUP('Données projet'!$B$9,Paramètres!$A$1:$I$89,3,0)*0.475*44/12</f>
        <v>21.70096127661963</v>
      </c>
      <c r="AB69" s="21">
        <f>EXP(-LN(2)/2)*AB68+(1-EXP(-LN(2)/2))/(LN(2)/2)*V69*Y69*VLOOKUP('Données projet'!$B$9,Paramètres!$A$1:$I$89,3,0)*0.475*44/12</f>
        <v>1.9975601679283405E-7</v>
      </c>
      <c r="AC69" s="22">
        <f t="shared" si="57"/>
        <v>112.40552549306761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394.36488000000008</v>
      </c>
      <c r="AK69" s="13">
        <f t="shared" ref="AK69:AK132" si="89">EXP(-1.0587+0.8836*LN(AJ69)+0.284)</f>
        <v>90.633289480086219</v>
      </c>
      <c r="AL69" s="20">
        <f t="shared" si="58"/>
        <v>844.70514517781703</v>
      </c>
      <c r="AM69" s="59">
        <f t="shared" si="59"/>
        <v>1138.0384785111503</v>
      </c>
      <c r="AN69" s="59">
        <f ca="1">AVERAGE(OFFSET($AM$3,0,0,'Données projet'!$E$10+1,1))-AVERAGE(OFFSET($H$3,0,0,'Données projet'!$E$10+1,1))</f>
        <v>778.88878506193896</v>
      </c>
      <c r="AO69" s="59">
        <f t="shared" ref="AO69:AO132" si="90">$AO$3</f>
        <v>279.2078283764684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109.01962129149811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109.01962129149811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13.8</v>
      </c>
      <c r="N70" s="13">
        <f>IF('Données projet'!$A$36&gt;35,N69+M70-V69,IF(A70&lt;'Données projet'!$A$36,$K$205^A70,IF(A70='Données projet'!$A$36,'Données projet'!$B$36,N69+M70-V69)))</f>
        <v>620.60000000000025</v>
      </c>
      <c r="O70" s="13">
        <f>N70*VLOOKUP('Données projet'!$B$9,Paramètres!$A$1:$I$89,3,0)*VLOOKUP('Données projet'!$B$9,Paramètres!$A$1:$I$89,5,0)</f>
        <v>371.11880000000014</v>
      </c>
      <c r="P70" s="13">
        <f t="shared" si="87"/>
        <v>85.896152691454745</v>
      </c>
      <c r="Q70" s="20">
        <f t="shared" si="54"/>
        <v>795.96770927095042</v>
      </c>
      <c r="R70" s="59">
        <f t="shared" si="55"/>
        <v>1089.3010426042838</v>
      </c>
      <c r="S70" s="59">
        <f ca="1">AVERAGE(OFFSET($R$3,0,0,'Données projet'!$E$9+1,1))-AVERAGE(OFFSET($H$3,0,0,'Données projet'!$E$9+1,1))</f>
        <v>504.81063008331739</v>
      </c>
      <c r="T70" s="59">
        <f t="shared" si="88"/>
        <v>441.82647565372287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88.925902840645875</v>
      </c>
      <c r="AA70" s="21">
        <f>EXP(-LN(2)/25)*AA69+(1-EXP(-LN(2)/25))/(LN(2)/25)*Calculateur!V70*Calculateur!X70*VLOOKUP('Données projet'!$B$9,Paramètres!$A$1:$I$89,3,0)*0.475*44/12</f>
        <v>21.107547349306511</v>
      </c>
      <c r="AB70" s="21">
        <f>EXP(-LN(2)/2)*AB69+(1-EXP(-LN(2)/2))/(LN(2)/2)*V70*Y70*VLOOKUP('Données projet'!$B$9,Paramètres!$A$1:$I$89,3,0)*0.475*44/12</f>
        <v>1.4124883405702681E-7</v>
      </c>
      <c r="AC70" s="22">
        <f t="shared" si="57"/>
        <v>110.03345033120122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334.3487550000001</v>
      </c>
      <c r="AK70" s="13">
        <f t="shared" si="89"/>
        <v>78.331226903244087</v>
      </c>
      <c r="AL70" s="20">
        <f t="shared" si="58"/>
        <v>718.7509684814836</v>
      </c>
      <c r="AM70" s="59">
        <f t="shared" si="59"/>
        <v>1012.0843018148169</v>
      </c>
      <c r="AN70" s="59">
        <f ca="1">AVERAGE(OFFSET($AM$3,0,0,'Données projet'!$E$10+1,1))-AVERAGE(OFFSET($H$3,0,0,'Données projet'!$E$10+1,1))</f>
        <v>778.88878506193896</v>
      </c>
      <c r="AO70" s="59">
        <f t="shared" si="90"/>
        <v>279.2078283764684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106.88181301337495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106.88181301337495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13.8</v>
      </c>
      <c r="N71" s="13">
        <f>IF('Données projet'!$A$36&gt;35,N70+M71-V70,IF(A71&lt;'Données projet'!$A$36,$K$205^A71,IF(A71='Données projet'!$A$36,'Données projet'!$B$36,N70+M71-V70)))</f>
        <v>634.4000000000002</v>
      </c>
      <c r="O71" s="13">
        <f>N71*VLOOKUP('Données projet'!$B$9,Paramètres!$A$1:$I$89,3,0)*VLOOKUP('Données projet'!$B$9,Paramètres!$A$1:$I$89,5,0)</f>
        <v>379.37120000000016</v>
      </c>
      <c r="P71" s="13">
        <f t="shared" si="87"/>
        <v>87.58169214989708</v>
      </c>
      <c r="Q71" s="20">
        <f t="shared" si="54"/>
        <v>813.27628716107108</v>
      </c>
      <c r="R71" s="59">
        <f t="shared" si="55"/>
        <v>1106.6096204944045</v>
      </c>
      <c r="S71" s="59">
        <f ca="1">AVERAGE(OFFSET($R$3,0,0,'Données projet'!$E$9+1,1))-AVERAGE(OFFSET($H$3,0,0,'Données projet'!$E$9+1,1))</f>
        <v>504.81063008331739</v>
      </c>
      <c r="T71" s="59">
        <f t="shared" si="88"/>
        <v>441.82647565372287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87.182120125385836</v>
      </c>
      <c r="AA71" s="21">
        <f>EXP(-LN(2)/25)*AA70+(1-EXP(-LN(2)/25))/(LN(2)/25)*Calculateur!V71*Calculateur!X71*VLOOKUP('Données projet'!$B$9,Paramètres!$A$1:$I$89,3,0)*0.475*44/12</f>
        <v>20.530360357042053</v>
      </c>
      <c r="AB71" s="21">
        <f>EXP(-LN(2)/2)*AB70+(1-EXP(-LN(2)/2))/(LN(2)/2)*V71*Y71*VLOOKUP('Données projet'!$B$9,Paramètres!$A$1:$I$89,3,0)*0.475*44/12</f>
        <v>9.9878008396417023E-8</v>
      </c>
      <c r="AC71" s="22">
        <f t="shared" si="57"/>
        <v>107.7124805823059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346.67139000000009</v>
      </c>
      <c r="AK71" s="13">
        <f t="shared" si="89"/>
        <v>80.876735153778483</v>
      </c>
      <c r="AL71" s="20">
        <f t="shared" si="58"/>
        <v>744.64631797616437</v>
      </c>
      <c r="AM71" s="59">
        <f t="shared" si="59"/>
        <v>1037.9796513094977</v>
      </c>
      <c r="AN71" s="59">
        <f ca="1">AVERAGE(OFFSET($AM$3,0,0,'Données projet'!$E$10+1,1))-AVERAGE(OFFSET($H$3,0,0,'Données projet'!$E$10+1,1))</f>
        <v>778.88878506193896</v>
      </c>
      <c r="AO71" s="59">
        <f t="shared" si="90"/>
        <v>279.2078283764684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104.78592585165148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104.78592585165148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13.8</v>
      </c>
      <c r="N72" s="13">
        <f>IF('Données projet'!$A$36&gt;35,N71+M72-V71,IF(A72&lt;'Données projet'!$A$36,$K$205^A72,IF(A72='Données projet'!$A$36,'Données projet'!$B$36,N71+M72-V71)))</f>
        <v>648.20000000000016</v>
      </c>
      <c r="O72" s="13">
        <f>N72*VLOOKUP('Données projet'!$B$9,Paramètres!$A$1:$I$89,3,0)*VLOOKUP('Données projet'!$B$9,Paramètres!$A$1:$I$89,5,0)</f>
        <v>387.62360000000012</v>
      </c>
      <c r="P72" s="13">
        <f t="shared" si="87"/>
        <v>89.262968814668071</v>
      </c>
      <c r="Q72" s="20">
        <f t="shared" si="54"/>
        <v>830.57744068554712</v>
      </c>
      <c r="R72" s="59">
        <f t="shared" si="55"/>
        <v>1123.9107740188804</v>
      </c>
      <c r="S72" s="59">
        <f ca="1">AVERAGE(OFFSET($R$3,0,0,'Données projet'!$E$9+1,1))-AVERAGE(OFFSET($H$3,0,0,'Données projet'!$E$9+1,1))</f>
        <v>504.81063008331739</v>
      </c>
      <c r="T72" s="59">
        <f t="shared" si="88"/>
        <v>441.82647565372287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85.472531925569612</v>
      </c>
      <c r="AA72" s="21">
        <f>EXP(-LN(2)/25)*AA71+(1-EXP(-LN(2)/25))/(LN(2)/25)*Calculateur!V72*Calculateur!X72*VLOOKUP('Données projet'!$B$9,Paramètres!$A$1:$I$89,3,0)*0.475*44/12</f>
        <v>19.96895657343401</v>
      </c>
      <c r="AB72" s="21">
        <f>EXP(-LN(2)/2)*AB71+(1-EXP(-LN(2)/2))/(LN(2)/2)*V72*Y72*VLOOKUP('Données projet'!$B$9,Paramètres!$A$1:$I$89,3,0)*0.475*44/12</f>
        <v>7.0624417028513407E-8</v>
      </c>
      <c r="AC72" s="22">
        <f t="shared" si="57"/>
        <v>105.44148856962805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358.99402500000002</v>
      </c>
      <c r="AK72" s="13">
        <f t="shared" si="89"/>
        <v>83.411730770147727</v>
      </c>
      <c r="AL72" s="20">
        <f t="shared" si="58"/>
        <v>770.52335796634054</v>
      </c>
      <c r="AM72" s="59">
        <f t="shared" si="59"/>
        <v>1063.8566912996739</v>
      </c>
      <c r="AN72" s="59">
        <f ca="1">AVERAGE(OFFSET($AM$3,0,0,'Données projet'!$E$10+1,1))-AVERAGE(OFFSET($H$3,0,0,'Données projet'!$E$10+1,1))</f>
        <v>778.88878506193896</v>
      </c>
      <c r="AO72" s="59">
        <f t="shared" si="90"/>
        <v>279.2078283764684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102.73113775880448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102.73113775880448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662</v>
      </c>
      <c r="L73" s="12">
        <f>VLOOKUP(A73,'Données projet'!$A$35:$I$55,9,0)</f>
        <v>13.8</v>
      </c>
      <c r="M73" s="12">
        <f t="array" ref="M73">INDEX(L:L,MIN(IF(ISNUMBER(L73:L269),ROW(L73:L269),"")))</f>
        <v>13.8</v>
      </c>
      <c r="N73" s="13">
        <f>IF('Données projet'!$A$36&gt;35,N72+M73-V72,IF(A73&lt;'Données projet'!$A$36,$K$205^A73,IF(A73='Données projet'!$A$36,'Données projet'!$B$36,N72+M73-V72)))</f>
        <v>662.00000000000011</v>
      </c>
      <c r="O73" s="13">
        <f>N73*VLOOKUP('Données projet'!$B$9,Paramètres!$A$1:$I$89,3,0)*VLOOKUP('Données projet'!$B$9,Paramètres!$A$1:$I$89,5,0)</f>
        <v>395.87600000000009</v>
      </c>
      <c r="P73" s="13">
        <f t="shared" si="87"/>
        <v>90.940083893210655</v>
      </c>
      <c r="Q73" s="20">
        <f t="shared" si="54"/>
        <v>847.8713461140087</v>
      </c>
      <c r="R73" s="59">
        <f t="shared" si="55"/>
        <v>1141.204679447342</v>
      </c>
      <c r="S73" s="59">
        <f ca="1">AVERAGE(OFFSET($R$3,0,0,'Données projet'!$E$9+1,1))-AVERAGE(OFFSET($H$3,0,0,'Données projet'!$E$9+1,1))</f>
        <v>504.81063008331739</v>
      </c>
      <c r="T73" s="59">
        <f t="shared" si="88"/>
        <v>441.82647565372287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31</v>
      </c>
      <c r="W73" s="16">
        <f>IF(ISNA(VLOOKUP(A73,'Données projet'!$A$35:$I$55,5,0)),0%,VLOOKUP(A73,'Données projet'!$A$35:$I$55,5,0)*VLOOKUP('Données projet'!$B$9,Paramètres!$A$1:$I$89,7,0))</f>
        <v>0.45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94.862801051328148</v>
      </c>
      <c r="AA73" s="21">
        <f>EXP(-LN(2)/25)*AA72+(1-EXP(-LN(2)/25))/(LN(2)/25)*Calculateur!V73*Calculateur!X73*VLOOKUP('Données projet'!$B$9,Paramètres!$A$1:$I$89,3,0)*0.475*44/12</f>
        <v>19.422904405811671</v>
      </c>
      <c r="AB73" s="21">
        <f>EXP(-LN(2)/2)*AB72+(1-EXP(-LN(2)/2))/(LN(2)/2)*V73*Y73*VLOOKUP('Données projet'!$B$9,Paramètres!$A$1:$I$89,3,0)*0.475*44/12</f>
        <v>4.9939004198208511E-8</v>
      </c>
      <c r="AC73" s="22">
        <f t="shared" si="57"/>
        <v>114.28570550707882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371.31666000000001</v>
      </c>
      <c r="AK73" s="13">
        <f t="shared" si="89"/>
        <v>85.936615963188771</v>
      </c>
      <c r="AL73" s="20">
        <f t="shared" si="58"/>
        <v>796.38278896922054</v>
      </c>
      <c r="AM73" s="59">
        <f t="shared" si="59"/>
        <v>1089.7161223025539</v>
      </c>
      <c r="AN73" s="59">
        <f ca="1">AVERAGE(OFFSET($AM$3,0,0,'Données projet'!$E$10+1,1))-AVERAGE(OFFSET($H$3,0,0,'Données projet'!$E$10+1,1))</f>
        <v>778.88878506193896</v>
      </c>
      <c r="AO73" s="59">
        <f t="shared" si="90"/>
        <v>279.2078283764684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100.71664280716121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100.71664280716121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12.4</v>
      </c>
      <c r="N74" s="13">
        <f>IF('Données projet'!$A$36&gt;35,N73+M74-V73,IF(A74&lt;'Données projet'!$A$36,$K$205^A74,IF(A74='Données projet'!$A$36,'Données projet'!$B$36,N73+M74-V73)))</f>
        <v>643.40000000000009</v>
      </c>
      <c r="O74" s="13">
        <f>N74*VLOOKUP('Données projet'!$B$9,Paramètres!$A$1:$I$89,3,0)*VLOOKUP('Données projet'!$B$9,Paramètres!$A$1:$I$89,5,0)</f>
        <v>384.75320000000011</v>
      </c>
      <c r="P74" s="13">
        <f t="shared" si="87"/>
        <v>88.678654005282596</v>
      </c>
      <c r="Q74" s="20">
        <f t="shared" si="54"/>
        <v>824.5604790592007</v>
      </c>
      <c r="R74" s="59">
        <f t="shared" si="55"/>
        <v>1117.8938123925341</v>
      </c>
      <c r="S74" s="59">
        <f ca="1">AVERAGE(OFFSET($R$3,0,0,'Données projet'!$E$9+1,1))-AVERAGE(OFFSET($H$3,0,0,'Données projet'!$E$9+1,1))</f>
        <v>504.81063008331739</v>
      </c>
      <c r="T74" s="59">
        <f t="shared" si="88"/>
        <v>441.82647565372287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93.002599383306986</v>
      </c>
      <c r="AA74" s="21">
        <f>EXP(-LN(2)/25)*AA73+(1-EXP(-LN(2)/25))/(LN(2)/25)*Calculateur!V74*Calculateur!X74*VLOOKUP('Données projet'!$B$9,Paramètres!$A$1:$I$89,3,0)*0.475*44/12</f>
        <v>18.891784063428599</v>
      </c>
      <c r="AB74" s="21">
        <f>EXP(-LN(2)/2)*AB73+(1-EXP(-LN(2)/2))/(LN(2)/2)*V74*Y74*VLOOKUP('Données projet'!$B$9,Paramètres!$A$1:$I$89,3,0)*0.475*44/12</f>
        <v>3.5312208514256703E-8</v>
      </c>
      <c r="AC74" s="22">
        <f t="shared" si="57"/>
        <v>111.8943834820478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383.639295</v>
      </c>
      <c r="AK74" s="13">
        <f t="shared" si="89"/>
        <v>88.45176473299297</v>
      </c>
      <c r="AL74" s="20">
        <f t="shared" si="58"/>
        <v>822.22526236829606</v>
      </c>
      <c r="AM74" s="59">
        <f t="shared" si="59"/>
        <v>1115.5585957016294</v>
      </c>
      <c r="AN74" s="59">
        <f ca="1">AVERAGE(OFFSET($AM$3,0,0,'Données projet'!$E$10+1,1))-AVERAGE(OFFSET($H$3,0,0,'Données projet'!$E$10+1,1))</f>
        <v>778.88878506193896</v>
      </c>
      <c r="AO74" s="59">
        <f t="shared" si="90"/>
        <v>279.2078283764684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98.74165087279907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98.74165087279907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12.4</v>
      </c>
      <c r="N75" s="13">
        <f>IF('Données projet'!$A$36&gt;35,N74+M75-V74,IF(A75&lt;'Données projet'!$A$36,$K$205^A75,IF(A75='Données projet'!$A$36,'Données projet'!$B$36,N74+M75-V74)))</f>
        <v>655.80000000000007</v>
      </c>
      <c r="O75" s="13">
        <f>N75*VLOOKUP('Données projet'!$B$9,Paramètres!$A$1:$I$89,3,0)*VLOOKUP('Données projet'!$B$9,Paramètres!$A$1:$I$89,5,0)</f>
        <v>392.16840000000008</v>
      </c>
      <c r="P75" s="13">
        <f t="shared" si="87"/>
        <v>90.187105966373196</v>
      </c>
      <c r="Q75" s="20">
        <f t="shared" si="54"/>
        <v>840.10250622476667</v>
      </c>
      <c r="R75" s="59">
        <f t="shared" si="55"/>
        <v>1133.4358395581</v>
      </c>
      <c r="S75" s="59">
        <f ca="1">AVERAGE(OFFSET($R$3,0,0,'Données projet'!$E$9+1,1))-AVERAGE(OFFSET($H$3,0,0,'Données projet'!$E$9+1,1))</f>
        <v>504.81063008331739</v>
      </c>
      <c r="T75" s="59">
        <f t="shared" si="88"/>
        <v>441.82647565372287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91.178875135384729</v>
      </c>
      <c r="AA75" s="21">
        <f>EXP(-LN(2)/25)*AA74+(1-EXP(-LN(2)/25))/(LN(2)/25)*Calculateur!V75*Calculateur!X75*VLOOKUP('Données projet'!$B$9,Paramètres!$A$1:$I$89,3,0)*0.475*44/12</f>
        <v>18.375187234738398</v>
      </c>
      <c r="AB75" s="21">
        <f>EXP(-LN(2)/2)*AB74+(1-EXP(-LN(2)/2))/(LN(2)/2)*V75*Y75*VLOOKUP('Données projet'!$B$9,Paramètres!$A$1:$I$89,3,0)*0.475*44/12</f>
        <v>2.4969502099104256E-8</v>
      </c>
      <c r="AC75" s="22">
        <f t="shared" si="57"/>
        <v>109.55406239509263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395.96193</v>
      </c>
      <c r="AK75" s="13">
        <f t="shared" si="89"/>
        <v>90.957525689506141</v>
      </c>
      <c r="AL75" s="20">
        <f t="shared" si="58"/>
        <v>848.05138532588978</v>
      </c>
      <c r="AM75" s="59">
        <f t="shared" si="59"/>
        <v>1141.3847186592232</v>
      </c>
      <c r="AN75" s="59">
        <f ca="1">AVERAGE(OFFSET($AM$3,0,0,'Données projet'!$E$10+1,1))-AVERAGE(OFFSET($H$3,0,0,'Données projet'!$E$10+1,1))</f>
        <v>778.88878506193896</v>
      </c>
      <c r="AO75" s="59">
        <f t="shared" si="90"/>
        <v>279.2078283764684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96.80538732564365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96.80538732564365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12.4</v>
      </c>
      <c r="N76" s="13">
        <f>IF('Données projet'!$A$36&gt;35,N75+M76-V75,IF(A76&lt;'Données projet'!$A$36,$K$205^A76,IF(A76='Données projet'!$A$36,'Données projet'!$B$36,N75+M76-V75)))</f>
        <v>668.2</v>
      </c>
      <c r="O76" s="13">
        <f>N76*VLOOKUP('Données projet'!$B$9,Paramètres!$A$1:$I$89,3,0)*VLOOKUP('Données projet'!$B$9,Paramètres!$A$1:$I$89,5,0)</f>
        <v>399.58360000000005</v>
      </c>
      <c r="P76" s="13">
        <f t="shared" si="87"/>
        <v>91.692241394947928</v>
      </c>
      <c r="Q76" s="20">
        <f t="shared" si="54"/>
        <v>855.63875709620106</v>
      </c>
      <c r="R76" s="59">
        <f t="shared" si="55"/>
        <v>1148.9720904295343</v>
      </c>
      <c r="S76" s="59">
        <f ca="1">AVERAGE(OFFSET($R$3,0,0,'Données projet'!$E$9+1,1))-AVERAGE(OFFSET($H$3,0,0,'Données projet'!$E$9+1,1))</f>
        <v>504.81063008331739</v>
      </c>
      <c r="T76" s="59">
        <f t="shared" si="88"/>
        <v>441.82647565372287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89.390913007602279</v>
      </c>
      <c r="AA76" s="21">
        <f>EXP(-LN(2)/25)*AA75+(1-EXP(-LN(2)/25))/(LN(2)/25)*Calculateur!V76*Calculateur!X76*VLOOKUP('Données projet'!$B$9,Paramètres!$A$1:$I$89,3,0)*0.475*44/12</f>
        <v>17.872716773495377</v>
      </c>
      <c r="AB76" s="21">
        <f>EXP(-LN(2)/2)*AB75+(1-EXP(-LN(2)/2))/(LN(2)/2)*V76*Y76*VLOOKUP('Données projet'!$B$9,Paramètres!$A$1:$I$89,3,0)*0.475*44/12</f>
        <v>1.7656104257128352E-8</v>
      </c>
      <c r="AC76" s="22">
        <f t="shared" si="57"/>
        <v>107.26362979875375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408.28456499999999</v>
      </c>
      <c r="AK76" s="13">
        <f t="shared" si="89"/>
        <v>93.454224512146936</v>
      </c>
      <c r="AL76" s="20">
        <f t="shared" si="58"/>
        <v>873.86172506698915</v>
      </c>
      <c r="AM76" s="59">
        <f t="shared" si="59"/>
        <v>1167.1950584003225</v>
      </c>
      <c r="AN76" s="59">
        <f ca="1">AVERAGE(OFFSET($AM$3,0,0,'Données projet'!$E$10+1,1))-AVERAGE(OFFSET($H$3,0,0,'Données projet'!$E$10+1,1))</f>
        <v>778.88878506193896</v>
      </c>
      <c r="AO76" s="59">
        <f t="shared" si="90"/>
        <v>279.2078283764684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94.907092725643793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94.907092725643793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12.4</v>
      </c>
      <c r="N77" s="13">
        <f>IF('Données projet'!$A$36&gt;35,N76+M77-V76,IF(A77&lt;'Données projet'!$A$36,$K$205^A77,IF(A77='Données projet'!$A$36,'Données projet'!$B$36,N76+M77-V76)))</f>
        <v>680.6</v>
      </c>
      <c r="O77" s="13">
        <f>N77*VLOOKUP('Données projet'!$B$9,Paramètres!$A$1:$I$89,3,0)*VLOOKUP('Données projet'!$B$9,Paramètres!$A$1:$I$89,5,0)</f>
        <v>406.99880000000002</v>
      </c>
      <c r="P77" s="13">
        <f t="shared" si="87"/>
        <v>93.194128934694703</v>
      </c>
      <c r="Q77" s="20">
        <f t="shared" si="54"/>
        <v>871.16935122792665</v>
      </c>
      <c r="R77" s="59">
        <f t="shared" si="55"/>
        <v>1164.5026845612599</v>
      </c>
      <c r="S77" s="59">
        <f ca="1">AVERAGE(OFFSET($R$3,0,0,'Données projet'!$E$9+1,1))-AVERAGE(OFFSET($H$3,0,0,'Données projet'!$E$9+1,1))</f>
        <v>504.81063008331739</v>
      </c>
      <c r="T77" s="59">
        <f t="shared" si="88"/>
        <v>441.82647565372287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87.638011726596432</v>
      </c>
      <c r="AA77" s="21">
        <f>EXP(-LN(2)/25)*AA76+(1-EXP(-LN(2)/25))/(LN(2)/25)*Calculateur!V77*Calculateur!X77*VLOOKUP('Données projet'!$B$9,Paramètres!$A$1:$I$89,3,0)*0.475*44/12</f>
        <v>17.383986393438818</v>
      </c>
      <c r="AB77" s="21">
        <f>EXP(-LN(2)/2)*AB76+(1-EXP(-LN(2)/2))/(LN(2)/2)*V77*Y77*VLOOKUP('Données projet'!$B$9,Paramètres!$A$1:$I$89,3,0)*0.475*44/12</f>
        <v>1.2484751049552128E-8</v>
      </c>
      <c r="AC77" s="22">
        <f t="shared" si="57"/>
        <v>105.02199813252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420.60719999999992</v>
      </c>
      <c r="AK77" s="13">
        <f t="shared" si="89"/>
        <v>95.942166104142956</v>
      </c>
      <c r="AL77" s="20">
        <f t="shared" si="58"/>
        <v>899.65681263138219</v>
      </c>
      <c r="AM77" s="59">
        <f t="shared" si="59"/>
        <v>1192.9901459647156</v>
      </c>
      <c r="AN77" s="59">
        <f ca="1">AVERAGE(OFFSET($AM$3,0,0,'Données projet'!$E$10+1,1))-AVERAGE(OFFSET($H$3,0,0,'Données projet'!$E$10+1,1))</f>
        <v>778.88878506193896</v>
      </c>
      <c r="AO77" s="59">
        <f t="shared" si="90"/>
        <v>279.2078283764684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126.88774767770717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126.88774767770717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693</v>
      </c>
      <c r="L78" s="12">
        <f>VLOOKUP(A78,'Données projet'!$A$35:$I$55,9,0)</f>
        <v>12.4</v>
      </c>
      <c r="M78" s="12">
        <f t="array" ref="M78">INDEX(L:L,MIN(IF(ISNUMBER(L78:L274),ROW(L78:L274),"")))</f>
        <v>12.4</v>
      </c>
      <c r="N78" s="13">
        <f>IF('Données projet'!$A$36&gt;35,N77+M78-V77,IF(A78&lt;'Données projet'!$A$36,$K$205^A78,IF(A78='Données projet'!$A$36,'Données projet'!$B$36,N77+M78-V77)))</f>
        <v>693</v>
      </c>
      <c r="O78" s="13">
        <f>N78*VLOOKUP('Données projet'!$B$9,Paramètres!$A$1:$I$89,3,0)*VLOOKUP('Données projet'!$B$9,Paramètres!$A$1:$I$89,5,0)</f>
        <v>414.41400000000004</v>
      </c>
      <c r="P78" s="13">
        <f t="shared" si="87"/>
        <v>94.692834584825818</v>
      </c>
      <c r="Q78" s="20">
        <f t="shared" si="54"/>
        <v>886.6944035685716</v>
      </c>
      <c r="R78" s="59">
        <f t="shared" si="55"/>
        <v>1180.027736901905</v>
      </c>
      <c r="S78" s="59">
        <f ca="1">AVERAGE(OFFSET($R$3,0,0,'Données projet'!$E$9+1,1))-AVERAGE(OFFSET($H$3,0,0,'Données projet'!$E$9+1,1))</f>
        <v>504.81063008331739</v>
      </c>
      <c r="T78" s="59">
        <f t="shared" si="88"/>
        <v>441.82647565372287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30</v>
      </c>
      <c r="W78" s="16">
        <f>IF(ISNA(VLOOKUP(A78,'Données projet'!$A$35:$I$55,5,0)),0%,VLOOKUP(A78,'Données projet'!$A$35:$I$55,5,0)*VLOOKUP('Données projet'!$B$9,Paramètres!$A$1:$I$89,7,0))</f>
        <v>0.45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96.628838619310301</v>
      </c>
      <c r="AA78" s="21">
        <f>EXP(-LN(2)/25)*AA77+(1-EXP(-LN(2)/25))/(LN(2)/25)*Calculateur!V78*Calculateur!X78*VLOOKUP('Données projet'!$B$9,Paramètres!$A$1:$I$89,3,0)*0.475*44/12</f>
        <v>16.908620371326119</v>
      </c>
      <c r="AB78" s="21">
        <f>EXP(-LN(2)/2)*AB77+(1-EXP(-LN(2)/2))/(LN(2)/2)*V78*Y78*VLOOKUP('Données projet'!$B$9,Paramètres!$A$1:$I$89,3,0)*0.475*44/12</f>
        <v>8.8280521285641759E-9</v>
      </c>
      <c r="AC78" s="22">
        <f t="shared" si="57"/>
        <v>113.53745899946448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361.02202499999993</v>
      </c>
      <c r="AK78" s="13">
        <f t="shared" si="89"/>
        <v>83.827948963127469</v>
      </c>
      <c r="AL78" s="20">
        <f t="shared" si="58"/>
        <v>774.78037131911344</v>
      </c>
      <c r="AM78" s="59">
        <f t="shared" si="59"/>
        <v>1068.1137046524468</v>
      </c>
      <c r="AN78" s="59">
        <f ca="1">AVERAGE(OFFSET($AM$3,0,0,'Données projet'!$E$10+1,1))-AVERAGE(OFFSET($H$3,0,0,'Données projet'!$E$10+1,1))</f>
        <v>778.88878506193896</v>
      </c>
      <c r="AO78" s="59">
        <f t="shared" si="90"/>
        <v>279.2078283764684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124.3995563396314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124.3995563396314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</v>
      </c>
      <c r="N79" s="13">
        <f>IF('Données projet'!$A$36&gt;35,N78+M79-V78,IF(A79&lt;'Données projet'!$A$36,$K$205^A79,IF(A79='Données projet'!$A$36,'Données projet'!$B$36,N78+M79-V78)))</f>
        <v>674</v>
      </c>
      <c r="O79" s="13">
        <f>N79*VLOOKUP('Données projet'!$B$9,Paramètres!$A$1:$I$89,3,0)*VLOOKUP('Données projet'!$B$9,Paramètres!$A$1:$I$89,5,0)</f>
        <v>403.05200000000002</v>
      </c>
      <c r="P79" s="13">
        <f t="shared" si="87"/>
        <v>92.39513739653853</v>
      </c>
      <c r="Q79" s="20">
        <f t="shared" si="54"/>
        <v>862.9037642989714</v>
      </c>
      <c r="R79" s="59">
        <f t="shared" si="55"/>
        <v>1156.2370976323048</v>
      </c>
      <c r="S79" s="59">
        <f ca="1">AVERAGE(OFFSET($R$3,0,0,'Données projet'!$E$9+1,1))-AVERAGE(OFFSET($H$3,0,0,'Données projet'!$E$9+1,1))</f>
        <v>504.81063008331739</v>
      </c>
      <c r="T79" s="59">
        <f t="shared" si="88"/>
        <v>441.82647565372287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94.734006031757559</v>
      </c>
      <c r="AA79" s="21">
        <f>EXP(-LN(2)/25)*AA78+(1-EXP(-LN(2)/25))/(LN(2)/25)*Calculateur!V79*Calculateur!X79*VLOOKUP('Données projet'!$B$9,Paramètres!$A$1:$I$89,3,0)*0.475*44/12</f>
        <v>16.446253258086507</v>
      </c>
      <c r="AB79" s="21">
        <f>EXP(-LN(2)/2)*AB78+(1-EXP(-LN(2)/2))/(LN(2)/2)*V79*Y79*VLOOKUP('Données projet'!$B$9,Paramètres!$A$1:$I$89,3,0)*0.475*44/12</f>
        <v>6.2423755247760639E-9</v>
      </c>
      <c r="AC79" s="22">
        <f t="shared" si="57"/>
        <v>111.18025929608643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372.62978999999996</v>
      </c>
      <c r="AK79" s="13">
        <f t="shared" si="89"/>
        <v>86.205093506530716</v>
      </c>
      <c r="AL79" s="20">
        <f t="shared" si="58"/>
        <v>799.1374221072075</v>
      </c>
      <c r="AM79" s="59">
        <f t="shared" si="59"/>
        <v>1092.4707554405409</v>
      </c>
      <c r="AN79" s="59">
        <f ca="1">AVERAGE(OFFSET($AM$3,0,0,'Données projet'!$E$10+1,1))-AVERAGE(OFFSET($H$3,0,0,'Données projet'!$E$10+1,1))</f>
        <v>778.88878506193896</v>
      </c>
      <c r="AO79" s="59">
        <f t="shared" si="90"/>
        <v>279.2078283764684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121.96015691604845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121.96015691604845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</v>
      </c>
      <c r="N80" s="13">
        <f>IF('Données projet'!$A$36&gt;35,N79+M80-V79,IF(A80&lt;'Données projet'!$A$36,$K$205^A80,IF(A80='Données projet'!$A$36,'Données projet'!$B$36,N79+M80-V79)))</f>
        <v>685</v>
      </c>
      <c r="O80" s="13">
        <f>N80*VLOOKUP('Données projet'!$B$9,Paramètres!$A$1:$I$89,3,0)*VLOOKUP('Données projet'!$B$9,Paramètres!$A$1:$I$89,5,0)</f>
        <v>409.63000000000005</v>
      </c>
      <c r="P80" s="13">
        <f t="shared" si="87"/>
        <v>93.726288591583938</v>
      </c>
      <c r="Q80" s="20">
        <f t="shared" si="54"/>
        <v>876.67886929700865</v>
      </c>
      <c r="R80" s="59">
        <f t="shared" si="55"/>
        <v>1170.012202630342</v>
      </c>
      <c r="S80" s="59">
        <f ca="1">AVERAGE(OFFSET($R$3,0,0,'Données projet'!$E$9+1,1))-AVERAGE(OFFSET($H$3,0,0,'Données projet'!$E$9+1,1))</f>
        <v>504.81063008331739</v>
      </c>
      <c r="T80" s="59">
        <f t="shared" si="88"/>
        <v>441.82647565372287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92.876329955512972</v>
      </c>
      <c r="AA80" s="21">
        <f>EXP(-LN(2)/25)*AA79+(1-EXP(-LN(2)/25))/(LN(2)/25)*Calculateur!V80*Calculateur!X80*VLOOKUP('Données projet'!$B$9,Paramètres!$A$1:$I$89,3,0)*0.475*44/12</f>
        <v>15.996529597873261</v>
      </c>
      <c r="AB80" s="21">
        <f>EXP(-LN(2)/2)*AB79+(1-EXP(-LN(2)/2))/(LN(2)/2)*V80*Y80*VLOOKUP('Données projet'!$B$9,Paramètres!$A$1:$I$89,3,0)*0.475*44/12</f>
        <v>4.4140260642820879E-9</v>
      </c>
      <c r="AC80" s="22">
        <f t="shared" si="57"/>
        <v>108.87285955780025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384.23755499999987</v>
      </c>
      <c r="AK80" s="13">
        <f t="shared" si="89"/>
        <v>88.573632736564363</v>
      </c>
      <c r="AL80" s="20">
        <f t="shared" si="58"/>
        <v>823.47948530784936</v>
      </c>
      <c r="AM80" s="59">
        <f t="shared" si="59"/>
        <v>1116.8128186411827</v>
      </c>
      <c r="AN80" s="59">
        <f ca="1">AVERAGE(OFFSET($AM$3,0,0,'Données projet'!$E$10+1,1))-AVERAGE(OFFSET($H$3,0,0,'Données projet'!$E$10+1,1))</f>
        <v>778.88878506193896</v>
      </c>
      <c r="AO80" s="59">
        <f t="shared" si="90"/>
        <v>279.2078283764684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119.56859262727522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119.56859262727522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</v>
      </c>
      <c r="N81" s="13">
        <f>IF('Données projet'!$A$36&gt;35,N80+M81-V80,IF(A81&lt;'Données projet'!$A$36,$K$205^A81,IF(A81='Données projet'!$A$36,'Données projet'!$B$36,N80+M81-V80)))</f>
        <v>696</v>
      </c>
      <c r="O81" s="13">
        <f>N81*VLOOKUP('Données projet'!$B$9,Paramètres!$A$1:$I$89,3,0)*VLOOKUP('Données projet'!$B$9,Paramètres!$A$1:$I$89,5,0)</f>
        <v>416.20800000000003</v>
      </c>
      <c r="P81" s="13">
        <f t="shared" si="87"/>
        <v>95.054953813743452</v>
      </c>
      <c r="Q81" s="20">
        <f t="shared" si="54"/>
        <v>890.4496445589366</v>
      </c>
      <c r="R81" s="59">
        <f t="shared" si="55"/>
        <v>1183.7829778922699</v>
      </c>
      <c r="S81" s="59">
        <f ca="1">AVERAGE(OFFSET($R$3,0,0,'Données projet'!$E$9+1,1))-AVERAGE(OFFSET($H$3,0,0,'Données projet'!$E$9+1,1))</f>
        <v>504.81063008331739</v>
      </c>
      <c r="T81" s="59">
        <f t="shared" si="88"/>
        <v>441.82647565372287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91.055081774053008</v>
      </c>
      <c r="AA81" s="21">
        <f>EXP(-LN(2)/25)*AA80+(1-EXP(-LN(2)/25))/(LN(2)/25)*Calculateur!V81*Calculateur!X81*VLOOKUP('Données projet'!$B$9,Paramètres!$A$1:$I$89,3,0)*0.475*44/12</f>
        <v>15.559103654798486</v>
      </c>
      <c r="AB81" s="21">
        <f>EXP(-LN(2)/2)*AB80+(1-EXP(-LN(2)/2))/(LN(2)/2)*V81*Y81*VLOOKUP('Données projet'!$B$9,Paramètres!$A$1:$I$89,3,0)*0.475*44/12</f>
        <v>3.121187762388032E-9</v>
      </c>
      <c r="AC81" s="22">
        <f t="shared" si="57"/>
        <v>106.61418543197269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395.8453199999999</v>
      </c>
      <c r="AK81" s="13">
        <f t="shared" si="89"/>
        <v>90.933856458278498</v>
      </c>
      <c r="AL81" s="20">
        <f t="shared" si="58"/>
        <v>847.80706566483479</v>
      </c>
      <c r="AM81" s="59">
        <f t="shared" si="59"/>
        <v>1141.1403989981682</v>
      </c>
      <c r="AN81" s="59">
        <f ca="1">AVERAGE(OFFSET($AM$3,0,0,'Données projet'!$E$10+1,1))-AVERAGE(OFFSET($H$3,0,0,'Données projet'!$E$10+1,1))</f>
        <v>778.88878506193896</v>
      </c>
      <c r="AO81" s="59">
        <f t="shared" si="90"/>
        <v>279.2078283764684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117.22392545549465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117.22392545549465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</v>
      </c>
      <c r="N82" s="13">
        <f>IF('Données projet'!$A$36&gt;35,N81+M82-V81,IF(A82&lt;'Données projet'!$A$36,$K$205^A82,IF(A82='Données projet'!$A$36,'Données projet'!$B$36,N81+M82-V81)))</f>
        <v>707</v>
      </c>
      <c r="O82" s="13">
        <f>N82*VLOOKUP('Données projet'!$B$9,Paramètres!$A$1:$I$89,3,0)*VLOOKUP('Données projet'!$B$9,Paramètres!$A$1:$I$89,5,0)</f>
        <v>422.78600000000006</v>
      </c>
      <c r="P82" s="13">
        <f t="shared" si="87"/>
        <v>96.381176889504729</v>
      </c>
      <c r="Q82" s="20">
        <f t="shared" si="54"/>
        <v>904.21616641588753</v>
      </c>
      <c r="R82" s="59">
        <f t="shared" si="55"/>
        <v>1197.5494997492208</v>
      </c>
      <c r="S82" s="59">
        <f ca="1">AVERAGE(OFFSET($R$3,0,0,'Données projet'!$E$9+1,1))-AVERAGE(OFFSET($H$3,0,0,'Données projet'!$E$9+1,1))</f>
        <v>504.81063008331739</v>
      </c>
      <c r="T82" s="59">
        <f t="shared" si="88"/>
        <v>441.82647565372287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89.269547158579783</v>
      </c>
      <c r="AA82" s="21">
        <f>EXP(-LN(2)/25)*AA81+(1-EXP(-LN(2)/25))/(LN(2)/25)*Calculateur!V82*Calculateur!X82*VLOOKUP('Données projet'!$B$9,Paramètres!$A$1:$I$89,3,0)*0.475*44/12</f>
        <v>15.133639147140322</v>
      </c>
      <c r="AB82" s="21">
        <f>EXP(-LN(2)/2)*AB81+(1-EXP(-LN(2)/2))/(LN(2)/2)*V82*Y82*VLOOKUP('Données projet'!$B$9,Paramètres!$A$1:$I$89,3,0)*0.475*44/12</f>
        <v>2.207013032141044E-9</v>
      </c>
      <c r="AC82" s="22">
        <f t="shared" si="57"/>
        <v>104.40318630792713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407.45308499999987</v>
      </c>
      <c r="AK82" s="13">
        <f t="shared" si="89"/>
        <v>93.286036513911085</v>
      </c>
      <c r="AL82" s="20">
        <f t="shared" si="58"/>
        <v>872.12063663672825</v>
      </c>
      <c r="AM82" s="59">
        <f t="shared" si="59"/>
        <v>1165.4539699700615</v>
      </c>
      <c r="AN82" s="59">
        <f ca="1">AVERAGE(OFFSET($AM$3,0,0,'Données projet'!$E$10+1,1))-AVERAGE(OFFSET($H$3,0,0,'Données projet'!$E$10+1,1))</f>
        <v>778.88878506193896</v>
      </c>
      <c r="AO82" s="59">
        <f t="shared" si="90"/>
        <v>279.2078283764684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114.92523577684693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114.92523577684693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718</v>
      </c>
      <c r="L83" s="12">
        <f>VLOOKUP(A83,'Données projet'!$A$35:$I$55,9,0)</f>
        <v>11</v>
      </c>
      <c r="M83" s="12">
        <f t="array" ref="M83">INDEX(L:L,MIN(IF(ISNUMBER(L83:L279),ROW(L83:L279),"")))</f>
        <v>11</v>
      </c>
      <c r="N83" s="13">
        <f>IF('Données projet'!$A$36&gt;35,N82+M83-V82,IF(A83&lt;'Données projet'!$A$36,$K$205^A83,IF(A83='Données projet'!$A$36,'Données projet'!$B$36,N82+M83-V82)))</f>
        <v>718</v>
      </c>
      <c r="O83" s="13">
        <f>N83*VLOOKUP('Données projet'!$B$9,Paramètres!$A$1:$I$89,3,0)*VLOOKUP('Données projet'!$B$9,Paramètres!$A$1:$I$89,5,0)</f>
        <v>429.36400000000003</v>
      </c>
      <c r="P83" s="13">
        <f t="shared" si="87"/>
        <v>97.705000203350068</v>
      </c>
      <c r="Q83" s="20">
        <f t="shared" si="54"/>
        <v>917.9785086875014</v>
      </c>
      <c r="R83" s="59">
        <f t="shared" si="55"/>
        <v>1211.3118420208348</v>
      </c>
      <c r="S83" s="59">
        <f ca="1">AVERAGE(OFFSET($R$3,0,0,'Données projet'!$E$9+1,1))-AVERAGE(OFFSET($H$3,0,0,'Données projet'!$E$9+1,1))</f>
        <v>504.81063008331739</v>
      </c>
      <c r="T83" s="59">
        <f t="shared" si="88"/>
        <v>441.82647565372287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29</v>
      </c>
      <c r="W83" s="16">
        <f>IF(ISNA(VLOOKUP(A83,'Données projet'!$A$35:$I$55,5,0)),0%,VLOOKUP(A83,'Données projet'!$A$35:$I$55,5,0)*VLOOKUP('Données projet'!$B$9,Paramètres!$A$1:$I$89,7,0))</f>
        <v>0.45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97.871402141652027</v>
      </c>
      <c r="AA83" s="21">
        <f>EXP(-LN(2)/25)*AA82+(1-EXP(-LN(2)/25))/(LN(2)/25)*Calculateur!V83*Calculateur!X83*VLOOKUP('Données projet'!$B$9,Paramètres!$A$1:$I$89,3,0)*0.475*44/12</f>
        <v>14.719808988818276</v>
      </c>
      <c r="AB83" s="21">
        <f>EXP(-LN(2)/2)*AB82+(1-EXP(-LN(2)/2))/(LN(2)/2)*V83*Y83*VLOOKUP('Données projet'!$B$9,Paramètres!$A$1:$I$89,3,0)*0.475*44/12</f>
        <v>1.560593881194016E-9</v>
      </c>
      <c r="AC83" s="22">
        <f t="shared" si="57"/>
        <v>112.59121113203089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419.0608499999999</v>
      </c>
      <c r="AK83" s="13">
        <f t="shared" si="89"/>
        <v>95.630428375892208</v>
      </c>
      <c r="AL83" s="20">
        <f t="shared" si="58"/>
        <v>896.42064317134543</v>
      </c>
      <c r="AM83" s="59">
        <f t="shared" si="59"/>
        <v>1189.7539765046788</v>
      </c>
      <c r="AN83" s="59">
        <f ca="1">AVERAGE(OFFSET($AM$3,0,0,'Données projet'!$E$10+1,1))-AVERAGE(OFFSET($H$3,0,0,'Données projet'!$E$10+1,1))</f>
        <v>778.88878506193896</v>
      </c>
      <c r="AO83" s="59">
        <f t="shared" si="90"/>
        <v>279.2078283764684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112.67162200073524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112.67162200073524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689</v>
      </c>
      <c r="O84" s="13">
        <f>N84*VLOOKUP('Données projet'!$B$9,Paramètres!$A$1:$I$89,3,0)*VLOOKUP('Données projet'!$B$9,Paramètres!$A$1:$I$89,5,0)</f>
        <v>412.02199999999999</v>
      </c>
      <c r="P84" s="13">
        <f t="shared" si="87"/>
        <v>94.209724877926391</v>
      </c>
      <c r="Q84" s="20">
        <f t="shared" si="54"/>
        <v>881.686920829055</v>
      </c>
      <c r="R84" s="59">
        <f t="shared" si="55"/>
        <v>1175.0202541623883</v>
      </c>
      <c r="S84" s="59">
        <f ca="1">AVERAGE(OFFSET($R$3,0,0,'Données projet'!$E$9+1,1))-AVERAGE(OFFSET($H$3,0,0,'Données projet'!$E$9+1,1))</f>
        <v>504.81063008331739</v>
      </c>
      <c r="T84" s="59">
        <f t="shared" si="88"/>
        <v>441.82647565372287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95.95220364131508</v>
      </c>
      <c r="AA84" s="21">
        <f>EXP(-LN(2)/25)*AA83+(1-EXP(-LN(2)/25))/(LN(2)/25)*Calculateur!V84*Calculateur!X84*VLOOKUP('Données projet'!$B$9,Paramètres!$A$1:$I$89,3,0)*0.475*44/12</f>
        <v>14.317295037937928</v>
      </c>
      <c r="AB84" s="21">
        <f>EXP(-LN(2)/2)*AB83+(1-EXP(-LN(2)/2))/(LN(2)/2)*V84*Y84*VLOOKUP('Données projet'!$B$9,Paramètres!$A$1:$I$89,3,0)*0.475*44/12</f>
        <v>1.103506516070522E-9</v>
      </c>
      <c r="AC84" s="22">
        <f t="shared" si="57"/>
        <v>110.26949868035651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430.66861499999987</v>
      </c>
      <c r="AK84" s="13">
        <f t="shared" si="89"/>
        <v>97.967272558384835</v>
      </c>
      <c r="AL84" s="20">
        <f t="shared" si="58"/>
        <v>920.70750416418662</v>
      </c>
      <c r="AM84" s="59">
        <f t="shared" si="59"/>
        <v>1214.04083749752</v>
      </c>
      <c r="AN84" s="59">
        <f ca="1">AVERAGE(OFFSET($AM$3,0,0,'Données projet'!$E$10+1,1))-AVERAGE(OFFSET($H$3,0,0,'Données projet'!$E$10+1,1))</f>
        <v>778.88878506193896</v>
      </c>
      <c r="AO84" s="59">
        <f t="shared" si="90"/>
        <v>279.2078283764684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110.46220021620442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110.46220021620442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689</v>
      </c>
      <c r="O85" s="13">
        <f>N85*VLOOKUP('Données projet'!$B$9,Paramètres!$A$1:$I$89,3,0)*VLOOKUP('Données projet'!$B$9,Paramètres!$A$1:$I$89,5,0)</f>
        <v>412.02199999999999</v>
      </c>
      <c r="P85" s="13">
        <f t="shared" si="87"/>
        <v>94.209724877926391</v>
      </c>
      <c r="Q85" s="20">
        <f t="shared" si="54"/>
        <v>881.686920829055</v>
      </c>
      <c r="R85" s="59">
        <f t="shared" si="55"/>
        <v>1175.0202541623883</v>
      </c>
      <c r="S85" s="59">
        <f ca="1">AVERAGE(OFFSET($R$3,0,0,'Données projet'!$E$9+1,1))-AVERAGE(OFFSET($H$3,0,0,'Données projet'!$E$9+1,1))</f>
        <v>504.81063008331739</v>
      </c>
      <c r="T85" s="59">
        <f t="shared" si="88"/>
        <v>441.82647565372287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94.070639452974248</v>
      </c>
      <c r="AA85" s="21">
        <f>EXP(-LN(2)/25)*AA84+(1-EXP(-LN(2)/25))/(LN(2)/25)*Calculateur!V85*Calculateur!X85*VLOOKUP('Données projet'!$B$9,Paramètres!$A$1:$I$89,3,0)*0.475*44/12</f>
        <v>13.925787852211691</v>
      </c>
      <c r="AB85" s="21">
        <f>EXP(-LN(2)/2)*AB84+(1-EXP(-LN(2)/2))/(LN(2)/2)*V85*Y85*VLOOKUP('Données projet'!$B$9,Paramètres!$A$1:$I$89,3,0)*0.475*44/12</f>
        <v>7.8029694059700799E-10</v>
      </c>
      <c r="AC85" s="22">
        <f t="shared" si="57"/>
        <v>107.99642730596624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442.2763799999999</v>
      </c>
      <c r="AK85" s="13">
        <f t="shared" si="89"/>
        <v>100.2967958723649</v>
      </c>
      <c r="AL85" s="20">
        <f t="shared" si="58"/>
        <v>944.98161464436873</v>
      </c>
      <c r="AM85" s="59">
        <f t="shared" si="59"/>
        <v>1238.3149479777021</v>
      </c>
      <c r="AN85" s="59">
        <f ca="1">AVERAGE(OFFSET($AM$3,0,0,'Données projet'!$E$10+1,1))-AVERAGE(OFFSET($H$3,0,0,'Données projet'!$E$10+1,1))</f>
        <v>778.88878506193896</v>
      </c>
      <c r="AO85" s="59">
        <f t="shared" si="90"/>
        <v>279.2078283764684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134.28593179339697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134.28593179339697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689</v>
      </c>
      <c r="O86" s="13">
        <f>N86*VLOOKUP('Données projet'!$B$9,Paramètres!$A$1:$I$89,3,0)*VLOOKUP('Données projet'!$B$9,Paramètres!$A$1:$I$89,5,0)</f>
        <v>412.02199999999999</v>
      </c>
      <c r="P86" s="13">
        <f t="shared" si="87"/>
        <v>94.209724877926391</v>
      </c>
      <c r="Q86" s="20">
        <f t="shared" si="54"/>
        <v>881.686920829055</v>
      </c>
      <c r="R86" s="59">
        <f t="shared" si="55"/>
        <v>1175.0202541623883</v>
      </c>
      <c r="S86" s="59">
        <f ca="1">AVERAGE(OFFSET($R$3,0,0,'Données projet'!$E$9+1,1))-AVERAGE(OFFSET($H$3,0,0,'Données projet'!$E$9+1,1))</f>
        <v>504.81063008331739</v>
      </c>
      <c r="T86" s="59">
        <f t="shared" si="88"/>
        <v>441.82647565372287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92.225971590725933</v>
      </c>
      <c r="AA86" s="21">
        <f>EXP(-LN(2)/25)*AA85+(1-EXP(-LN(2)/25))/(LN(2)/25)*Calculateur!V86*Calculateur!X86*VLOOKUP('Données projet'!$B$9,Paramètres!$A$1:$I$89,3,0)*0.475*44/12</f>
        <v>13.544986451067608</v>
      </c>
      <c r="AB86" s="21">
        <f>EXP(-LN(2)/2)*AB85+(1-EXP(-LN(2)/2))/(LN(2)/2)*V86*Y86*VLOOKUP('Données projet'!$B$9,Paramètres!$A$1:$I$89,3,0)*0.475*44/12</f>
        <v>5.5175325803526099E-10</v>
      </c>
      <c r="AC86" s="22">
        <f t="shared" si="57"/>
        <v>105.77095804234528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398.8974599999998</v>
      </c>
      <c r="AK86" s="13">
        <f t="shared" si="89"/>
        <v>91.553106262096875</v>
      </c>
      <c r="AL86" s="20">
        <f t="shared" si="58"/>
        <v>854.20140290648499</v>
      </c>
      <c r="AM86" s="59">
        <f t="shared" si="59"/>
        <v>1147.5347362398184</v>
      </c>
      <c r="AN86" s="59">
        <f ca="1">AVERAGE(OFFSET($AM$3,0,0,'Données projet'!$E$10+1,1))-AVERAGE(OFFSET($H$3,0,0,'Données projet'!$E$10+1,1))</f>
        <v>778.88878506193896</v>
      </c>
      <c r="AO86" s="59">
        <f t="shared" si="90"/>
        <v>279.2078283764684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131.65266657725928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131.65266657725928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689</v>
      </c>
      <c r="O87" s="13">
        <f>N87*VLOOKUP('Données projet'!$B$9,Paramètres!$A$1:$I$89,3,0)*VLOOKUP('Données projet'!$B$9,Paramètres!$A$1:$I$89,5,0)</f>
        <v>412.02199999999999</v>
      </c>
      <c r="P87" s="13">
        <f t="shared" si="87"/>
        <v>94.209724877926391</v>
      </c>
      <c r="Q87" s="20">
        <f t="shared" si="54"/>
        <v>881.686920829055</v>
      </c>
      <c r="R87" s="59">
        <f t="shared" si="55"/>
        <v>1175.0202541623883</v>
      </c>
      <c r="S87" s="59">
        <f ca="1">AVERAGE(OFFSET($R$3,0,0,'Données projet'!$E$9+1,1))-AVERAGE(OFFSET($H$3,0,0,'Données projet'!$E$9+1,1))</f>
        <v>504.81063008331739</v>
      </c>
      <c r="T87" s="59">
        <f t="shared" si="88"/>
        <v>441.82647565372287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90.41747654012002</v>
      </c>
      <c r="AA87" s="21">
        <f>EXP(-LN(2)/25)*AA86+(1-EXP(-LN(2)/25))/(LN(2)/25)*Calculateur!V87*Calculateur!X87*VLOOKUP('Données projet'!$B$9,Paramètres!$A$1:$I$89,3,0)*0.475*44/12</f>
        <v>13.174598084263284</v>
      </c>
      <c r="AB87" s="21">
        <f>EXP(-LN(2)/2)*AB86+(1-EXP(-LN(2)/2))/(LN(2)/2)*V87*Y87*VLOOKUP('Données projet'!$B$9,Paramètres!$A$1:$I$89,3,0)*0.475*44/12</f>
        <v>3.90148470298504E-10</v>
      </c>
      <c r="AC87" s="22">
        <f t="shared" si="57"/>
        <v>103.59207462477345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410.19341999999983</v>
      </c>
      <c r="AK87" s="13">
        <f t="shared" si="89"/>
        <v>93.840188370728214</v>
      </c>
      <c r="AL87" s="20">
        <f t="shared" si="58"/>
        <v>877.85853457901806</v>
      </c>
      <c r="AM87" s="59">
        <f t="shared" si="59"/>
        <v>1171.1918679123514</v>
      </c>
      <c r="AN87" s="59">
        <f ca="1">AVERAGE(OFFSET($AM$3,0,0,'Données projet'!$E$10+1,1))-AVERAGE(OFFSET($H$3,0,0,'Données projet'!$E$10+1,1))</f>
        <v>778.88878506193896</v>
      </c>
      <c r="AO87" s="59">
        <f t="shared" si="90"/>
        <v>279.2078283764684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129.07103808587686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129.07103808587686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689</v>
      </c>
      <c r="O88" s="13">
        <f>N88*VLOOKUP('Données projet'!$B$9,Paramètres!$A$1:$I$89,3,0)*VLOOKUP('Données projet'!$B$9,Paramètres!$A$1:$I$89,5,0)</f>
        <v>412.02199999999999</v>
      </c>
      <c r="P88" s="13">
        <f t="shared" si="87"/>
        <v>94.209724877926391</v>
      </c>
      <c r="Q88" s="20">
        <f t="shared" si="54"/>
        <v>881.686920829055</v>
      </c>
      <c r="R88" s="59">
        <f t="shared" si="55"/>
        <v>1175.0202541623883</v>
      </c>
      <c r="S88" s="59">
        <f ca="1">AVERAGE(OFFSET($R$3,0,0,'Données projet'!$E$9+1,1))-AVERAGE(OFFSET($H$3,0,0,'Données projet'!$E$9+1,1))</f>
        <v>504.81063008331739</v>
      </c>
      <c r="T88" s="59">
        <f t="shared" si="88"/>
        <v>441.82647565372287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88.644444974383418</v>
      </c>
      <c r="AA88" s="21">
        <f>EXP(-LN(2)/25)*AA87+(1-EXP(-LN(2)/25))/(LN(2)/25)*Calculateur!V88*Calculateur!X88*VLOOKUP('Données projet'!$B$9,Paramètres!$A$1:$I$89,3,0)*0.475*44/12</f>
        <v>12.814338006827102</v>
      </c>
      <c r="AB88" s="21">
        <f>EXP(-LN(2)/2)*AB87+(1-EXP(-LN(2)/2))/(LN(2)/2)*V88*Y88*VLOOKUP('Données projet'!$B$9,Paramètres!$A$1:$I$89,3,0)*0.475*44/12</f>
        <v>2.758766290176305E-10</v>
      </c>
      <c r="AC88" s="22">
        <f t="shared" si="57"/>
        <v>101.45878298148639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421.48937999999981</v>
      </c>
      <c r="AK88" s="13">
        <f t="shared" si="89"/>
        <v>96.119950137985342</v>
      </c>
      <c r="AL88" s="20">
        <f t="shared" si="58"/>
        <v>901.50291665699069</v>
      </c>
      <c r="AM88" s="59">
        <f t="shared" si="59"/>
        <v>1194.8362499903239</v>
      </c>
      <c r="AN88" s="59">
        <f ca="1">AVERAGE(OFFSET($AM$3,0,0,'Données projet'!$E$10+1,1))-AVERAGE(OFFSET($H$3,0,0,'Données projet'!$E$10+1,1))</f>
        <v>778.88878506193896</v>
      </c>
      <c r="AO88" s="59">
        <f t="shared" si="90"/>
        <v>279.2078283764684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126.54003375457255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126.54003375457255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689</v>
      </c>
      <c r="O89" s="13">
        <f>N89*VLOOKUP('Données projet'!$B$9,Paramètres!$A$1:$I$89,3,0)*VLOOKUP('Données projet'!$B$9,Paramètres!$A$1:$I$89,5,0)</f>
        <v>412.02199999999999</v>
      </c>
      <c r="P89" s="13">
        <f t="shared" si="87"/>
        <v>94.209724877926391</v>
      </c>
      <c r="Q89" s="20">
        <f t="shared" si="54"/>
        <v>881.686920829055</v>
      </c>
      <c r="R89" s="59">
        <f t="shared" si="55"/>
        <v>1175.0202541623883</v>
      </c>
      <c r="S89" s="59">
        <f ca="1">AVERAGE(OFFSET($R$3,0,0,'Données projet'!$E$9+1,1))-AVERAGE(OFFSET($H$3,0,0,'Données projet'!$E$9+1,1))</f>
        <v>504.81063008331739</v>
      </c>
      <c r="T89" s="59">
        <f t="shared" si="88"/>
        <v>441.82647565372287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86.906181476208445</v>
      </c>
      <c r="AA89" s="21">
        <f>EXP(-LN(2)/25)*AA88+(1-EXP(-LN(2)/25))/(LN(2)/25)*Calculateur!V89*Calculateur!X89*VLOOKUP('Données projet'!$B$9,Paramètres!$A$1:$I$89,3,0)*0.475*44/12</f>
        <v>12.463929260153666</v>
      </c>
      <c r="AB89" s="21">
        <f>EXP(-LN(2)/2)*AB88+(1-EXP(-LN(2)/2))/(LN(2)/2)*V89*Y89*VLOOKUP('Données projet'!$B$9,Paramètres!$A$1:$I$89,3,0)*0.475*44/12</f>
        <v>1.95074235149252E-10</v>
      </c>
      <c r="AC89" s="22">
        <f t="shared" si="57"/>
        <v>99.37011073655718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432.78533999999979</v>
      </c>
      <c r="AK89" s="13">
        <f t="shared" si="89"/>
        <v>98.392610297581854</v>
      </c>
      <c r="AL89" s="20">
        <f t="shared" si="58"/>
        <v>925.13493010162131</v>
      </c>
      <c r="AM89" s="59">
        <f t="shared" si="59"/>
        <v>1218.4682634349547</v>
      </c>
      <c r="AN89" s="59">
        <f ca="1">AVERAGE(OFFSET($AM$3,0,0,'Données projet'!$E$10+1,1))-AVERAGE(OFFSET($H$3,0,0,'Données projet'!$E$10+1,1))</f>
        <v>778.88878506193896</v>
      </c>
      <c r="AO89" s="59">
        <f t="shared" si="90"/>
        <v>279.2078283764684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124.0586608744449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124.0586608744449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689</v>
      </c>
      <c r="O90" s="13">
        <f>N90*VLOOKUP('Données projet'!$B$9,Paramètres!$A$1:$I$89,3,0)*VLOOKUP('Données projet'!$B$9,Paramètres!$A$1:$I$89,5,0)</f>
        <v>412.02199999999999</v>
      </c>
      <c r="P90" s="13">
        <f t="shared" si="87"/>
        <v>94.209724877926391</v>
      </c>
      <c r="Q90" s="20">
        <f t="shared" si="54"/>
        <v>881.686920829055</v>
      </c>
      <c r="R90" s="59">
        <f t="shared" si="55"/>
        <v>1175.0202541623883</v>
      </c>
      <c r="S90" s="59">
        <f ca="1">AVERAGE(OFFSET($R$3,0,0,'Données projet'!$E$9+1,1))-AVERAGE(OFFSET($H$3,0,0,'Données projet'!$E$9+1,1))</f>
        <v>504.81063008331739</v>
      </c>
      <c r="T90" s="59">
        <f t="shared" si="88"/>
        <v>441.82647565372287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85.202004264996646</v>
      </c>
      <c r="AA90" s="21">
        <f>EXP(-LN(2)/25)*AA89+(1-EXP(-LN(2)/25))/(LN(2)/25)*Calculateur!V90*Calculateur!X90*VLOOKUP('Données projet'!$B$9,Paramètres!$A$1:$I$89,3,0)*0.475*44/12</f>
        <v>12.12310245908521</v>
      </c>
      <c r="AB90" s="21">
        <f>EXP(-LN(2)/2)*AB89+(1-EXP(-LN(2)/2))/(LN(2)/2)*V90*Y90*VLOOKUP('Données projet'!$B$9,Paramètres!$A$1:$I$89,3,0)*0.475*44/12</f>
        <v>1.3793831450881525E-10</v>
      </c>
      <c r="AC90" s="22">
        <f t="shared" si="57"/>
        <v>97.325106724219793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444.08129999999977</v>
      </c>
      <c r="AK90" s="13">
        <f t="shared" si="89"/>
        <v>100.6583755147288</v>
      </c>
      <c r="AL90" s="20">
        <f t="shared" si="58"/>
        <v>948.75493485481877</v>
      </c>
      <c r="AM90" s="59">
        <f t="shared" si="59"/>
        <v>1242.0882681881521</v>
      </c>
      <c r="AN90" s="59">
        <f ca="1">AVERAGE(OFFSET($AM$3,0,0,'Données projet'!$E$10+1,1))-AVERAGE(OFFSET($H$3,0,0,'Données projet'!$E$10+1,1))</f>
        <v>778.88878506193896</v>
      </c>
      <c r="AO90" s="59">
        <f t="shared" si="90"/>
        <v>279.2078283764684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121.62594620300854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121.62594620300854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689</v>
      </c>
      <c r="O91" s="13">
        <f>N91*VLOOKUP('Données projet'!$B$9,Paramètres!$A$1:$I$89,3,0)*VLOOKUP('Données projet'!$B$9,Paramètres!$A$1:$I$89,5,0)</f>
        <v>412.02199999999999</v>
      </c>
      <c r="P91" s="13">
        <f t="shared" si="87"/>
        <v>94.209724877926391</v>
      </c>
      <c r="Q91" s="20">
        <f t="shared" si="54"/>
        <v>881.686920829055</v>
      </c>
      <c r="R91" s="59">
        <f t="shared" si="55"/>
        <v>1175.0202541623883</v>
      </c>
      <c r="S91" s="59">
        <f ca="1">AVERAGE(OFFSET($R$3,0,0,'Données projet'!$E$9+1,1))-AVERAGE(OFFSET($H$3,0,0,'Données projet'!$E$9+1,1))</f>
        <v>504.81063008331739</v>
      </c>
      <c r="T91" s="59">
        <f t="shared" si="88"/>
        <v>441.82647565372287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83.531244929451233</v>
      </c>
      <c r="AA91" s="21">
        <f>EXP(-LN(2)/25)*AA90+(1-EXP(-LN(2)/25))/(LN(2)/25)*Calculateur!V91*Calculateur!X91*VLOOKUP('Données projet'!$B$9,Paramètres!$A$1:$I$89,3,0)*0.475*44/12</f>
        <v>11.791595584815274</v>
      </c>
      <c r="AB91" s="21">
        <f>EXP(-LN(2)/2)*AB90+(1-EXP(-LN(2)/2))/(LN(2)/2)*V91*Y91*VLOOKUP('Données projet'!$B$9,Paramètres!$A$1:$I$89,3,0)*0.475*44/12</f>
        <v>9.7537117574625999E-11</v>
      </c>
      <c r="AC91" s="22">
        <f t="shared" si="57"/>
        <v>95.322840514364046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455.37725999999975</v>
      </c>
      <c r="AK91" s="13">
        <f t="shared" si="89"/>
        <v>102.91744134181728</v>
      </c>
      <c r="AL91" s="20">
        <f t="shared" si="58"/>
        <v>972.36327150366458</v>
      </c>
      <c r="AM91" s="59">
        <f t="shared" si="59"/>
        <v>1265.6966048369979</v>
      </c>
      <c r="AN91" s="59">
        <f ca="1">AVERAGE(OFFSET($AM$3,0,0,'Données projet'!$E$10+1,1))-AVERAGE(OFFSET($H$3,0,0,'Données projet'!$E$10+1,1))</f>
        <v>778.88878506193896</v>
      </c>
      <c r="AO91" s="59">
        <f t="shared" si="90"/>
        <v>279.2078283764684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119.24093558246962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119.24093558246962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689</v>
      </c>
      <c r="O92" s="13">
        <f>N92*VLOOKUP('Données projet'!$B$9,Paramètres!$A$1:$I$89,3,0)*VLOOKUP('Données projet'!$B$9,Paramètres!$A$1:$I$89,5,0)</f>
        <v>412.02199999999999</v>
      </c>
      <c r="P92" s="13">
        <f t="shared" si="87"/>
        <v>94.209724877926391</v>
      </c>
      <c r="Q92" s="20">
        <f t="shared" si="54"/>
        <v>881.686920829055</v>
      </c>
      <c r="R92" s="59">
        <f t="shared" si="55"/>
        <v>1175.0202541623883</v>
      </c>
      <c r="S92" s="59">
        <f ca="1">AVERAGE(OFFSET($R$3,0,0,'Données projet'!$E$9+1,1))-AVERAGE(OFFSET($H$3,0,0,'Données projet'!$E$9+1,1))</f>
        <v>504.81063008331739</v>
      </c>
      <c r="T92" s="59">
        <f t="shared" si="88"/>
        <v>441.82647565372287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81.893248165413297</v>
      </c>
      <c r="AA92" s="21">
        <f>EXP(-LN(2)/25)*AA91+(1-EXP(-LN(2)/25))/(LN(2)/25)*Calculateur!V92*Calculateur!X92*VLOOKUP('Données projet'!$B$9,Paramètres!$A$1:$I$89,3,0)*0.475*44/12</f>
        <v>11.46915378345544</v>
      </c>
      <c r="AB92" s="21">
        <f>EXP(-LN(2)/2)*AB91+(1-EXP(-LN(2)/2))/(LN(2)/2)*V92*Y92*VLOOKUP('Données projet'!$B$9,Paramètres!$A$1:$I$89,3,0)*0.475*44/12</f>
        <v>6.8969157254407624E-11</v>
      </c>
      <c r="AC92" s="22">
        <f t="shared" si="57"/>
        <v>93.362401948937702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466.67321999999973</v>
      </c>
      <c r="AK92" s="13">
        <f t="shared" si="89"/>
        <v>105.16999307660545</v>
      </c>
      <c r="AL92" s="20">
        <f t="shared" si="58"/>
        <v>995.96026277508724</v>
      </c>
      <c r="AM92" s="59">
        <f t="shared" si="59"/>
        <v>1289.2935961084206</v>
      </c>
      <c r="AN92" s="59">
        <f ca="1">AVERAGE(OFFSET($AM$3,0,0,'Données projet'!$E$10+1,1))-AVERAGE(OFFSET($H$3,0,0,'Données projet'!$E$10+1,1))</f>
        <v>778.88878506193896</v>
      </c>
      <c r="AO92" s="59">
        <f t="shared" si="90"/>
        <v>279.2078283764684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116.90269356548663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116.90269356548663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689</v>
      </c>
      <c r="O93" s="13">
        <f>N93*VLOOKUP('Données projet'!$B$9,Paramètres!$A$1:$I$89,3,0)*VLOOKUP('Données projet'!$B$9,Paramètres!$A$1:$I$89,5,0)</f>
        <v>412.02199999999999</v>
      </c>
      <c r="P93" s="13">
        <f t="shared" si="87"/>
        <v>94.209724877926391</v>
      </c>
      <c r="Q93" s="20">
        <f t="shared" si="54"/>
        <v>881.686920829055</v>
      </c>
      <c r="R93" s="59">
        <f t="shared" si="55"/>
        <v>1175.0202541623883</v>
      </c>
      <c r="S93" s="59">
        <f ca="1">AVERAGE(OFFSET($R$3,0,0,'Données projet'!$E$9+1,1))-AVERAGE(OFFSET($H$3,0,0,'Données projet'!$E$9+1,1))</f>
        <v>504.81063008331739</v>
      </c>
      <c r="T93" s="59">
        <f t="shared" si="88"/>
        <v>441.82647565372287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80.287371518838782</v>
      </c>
      <c r="AA93" s="21">
        <f>EXP(-LN(2)/25)*AA92+(1-EXP(-LN(2)/25))/(LN(2)/25)*Calculateur!V93*Calculateur!X93*VLOOKUP('Données projet'!$B$9,Paramètres!$A$1:$I$89,3,0)*0.475*44/12</f>
        <v>11.155529170110267</v>
      </c>
      <c r="AB93" s="21">
        <f>EXP(-LN(2)/2)*AB92+(1-EXP(-LN(2)/2))/(LN(2)/2)*V93*Y93*VLOOKUP('Données projet'!$B$9,Paramètres!$A$1:$I$89,3,0)*0.475*44/12</f>
        <v>4.8768558787312999E-11</v>
      </c>
      <c r="AC93" s="22">
        <f t="shared" si="57"/>
        <v>91.442900688997824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477.96917999999971</v>
      </c>
      <c r="AK93" s="13">
        <f t="shared" si="89"/>
        <v>107.41620653497517</v>
      </c>
      <c r="AL93" s="20">
        <f t="shared" si="58"/>
        <v>1019.5462148817478</v>
      </c>
      <c r="AM93" s="59">
        <f t="shared" si="59"/>
        <v>1312.8795482150811</v>
      </c>
      <c r="AN93" s="59">
        <f ca="1">AVERAGE(OFFSET($AM$3,0,0,'Données projet'!$E$10+1,1))-AVERAGE(OFFSET($H$3,0,0,'Données projet'!$E$10+1,1))</f>
        <v>778.88878506193896</v>
      </c>
      <c r="AO93" s="59">
        <f t="shared" si="90"/>
        <v>279.2078283764684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145.09725812468014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145.09725812468014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689</v>
      </c>
      <c r="O94" s="13">
        <f>N94*VLOOKUP('Données projet'!$B$9,Paramètres!$A$1:$I$89,3,0)*VLOOKUP('Données projet'!$B$9,Paramètres!$A$1:$I$89,5,0)</f>
        <v>412.02199999999999</v>
      </c>
      <c r="P94" s="13">
        <f t="shared" si="87"/>
        <v>94.209724877926391</v>
      </c>
      <c r="Q94" s="20">
        <f t="shared" si="54"/>
        <v>881.686920829055</v>
      </c>
      <c r="R94" s="59">
        <f t="shared" si="55"/>
        <v>1175.0202541623883</v>
      </c>
      <c r="S94" s="59">
        <f ca="1">AVERAGE(OFFSET($R$3,0,0,'Données projet'!$E$9+1,1))-AVERAGE(OFFSET($H$3,0,0,'Données projet'!$E$9+1,1))</f>
        <v>504.81063008331739</v>
      </c>
      <c r="T94" s="59">
        <f t="shared" si="88"/>
        <v>441.82647565372287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78.71298513381555</v>
      </c>
      <c r="AA94" s="21">
        <f>EXP(-LN(2)/25)*AA93+(1-EXP(-LN(2)/25))/(LN(2)/25)*Calculateur!V94*Calculateur!X94*VLOOKUP('Données projet'!$B$9,Paramètres!$A$1:$I$89,3,0)*0.475*44/12</f>
        <v>10.850480638309818</v>
      </c>
      <c r="AB94" s="21">
        <f>EXP(-LN(2)/2)*AB93+(1-EXP(-LN(2)/2))/(LN(2)/2)*V94*Y94*VLOOKUP('Données projet'!$B$9,Paramètres!$A$1:$I$89,3,0)*0.475*44/12</f>
        <v>3.4484578627203812E-11</v>
      </c>
      <c r="AC94" s="22">
        <f t="shared" si="57"/>
        <v>89.563465772159859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424.73924999999974</v>
      </c>
      <c r="AK94" s="13">
        <f t="shared" si="89"/>
        <v>96.774517310729109</v>
      </c>
      <c r="AL94" s="20">
        <f t="shared" si="58"/>
        <v>908.30314473285273</v>
      </c>
      <c r="AM94" s="59">
        <f t="shared" si="59"/>
        <v>1201.6364780661861</v>
      </c>
      <c r="AN94" s="59">
        <f ca="1">AVERAGE(OFFSET($AM$3,0,0,'Données projet'!$E$10+1,1))-AVERAGE(OFFSET($H$3,0,0,'Données projet'!$E$10+1,1))</f>
        <v>778.88878506193896</v>
      </c>
      <c r="AO94" s="59">
        <f t="shared" si="90"/>
        <v>279.2078283764684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142.25198939344392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142.25198939344392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689</v>
      </c>
      <c r="O95" s="13">
        <f>N95*VLOOKUP('Données projet'!$B$9,Paramètres!$A$1:$I$89,3,0)*VLOOKUP('Données projet'!$B$9,Paramètres!$A$1:$I$89,5,0)</f>
        <v>412.02199999999999</v>
      </c>
      <c r="P95" s="13">
        <f t="shared" si="87"/>
        <v>94.209724877926391</v>
      </c>
      <c r="Q95" s="20">
        <f t="shared" si="54"/>
        <v>881.686920829055</v>
      </c>
      <c r="R95" s="59">
        <f t="shared" si="55"/>
        <v>1175.0202541623883</v>
      </c>
      <c r="S95" s="59">
        <f ca="1">AVERAGE(OFFSET($R$3,0,0,'Données projet'!$E$9+1,1))-AVERAGE(OFFSET($H$3,0,0,'Données projet'!$E$9+1,1))</f>
        <v>504.81063008331739</v>
      </c>
      <c r="T95" s="59">
        <f t="shared" si="88"/>
        <v>441.82647565372287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77.169471505521742</v>
      </c>
      <c r="AA95" s="21">
        <f>EXP(-LN(2)/25)*AA94+(1-EXP(-LN(2)/25))/(LN(2)/25)*Calculateur!V95*Calculateur!X95*VLOOKUP('Données projet'!$B$9,Paramètres!$A$1:$I$89,3,0)*0.475*44/12</f>
        <v>10.553773674653259</v>
      </c>
      <c r="AB95" s="21">
        <f>EXP(-LN(2)/2)*AB94+(1-EXP(-LN(2)/2))/(LN(2)/2)*V95*Y95*VLOOKUP('Données projet'!$B$9,Paramètres!$A$1:$I$89,3,0)*0.475*44/12</f>
        <v>2.43842793936565E-11</v>
      </c>
      <c r="AC95" s="22">
        <f t="shared" si="57"/>
        <v>87.723245180199385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435.64481999999975</v>
      </c>
      <c r="AK95" s="13">
        <f t="shared" si="89"/>
        <v>98.96681412995629</v>
      </c>
      <c r="AL95" s="20">
        <f t="shared" si="58"/>
        <v>931.11526277634005</v>
      </c>
      <c r="AM95" s="59">
        <f t="shared" si="59"/>
        <v>1224.4485961096734</v>
      </c>
      <c r="AN95" s="59">
        <f ca="1">AVERAGE(OFFSET($AM$3,0,0,'Données projet'!$E$10+1,1))-AVERAGE(OFFSET($H$3,0,0,'Données projet'!$E$10+1,1))</f>
        <v>778.88878506193896</v>
      </c>
      <c r="AO95" s="59">
        <f t="shared" si="90"/>
        <v>279.2078283764684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139.46251464658468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139.46251464658468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689</v>
      </c>
      <c r="O96" s="13">
        <f>N96*VLOOKUP('Données projet'!$B$9,Paramètres!$A$1:$I$89,3,0)*VLOOKUP('Données projet'!$B$9,Paramètres!$A$1:$I$89,5,0)</f>
        <v>412.02199999999999</v>
      </c>
      <c r="P96" s="13">
        <f t="shared" si="87"/>
        <v>94.209724877926391</v>
      </c>
      <c r="Q96" s="20">
        <f t="shared" si="54"/>
        <v>881.686920829055</v>
      </c>
      <c r="R96" s="59">
        <f t="shared" si="55"/>
        <v>1175.0202541623883</v>
      </c>
      <c r="S96" s="59">
        <f ca="1">AVERAGE(OFFSET($R$3,0,0,'Données projet'!$E$9+1,1))-AVERAGE(OFFSET($H$3,0,0,'Données projet'!$E$9+1,1))</f>
        <v>504.81063008331739</v>
      </c>
      <c r="T96" s="59">
        <f t="shared" si="88"/>
        <v>441.82647565372287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75.656225238028426</v>
      </c>
      <c r="AA96" s="21">
        <f>EXP(-LN(2)/25)*AA95+(1-EXP(-LN(2)/25))/(LN(2)/25)*Calculateur!V96*Calculateur!X96*VLOOKUP('Données projet'!$B$9,Paramètres!$A$1:$I$89,3,0)*0.475*44/12</f>
        <v>10.26518017852103</v>
      </c>
      <c r="AB96" s="21">
        <f>EXP(-LN(2)/2)*AB95+(1-EXP(-LN(2)/2))/(LN(2)/2)*V96*Y96*VLOOKUP('Données projet'!$B$9,Paramètres!$A$1:$I$89,3,0)*0.475*44/12</f>
        <v>1.7242289313601906E-11</v>
      </c>
      <c r="AC96" s="22">
        <f t="shared" si="57"/>
        <v>85.921405416566699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446.55038999999977</v>
      </c>
      <c r="AK96" s="13">
        <f t="shared" si="89"/>
        <v>101.15273149525753</v>
      </c>
      <c r="AL96" s="20">
        <f t="shared" si="58"/>
        <v>953.91626993757302</v>
      </c>
      <c r="AM96" s="59">
        <f t="shared" si="59"/>
        <v>1247.2496032709064</v>
      </c>
      <c r="AN96" s="59">
        <f ca="1">AVERAGE(OFFSET($AM$3,0,0,'Données projet'!$E$10+1,1))-AVERAGE(OFFSET($H$3,0,0,'Données projet'!$E$10+1,1))</f>
        <v>778.88878506193896</v>
      </c>
      <c r="AO96" s="59">
        <f t="shared" si="90"/>
        <v>279.2078283764684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136.72773979809975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136.72773979809975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689</v>
      </c>
      <c r="O97" s="13">
        <f>N97*VLOOKUP('Données projet'!$B$9,Paramètres!$A$1:$I$89,3,0)*VLOOKUP('Données projet'!$B$9,Paramètres!$A$1:$I$89,5,0)</f>
        <v>412.02199999999999</v>
      </c>
      <c r="P97" s="13">
        <f t="shared" si="87"/>
        <v>94.209724877926391</v>
      </c>
      <c r="Q97" s="20">
        <f t="shared" si="54"/>
        <v>881.686920829055</v>
      </c>
      <c r="R97" s="59">
        <f t="shared" si="55"/>
        <v>1175.0202541623883</v>
      </c>
      <c r="S97" s="59">
        <f ca="1">AVERAGE(OFFSET($R$3,0,0,'Données projet'!$E$9+1,1))-AVERAGE(OFFSET($H$3,0,0,'Données projet'!$E$9+1,1))</f>
        <v>504.81063008331739</v>
      </c>
      <c r="T97" s="59">
        <f t="shared" si="88"/>
        <v>441.82647565372287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74.172652806851573</v>
      </c>
      <c r="AA97" s="21">
        <f>EXP(-LN(2)/25)*AA96+(1-EXP(-LN(2)/25))/(LN(2)/25)*Calculateur!V97*Calculateur!X97*VLOOKUP('Données projet'!$B$9,Paramètres!$A$1:$I$89,3,0)*0.475*44/12</f>
        <v>9.9844782867170085</v>
      </c>
      <c r="AB97" s="21">
        <f>EXP(-LN(2)/2)*AB96+(1-EXP(-LN(2)/2))/(LN(2)/2)*V97*Y97*VLOOKUP('Données projet'!$B$9,Paramètres!$A$1:$I$89,3,0)*0.475*44/12</f>
        <v>1.219213969682825E-11</v>
      </c>
      <c r="AC97" s="22">
        <f t="shared" si="57"/>
        <v>84.157131093580773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457.45595999999972</v>
      </c>
      <c r="AK97" s="13">
        <f t="shared" si="89"/>
        <v>103.33244312726899</v>
      </c>
      <c r="AL97" s="20">
        <f t="shared" si="58"/>
        <v>976.70646877999297</v>
      </c>
      <c r="AM97" s="59">
        <f t="shared" si="59"/>
        <v>1270.0398021133262</v>
      </c>
      <c r="AN97" s="59">
        <f ca="1">AVERAGE(OFFSET($AM$3,0,0,'Données projet'!$E$10+1,1))-AVERAGE(OFFSET($H$3,0,0,'Données projet'!$E$10+1,1))</f>
        <v>778.88878506193896</v>
      </c>
      <c r="AO97" s="59">
        <f t="shared" si="90"/>
        <v>279.2078283764684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134.04659221634566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134.04659221634566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689</v>
      </c>
      <c r="O98" s="13">
        <f>N98*VLOOKUP('Données projet'!$B$9,Paramètres!$A$1:$I$89,3,0)*VLOOKUP('Données projet'!$B$9,Paramètres!$A$1:$I$89,5,0)</f>
        <v>412.02199999999999</v>
      </c>
      <c r="P98" s="13">
        <f t="shared" si="87"/>
        <v>94.209724877926391</v>
      </c>
      <c r="Q98" s="20">
        <f t="shared" si="54"/>
        <v>881.686920829055</v>
      </c>
      <c r="R98" s="59">
        <f t="shared" si="55"/>
        <v>1175.0202541623883</v>
      </c>
      <c r="S98" s="59">
        <f ca="1">AVERAGE(OFFSET($R$3,0,0,'Données projet'!$E$9+1,1))-AVERAGE(OFFSET($H$3,0,0,'Données projet'!$E$9+1,1))</f>
        <v>504.81063008331739</v>
      </c>
      <c r="T98" s="59">
        <f t="shared" si="88"/>
        <v>441.82647565372287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72.718172326160257</v>
      </c>
      <c r="AA98" s="21">
        <f>EXP(-LN(2)/25)*AA97+(1-EXP(-LN(2)/25))/(LN(2)/25)*Calculateur!V98*Calculateur!X98*VLOOKUP('Données projet'!$B$9,Paramètres!$A$1:$I$89,3,0)*0.475*44/12</f>
        <v>9.7114522029058392</v>
      </c>
      <c r="AB98" s="21">
        <f>EXP(-LN(2)/2)*AB97+(1-EXP(-LN(2)/2))/(LN(2)/2)*V98*Y98*VLOOKUP('Données projet'!$B$9,Paramètres!$A$1:$I$89,3,0)*0.475*44/12</f>
        <v>8.621144656800953E-12</v>
      </c>
      <c r="AC98" s="22">
        <f t="shared" si="57"/>
        <v>82.429624529074729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468.36152999999973</v>
      </c>
      <c r="AK98" s="13">
        <f t="shared" si="89"/>
        <v>105.50611399135394</v>
      </c>
      <c r="AL98" s="20">
        <f t="shared" si="58"/>
        <v>999.48614661827423</v>
      </c>
      <c r="AM98" s="59">
        <f t="shared" si="59"/>
        <v>1292.8194799516075</v>
      </c>
      <c r="AN98" s="59">
        <f ca="1">AVERAGE(OFFSET($AM$3,0,0,'Données projet'!$E$10+1,1))-AVERAGE(OFFSET($H$3,0,0,'Données projet'!$E$10+1,1))</f>
        <v>778.88878506193896</v>
      </c>
      <c r="AO98" s="59">
        <f t="shared" si="90"/>
        <v>279.2078283764684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131.41802030333122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131.41802030333122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689</v>
      </c>
      <c r="O99" s="13">
        <f>N99*VLOOKUP('Données projet'!$B$9,Paramètres!$A$1:$I$89,3,0)*VLOOKUP('Données projet'!$B$9,Paramètres!$A$1:$I$89,5,0)</f>
        <v>412.02199999999999</v>
      </c>
      <c r="P99" s="13">
        <f t="shared" si="87"/>
        <v>94.209724877926391</v>
      </c>
      <c r="Q99" s="20">
        <f t="shared" ref="Q99:Q130" si="107">(O99+P99)*0.475*44/12</f>
        <v>881.686920829055</v>
      </c>
      <c r="R99" s="59">
        <f t="shared" si="55"/>
        <v>1175.0202541623883</v>
      </c>
      <c r="S99" s="59">
        <f ca="1">AVERAGE(OFFSET($R$3,0,0,'Données projet'!$E$9+1,1))-AVERAGE(OFFSET($H$3,0,0,'Données projet'!$E$9+1,1))</f>
        <v>504.81063008331739</v>
      </c>
      <c r="T99" s="59">
        <f t="shared" si="88"/>
        <v>441.82647565372287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71.292213320549806</v>
      </c>
      <c r="AA99" s="21">
        <f>EXP(-LN(2)/25)*AA98+(1-EXP(-LN(2)/25))/(LN(2)/25)*Calculateur!V99*Calculateur!X99*VLOOKUP('Données projet'!$B$9,Paramètres!$A$1:$I$89,3,0)*0.475*44/12</f>
        <v>9.4458920317143029</v>
      </c>
      <c r="AB99" s="21">
        <f>EXP(-LN(2)/2)*AB98+(1-EXP(-LN(2)/2))/(LN(2)/2)*V99*Y99*VLOOKUP('Données projet'!$B$9,Paramètres!$A$1:$I$89,3,0)*0.475*44/12</f>
        <v>6.0960698484141249E-12</v>
      </c>
      <c r="AC99" s="22">
        <f t="shared" si="57"/>
        <v>80.73810535227021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479.26709999999969</v>
      </c>
      <c r="AK99" s="13">
        <f t="shared" si="89"/>
        <v>107.6739009322893</v>
      </c>
      <c r="AL99" s="20">
        <f t="shared" si="58"/>
        <v>1022.2555766237365</v>
      </c>
      <c r="AM99" s="59">
        <f t="shared" si="59"/>
        <v>1315.5889099570697</v>
      </c>
      <c r="AN99" s="59">
        <f ca="1">AVERAGE(OFFSET($AM$3,0,0,'Données projet'!$E$10+1,1))-AVERAGE(OFFSET($H$3,0,0,'Données projet'!$E$10+1,1))</f>
        <v>778.88878506193896</v>
      </c>
      <c r="AO99" s="59">
        <f t="shared" si="90"/>
        <v>279.2078283764684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128.84099308226041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128.84099308226041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689</v>
      </c>
      <c r="O100" s="13">
        <f>N100*VLOOKUP('Données projet'!$B$9,Paramètres!$A$1:$I$89,3,0)*VLOOKUP('Données projet'!$B$9,Paramètres!$A$1:$I$89,5,0)</f>
        <v>412.02199999999999</v>
      </c>
      <c r="P100" s="13">
        <f t="shared" si="87"/>
        <v>94.209724877926391</v>
      </c>
      <c r="Q100" s="20">
        <f t="shared" si="107"/>
        <v>881.686920829055</v>
      </c>
      <c r="R100" s="59">
        <f t="shared" si="55"/>
        <v>1175.0202541623883</v>
      </c>
      <c r="S100" s="59">
        <f ca="1">AVERAGE(OFFSET($R$3,0,0,'Données projet'!$E$9+1,1))-AVERAGE(OFFSET($H$3,0,0,'Données projet'!$E$9+1,1))</f>
        <v>504.81063008331739</v>
      </c>
      <c r="T100" s="59">
        <f t="shared" si="88"/>
        <v>441.82647565372287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69.894216501290259</v>
      </c>
      <c r="AA100" s="21">
        <f>EXP(-LN(2)/25)*AA99+(1-EXP(-LN(2)/25))/(LN(2)/25)*Calculateur!V100*Calculateur!X100*VLOOKUP('Données projet'!$B$9,Paramètres!$A$1:$I$89,3,0)*0.475*44/12</f>
        <v>9.1875936173692025</v>
      </c>
      <c r="AB100" s="21">
        <f>EXP(-LN(2)/2)*AB99+(1-EXP(-LN(2)/2))/(LN(2)/2)*V100*Y100*VLOOKUP('Données projet'!$B$9,Paramètres!$A$1:$I$89,3,0)*0.475*44/12</f>
        <v>4.3105723284004765E-12</v>
      </c>
      <c r="AC100" s="22">
        <f t="shared" si="57"/>
        <v>79.081810118663768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490.1726699999997</v>
      </c>
      <c r="AK100" s="13">
        <f t="shared" si="89"/>
        <v>109.83595324955576</v>
      </c>
      <c r="AL100" s="20">
        <f t="shared" si="58"/>
        <v>1045.0150188263092</v>
      </c>
      <c r="AM100" s="59">
        <f t="shared" si="59"/>
        <v>1338.3483521596424</v>
      </c>
      <c r="AN100" s="59">
        <f ca="1">AVERAGE(OFFSET($AM$3,0,0,'Données projet'!$E$10+1,1))-AVERAGE(OFFSET($H$3,0,0,'Données projet'!$E$10+1,1))</f>
        <v>778.88878506193896</v>
      </c>
      <c r="AO100" s="59">
        <f t="shared" si="90"/>
        <v>279.2078283764684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126.31449979316342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126.31449979316342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689</v>
      </c>
      <c r="O101" s="13">
        <f>N101*VLOOKUP('Données projet'!$B$9,Paramètres!$A$1:$I$89,3,0)*VLOOKUP('Données projet'!$B$9,Paramètres!$A$1:$I$89,5,0)</f>
        <v>412.02199999999999</v>
      </c>
      <c r="P101" s="13">
        <f t="shared" si="87"/>
        <v>94.209724877926391</v>
      </c>
      <c r="Q101" s="20">
        <f t="shared" si="107"/>
        <v>881.686920829055</v>
      </c>
      <c r="R101" s="59">
        <f t="shared" si="55"/>
        <v>1175.0202541623883</v>
      </c>
      <c r="S101" s="59">
        <f ca="1">AVERAGE(OFFSET($R$3,0,0,'Données projet'!$E$9+1,1))-AVERAGE(OFFSET($H$3,0,0,'Données projet'!$E$9+1,1))</f>
        <v>504.81063008331739</v>
      </c>
      <c r="T101" s="59">
        <f t="shared" si="88"/>
        <v>441.82647565372287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68.523633546962529</v>
      </c>
      <c r="AA101" s="21">
        <f>EXP(-LN(2)/25)*AA100+(1-EXP(-LN(2)/25))/(LN(2)/25)*Calculateur!V101*Calculateur!X101*VLOOKUP('Données projet'!$B$9,Paramètres!$A$1:$I$89,3,0)*0.475*44/12</f>
        <v>8.9363583867476919</v>
      </c>
      <c r="AB101" s="21">
        <f>EXP(-LN(2)/2)*AB100+(1-EXP(-LN(2)/2))/(LN(2)/2)*V101*Y101*VLOOKUP('Données projet'!$B$9,Paramètres!$A$1:$I$89,3,0)*0.475*44/12</f>
        <v>3.0480349242070625E-12</v>
      </c>
      <c r="AC101" s="22">
        <f t="shared" si="57"/>
        <v>77.459991933713269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501.07823999999965</v>
      </c>
      <c r="AK101" s="13">
        <f t="shared" si="89"/>
        <v>111.99241321998743</v>
      </c>
      <c r="AL101" s="20">
        <f t="shared" si="58"/>
        <v>1067.7647210248108</v>
      </c>
      <c r="AM101" s="59">
        <f t="shared" si="59"/>
        <v>1361.0980543581441</v>
      </c>
      <c r="AN101" s="59">
        <f ca="1">AVERAGE(OFFSET($AM$3,0,0,'Données projet'!$E$10+1,1))-AVERAGE(OFFSET($H$3,0,0,'Données projet'!$E$10+1,1))</f>
        <v>778.88878506193896</v>
      </c>
      <c r="AO101" s="59">
        <f t="shared" si="90"/>
        <v>279.2078283764684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123.83754949645687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123.83754949645687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689</v>
      </c>
      <c r="O102" s="13">
        <f>N102*VLOOKUP('Données projet'!$B$9,Paramètres!$A$1:$I$89,3,0)*VLOOKUP('Données projet'!$B$9,Paramètres!$A$1:$I$89,5,0)</f>
        <v>412.02199999999999</v>
      </c>
      <c r="P102" s="13">
        <f t="shared" si="87"/>
        <v>94.209724877926391</v>
      </c>
      <c r="Q102" s="20">
        <f t="shared" si="107"/>
        <v>881.686920829055</v>
      </c>
      <c r="R102" s="59">
        <f t="shared" si="55"/>
        <v>1175.0202541623883</v>
      </c>
      <c r="S102" s="59">
        <f ca="1">AVERAGE(OFFSET($R$3,0,0,'Données projet'!$E$9+1,1))-AVERAGE(OFFSET($H$3,0,0,'Données projet'!$E$9+1,1))</f>
        <v>504.81063008331739</v>
      </c>
      <c r="T102" s="59">
        <f t="shared" si="88"/>
        <v>441.82647565372287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67.17992688839611</v>
      </c>
      <c r="AA102" s="21">
        <f>EXP(-LN(2)/25)*AA101+(1-EXP(-LN(2)/25))/(LN(2)/25)*Calculateur!V102*Calculateur!X102*VLOOKUP('Données projet'!$B$9,Paramètres!$A$1:$I$89,3,0)*0.475*44/12</f>
        <v>8.6919931967194124</v>
      </c>
      <c r="AB102" s="21">
        <f>EXP(-LN(2)/2)*AB101+(1-EXP(-LN(2)/2))/(LN(2)/2)*V102*Y102*VLOOKUP('Données projet'!$B$9,Paramètres!$A$1:$I$89,3,0)*0.475*44/12</f>
        <v>2.1552861642002382E-12</v>
      </c>
      <c r="AC102" s="22">
        <f t="shared" si="57"/>
        <v>75.871920085117679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511.98380999999978</v>
      </c>
      <c r="AK102" s="13">
        <f t="shared" si="89"/>
        <v>114.14341657363724</v>
      </c>
      <c r="AL102" s="20">
        <f t="shared" si="58"/>
        <v>1090.5049196157511</v>
      </c>
      <c r="AM102" s="59">
        <f t="shared" si="59"/>
        <v>1383.8382529490843</v>
      </c>
      <c r="AN102" s="59">
        <f ca="1">AVERAGE(OFFSET($AM$3,0,0,'Données projet'!$E$10+1,1))-AVERAGE(OFFSET($H$3,0,0,'Données projet'!$E$10+1,1))</f>
        <v>778.88878506193896</v>
      </c>
      <c r="AO102" s="59">
        <f t="shared" si="90"/>
        <v>279.2078283764684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121.40917068427824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121.40917068427824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689</v>
      </c>
      <c r="O103" s="13">
        <f>N103*VLOOKUP('Données projet'!$B$9,Paramètres!$A$1:$I$89,3,0)*VLOOKUP('Données projet'!$B$9,Paramètres!$A$1:$I$89,5,0)</f>
        <v>412.02199999999999</v>
      </c>
      <c r="P103" s="13">
        <f t="shared" si="87"/>
        <v>94.209724877926391</v>
      </c>
      <c r="Q103" s="20">
        <f t="shared" si="107"/>
        <v>881.686920829055</v>
      </c>
      <c r="R103" s="59">
        <f t="shared" si="55"/>
        <v>1175.0202541623883</v>
      </c>
      <c r="S103" s="59">
        <f ca="1">AVERAGE(OFFSET($R$3,0,0,'Données projet'!$E$9+1,1))-AVERAGE(OFFSET($H$3,0,0,'Données projet'!$E$9+1,1))</f>
        <v>504.81063008331739</v>
      </c>
      <c r="T103" s="59">
        <f t="shared" si="88"/>
        <v>441.82647565372287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65.862569497824055</v>
      </c>
      <c r="AA103" s="21">
        <f>EXP(-LN(2)/25)*AA102+(1-EXP(-LN(2)/25))/(LN(2)/25)*Calculateur!V103*Calculateur!X103*VLOOKUP('Données projet'!$B$9,Paramètres!$A$1:$I$89,3,0)*0.475*44/12</f>
        <v>8.4543101856630631</v>
      </c>
      <c r="AB103" s="21">
        <f>EXP(-LN(2)/2)*AB102+(1-EXP(-LN(2)/2))/(LN(2)/2)*V103*Y103*VLOOKUP('Données projet'!$B$9,Paramètres!$A$1:$I$89,3,0)*0.475*44/12</f>
        <v>1.5240174621035312E-12</v>
      </c>
      <c r="AC103" s="22">
        <f t="shared" si="57"/>
        <v>74.316879683488636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522.88937999999962</v>
      </c>
      <c r="AK103" s="13">
        <f t="shared" si="89"/>
        <v>116.28909292795402</v>
      </c>
      <c r="AL103" s="20">
        <f t="shared" si="58"/>
        <v>1113.2358403495193</v>
      </c>
      <c r="AM103" s="59">
        <f t="shared" si="59"/>
        <v>1406.5691736828526</v>
      </c>
      <c r="AN103" s="59">
        <f ca="1">AVERAGE(OFFSET($AM$3,0,0,'Données projet'!$E$10+1,1))-AVERAGE(OFFSET($H$3,0,0,'Données projet'!$E$10+1,1))</f>
        <v>778.88878506193896</v>
      </c>
      <c r="AO103" s="59">
        <f t="shared" si="90"/>
        <v>279.2078283764684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160.10988411940124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160.10988411940124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689</v>
      </c>
      <c r="O104" s="13">
        <f>N104*VLOOKUP('Données projet'!$B$9,Paramètres!$A$1:$I$89,3,0)*VLOOKUP('Données projet'!$B$9,Paramètres!$A$1:$I$89,5,0)</f>
        <v>412.02199999999999</v>
      </c>
      <c r="P104" s="13">
        <f t="shared" si="87"/>
        <v>94.209724877926391</v>
      </c>
      <c r="Q104" s="20">
        <f t="shared" si="107"/>
        <v>881.686920829055</v>
      </c>
      <c r="R104" s="59">
        <f t="shared" si="55"/>
        <v>1175.0202541623883</v>
      </c>
      <c r="S104" s="59">
        <f ca="1">AVERAGE(OFFSET($R$3,0,0,'Données projet'!$E$9+1,1))-AVERAGE(OFFSET($H$3,0,0,'Données projet'!$E$9+1,1))</f>
        <v>504.81063008331739</v>
      </c>
      <c r="T104" s="59">
        <f t="shared" si="88"/>
        <v>441.82647565372287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64.571044682172442</v>
      </c>
      <c r="AA104" s="21">
        <f>EXP(-LN(2)/25)*AA103+(1-EXP(-LN(2)/25))/(LN(2)/25)*Calculateur!V104*Calculateur!X104*VLOOKUP('Données projet'!$B$9,Paramètres!$A$1:$I$89,3,0)*0.475*44/12</f>
        <v>8.2231266290432572</v>
      </c>
      <c r="AB104" s="21">
        <f>EXP(-LN(2)/2)*AB103+(1-EXP(-LN(2)/2))/(LN(2)/2)*V104*Y104*VLOOKUP('Données projet'!$B$9,Paramètres!$A$1:$I$89,3,0)*0.475*44/12</f>
        <v>1.0776430821001191E-12</v>
      </c>
      <c r="AC104" s="22">
        <f t="shared" si="57"/>
        <v>72.794171311216786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446.66699999999958</v>
      </c>
      <c r="AK104" s="13">
        <f t="shared" si="89"/>
        <v>101.1760710219432</v>
      </c>
      <c r="AL104" s="20">
        <f t="shared" si="58"/>
        <v>954.16001536321698</v>
      </c>
      <c r="AM104" s="59">
        <f t="shared" si="59"/>
        <v>1247.4933486965504</v>
      </c>
      <c r="AN104" s="59">
        <f ca="1">AVERAGE(OFFSET($AM$3,0,0,'Données projet'!$E$10+1,1))-AVERAGE(OFFSET($H$3,0,0,'Données projet'!$E$10+1,1))</f>
        <v>778.88878506193896</v>
      </c>
      <c r="AO104" s="59">
        <f t="shared" si="90"/>
        <v>279.2078283764684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156.97022694920622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156.97022694920622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689</v>
      </c>
      <c r="O105" s="13">
        <f>N105*VLOOKUP('Données projet'!$B$9,Paramètres!$A$1:$I$89,3,0)*VLOOKUP('Données projet'!$B$9,Paramètres!$A$1:$I$89,5,0)</f>
        <v>412.02199999999999</v>
      </c>
      <c r="P105" s="13">
        <f t="shared" si="87"/>
        <v>94.209724877926391</v>
      </c>
      <c r="Q105" s="20">
        <f t="shared" si="107"/>
        <v>881.686920829055</v>
      </c>
      <c r="R105" s="59">
        <f t="shared" si="55"/>
        <v>1175.0202541623883</v>
      </c>
      <c r="S105" s="59">
        <f ca="1">AVERAGE(OFFSET($R$3,0,0,'Données projet'!$E$9+1,1))-AVERAGE(OFFSET($H$3,0,0,'Données projet'!$E$9+1,1))</f>
        <v>504.81063008331739</v>
      </c>
      <c r="T105" s="59">
        <f t="shared" si="88"/>
        <v>441.82647565372287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63.304845880403406</v>
      </c>
      <c r="AA105" s="21">
        <f>EXP(-LN(2)/25)*AA104+(1-EXP(-LN(2)/25))/(LN(2)/25)*Calculateur!V105*Calculateur!X105*VLOOKUP('Données projet'!$B$9,Paramètres!$A$1:$I$89,3,0)*0.475*44/12</f>
        <v>7.998264798936634</v>
      </c>
      <c r="AB105" s="21">
        <f>EXP(-LN(2)/2)*AB104+(1-EXP(-LN(2)/2))/(LN(2)/2)*V105*Y105*VLOOKUP('Données projet'!$B$9,Paramètres!$A$1:$I$89,3,0)*0.475*44/12</f>
        <v>7.6200873105176562E-13</v>
      </c>
      <c r="AC105" s="22">
        <f t="shared" si="57"/>
        <v>71.303110679340804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456.86783999999955</v>
      </c>
      <c r="AK105" s="13">
        <f t="shared" si="89"/>
        <v>103.21505029704727</v>
      </c>
      <c r="AL105" s="20">
        <f t="shared" si="58"/>
        <v>975.47770060068979</v>
      </c>
      <c r="AM105" s="59">
        <f t="shared" si="59"/>
        <v>1268.811033934023</v>
      </c>
      <c r="AN105" s="59">
        <f ca="1">AVERAGE(OFFSET($AM$3,0,0,'Données projet'!$E$10+1,1))-AVERAGE(OFFSET($H$3,0,0,'Données projet'!$E$10+1,1))</f>
        <v>778.88878506193896</v>
      </c>
      <c r="AO105" s="59">
        <f t="shared" si="90"/>
        <v>279.2078283764684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153.89213654111694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153.89213654111694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689</v>
      </c>
      <c r="O106" s="13">
        <f>N106*VLOOKUP('Données projet'!$B$9,Paramètres!$A$1:$I$89,3,0)*VLOOKUP('Données projet'!$B$9,Paramètres!$A$1:$I$89,5,0)</f>
        <v>412.02199999999999</v>
      </c>
      <c r="P106" s="13">
        <f t="shared" si="87"/>
        <v>94.209724877926391</v>
      </c>
      <c r="Q106" s="20">
        <f t="shared" si="107"/>
        <v>881.686920829055</v>
      </c>
      <c r="R106" s="59">
        <f t="shared" si="55"/>
        <v>1175.0202541623883</v>
      </c>
      <c r="S106" s="59">
        <f ca="1">AVERAGE(OFFSET($R$3,0,0,'Données projet'!$E$9+1,1))-AVERAGE(OFFSET($H$3,0,0,'Données projet'!$E$9+1,1))</f>
        <v>504.81063008331739</v>
      </c>
      <c r="T106" s="59">
        <f t="shared" si="88"/>
        <v>441.82647565372287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62.06347646483205</v>
      </c>
      <c r="AA106" s="21">
        <f>EXP(-LN(2)/25)*AA105+(1-EXP(-LN(2)/25))/(LN(2)/25)*Calculateur!V106*Calculateur!X106*VLOOKUP('Données projet'!$B$9,Paramètres!$A$1:$I$89,3,0)*0.475*44/12</f>
        <v>7.7795518273992466</v>
      </c>
      <c r="AB106" s="21">
        <f>EXP(-LN(2)/2)*AB105+(1-EXP(-LN(2)/2))/(LN(2)/2)*V106*Y106*VLOOKUP('Données projet'!$B$9,Paramètres!$A$1:$I$89,3,0)*0.475*44/12</f>
        <v>5.3882154105005956E-13</v>
      </c>
      <c r="AC106" s="22">
        <f t="shared" si="57"/>
        <v>69.843028292231836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467.06867999999963</v>
      </c>
      <c r="AK106" s="13">
        <f t="shared" si="89"/>
        <v>105.2487367774614</v>
      </c>
      <c r="AL106" s="20">
        <f t="shared" si="58"/>
        <v>996.78616755407802</v>
      </c>
      <c r="AM106" s="59">
        <f t="shared" si="59"/>
        <v>1290.1195008874113</v>
      </c>
      <c r="AN106" s="59">
        <f ca="1">AVERAGE(OFFSET($AM$3,0,0,'Données projet'!$E$10+1,1))-AVERAGE(OFFSET($H$3,0,0,'Données projet'!$E$10+1,1))</f>
        <v>778.88878506193896</v>
      </c>
      <c r="AO106" s="59">
        <f t="shared" si="90"/>
        <v>279.2078283764684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150.87440560848054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150.87440560848054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689</v>
      </c>
      <c r="O107" s="13">
        <f>N107*VLOOKUP('Données projet'!$B$9,Paramètres!$A$1:$I$89,3,0)*VLOOKUP('Données projet'!$B$9,Paramètres!$A$1:$I$89,5,0)</f>
        <v>412.02199999999999</v>
      </c>
      <c r="P107" s="13">
        <f t="shared" si="87"/>
        <v>94.209724877926391</v>
      </c>
      <c r="Q107" s="20">
        <f t="shared" si="107"/>
        <v>881.686920829055</v>
      </c>
      <c r="R107" s="59">
        <f t="shared" si="55"/>
        <v>1175.0202541623883</v>
      </c>
      <c r="S107" s="59">
        <f ca="1">AVERAGE(OFFSET($R$3,0,0,'Données projet'!$E$9+1,1))-AVERAGE(OFFSET($H$3,0,0,'Données projet'!$E$9+1,1))</f>
        <v>504.81063008331739</v>
      </c>
      <c r="T107" s="59">
        <f t="shared" si="88"/>
        <v>441.82647565372287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60.846449546339471</v>
      </c>
      <c r="AA107" s="21">
        <f>EXP(-LN(2)/25)*AA106+(1-EXP(-LN(2)/25))/(LN(2)/25)*Calculateur!V107*Calculateur!X107*VLOOKUP('Données projet'!$B$9,Paramètres!$A$1:$I$89,3,0)*0.475*44/12</f>
        <v>7.5668195735701635</v>
      </c>
      <c r="AB107" s="21">
        <f>EXP(-LN(2)/2)*AB106+(1-EXP(-LN(2)/2))/(LN(2)/2)*V107*Y107*VLOOKUP('Données projet'!$B$9,Paramètres!$A$1:$I$89,3,0)*0.475*44/12</f>
        <v>3.8100436552588281E-13</v>
      </c>
      <c r="AC107" s="22">
        <f t="shared" si="57"/>
        <v>68.413269119910012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477.2695199999996</v>
      </c>
      <c r="AK107" s="13">
        <f t="shared" si="89"/>
        <v>107.27725937060031</v>
      </c>
      <c r="AL107" s="20">
        <f t="shared" si="58"/>
        <v>1018.0856407371281</v>
      </c>
      <c r="AM107" s="59">
        <f t="shared" si="59"/>
        <v>1311.4189740704614</v>
      </c>
      <c r="AN107" s="59">
        <f ca="1">AVERAGE(OFFSET($AM$3,0,0,'Données projet'!$E$10+1,1))-AVERAGE(OFFSET($H$3,0,0,'Données projet'!$E$10+1,1))</f>
        <v>778.88878506193896</v>
      </c>
      <c r="AO107" s="59">
        <f t="shared" si="90"/>
        <v>279.2078283764684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147.91585053879902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147.91585053879902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689</v>
      </c>
      <c r="O108" s="13">
        <f>N108*VLOOKUP('Données projet'!$B$9,Paramètres!$A$1:$I$89,3,0)*VLOOKUP('Données projet'!$B$9,Paramètres!$A$1:$I$89,5,0)</f>
        <v>412.02199999999999</v>
      </c>
      <c r="P108" s="13">
        <f t="shared" si="87"/>
        <v>94.209724877926391</v>
      </c>
      <c r="Q108" s="20">
        <f t="shared" si="107"/>
        <v>881.686920829055</v>
      </c>
      <c r="R108" s="59">
        <f t="shared" si="55"/>
        <v>1175.0202541623883</v>
      </c>
      <c r="S108" s="59">
        <f ca="1">AVERAGE(OFFSET($R$3,0,0,'Données projet'!$E$9+1,1))-AVERAGE(OFFSET($H$3,0,0,'Données projet'!$E$9+1,1))</f>
        <v>504.81063008331739</v>
      </c>
      <c r="T108" s="59">
        <f t="shared" si="88"/>
        <v>441.82647565372287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59.653287783405403</v>
      </c>
      <c r="AA108" s="21">
        <f>EXP(-LN(2)/25)*AA107+(1-EXP(-LN(2)/25))/(LN(2)/25)*Calculateur!V108*Calculateur!X108*VLOOKUP('Données projet'!$B$9,Paramètres!$A$1:$I$89,3,0)*0.475*44/12</f>
        <v>7.3599044944091405</v>
      </c>
      <c r="AB108" s="21">
        <f>EXP(-LN(2)/2)*AB107+(1-EXP(-LN(2)/2))/(LN(2)/2)*V108*Y108*VLOOKUP('Données projet'!$B$9,Paramètres!$A$1:$I$89,3,0)*0.475*44/12</f>
        <v>2.6941077052502978E-13</v>
      </c>
      <c r="AC108" s="22">
        <f t="shared" si="57"/>
        <v>67.013192277814809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487.47035999999957</v>
      </c>
      <c r="AK108" s="13">
        <f t="shared" si="89"/>
        <v>109.30074115872966</v>
      </c>
      <c r="AL108" s="20">
        <f t="shared" si="58"/>
        <v>1039.3763345181203</v>
      </c>
      <c r="AM108" s="59">
        <f t="shared" si="59"/>
        <v>1332.7096678514536</v>
      </c>
      <c r="AN108" s="59">
        <f ca="1">AVERAGE(OFFSET($AM$3,0,0,'Données projet'!$E$10+1,1))-AVERAGE(OFFSET($H$3,0,0,'Données projet'!$E$10+1,1))</f>
        <v>778.88878506193896</v>
      </c>
      <c r="AO108" s="59">
        <f t="shared" si="90"/>
        <v>279.2078283764684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145.01531092949355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145.01531092949355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689</v>
      </c>
      <c r="O109" s="13">
        <f>N109*VLOOKUP('Données projet'!$B$9,Paramètres!$A$1:$I$89,3,0)*VLOOKUP('Données projet'!$B$9,Paramètres!$A$1:$I$89,5,0)</f>
        <v>412.02199999999999</v>
      </c>
      <c r="P109" s="13">
        <f t="shared" si="87"/>
        <v>94.209724877926391</v>
      </c>
      <c r="Q109" s="20">
        <f t="shared" si="107"/>
        <v>881.686920829055</v>
      </c>
      <c r="R109" s="59">
        <f t="shared" si="55"/>
        <v>1175.0202541623883</v>
      </c>
      <c r="S109" s="59">
        <f ca="1">AVERAGE(OFFSET($R$3,0,0,'Données projet'!$E$9+1,1))-AVERAGE(OFFSET($H$3,0,0,'Données projet'!$E$9+1,1))</f>
        <v>504.81063008331739</v>
      </c>
      <c r="T109" s="59">
        <f t="shared" si="88"/>
        <v>441.82647565372287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58.483523194885663</v>
      </c>
      <c r="AA109" s="21">
        <f>EXP(-LN(2)/25)*AA108+(1-EXP(-LN(2)/25))/(LN(2)/25)*Calculateur!V109*Calculateur!X109*VLOOKUP('Données projet'!$B$9,Paramètres!$A$1:$I$89,3,0)*0.475*44/12</f>
        <v>7.1586475189689667</v>
      </c>
      <c r="AB109" s="21">
        <f>EXP(-LN(2)/2)*AB108+(1-EXP(-LN(2)/2))/(LN(2)/2)*V109*Y109*VLOOKUP('Données projet'!$B$9,Paramètres!$A$1:$I$89,3,0)*0.475*44/12</f>
        <v>1.905021827629414E-13</v>
      </c>
      <c r="AC109" s="22">
        <f t="shared" si="57"/>
        <v>65.64217071385481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497.67119999999954</v>
      </c>
      <c r="AK109" s="13">
        <f t="shared" si="89"/>
        <v>111.31929977849498</v>
      </c>
      <c r="AL109" s="20">
        <f t="shared" si="58"/>
        <v>1060.6584537808778</v>
      </c>
      <c r="AM109" s="59">
        <f t="shared" si="59"/>
        <v>1353.9917871142111</v>
      </c>
      <c r="AN109" s="59">
        <f ca="1">AVERAGE(OFFSET($AM$3,0,0,'Données projet'!$E$10+1,1))-AVERAGE(OFFSET($H$3,0,0,'Données projet'!$E$10+1,1))</f>
        <v>778.88878506193896</v>
      </c>
      <c r="AO109" s="59">
        <f t="shared" si="90"/>
        <v>279.2078283764684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142.17164913277207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142.17164913277207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689</v>
      </c>
      <c r="O110" s="13">
        <f>N110*VLOOKUP('Données projet'!$B$9,Paramètres!$A$1:$I$89,3,0)*VLOOKUP('Données projet'!$B$9,Paramètres!$A$1:$I$89,5,0)</f>
        <v>412.02199999999999</v>
      </c>
      <c r="P110" s="13">
        <f t="shared" si="87"/>
        <v>94.209724877926391</v>
      </c>
      <c r="Q110" s="20">
        <f t="shared" si="107"/>
        <v>881.686920829055</v>
      </c>
      <c r="R110" s="59">
        <f t="shared" si="55"/>
        <v>1175.0202541623883</v>
      </c>
      <c r="S110" s="59">
        <f ca="1">AVERAGE(OFFSET($R$3,0,0,'Données projet'!$E$9+1,1))-AVERAGE(OFFSET($H$3,0,0,'Données projet'!$E$9+1,1))</f>
        <v>504.81063008331739</v>
      </c>
      <c r="T110" s="59">
        <f t="shared" si="88"/>
        <v>441.82647565372287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57.336696976460843</v>
      </c>
      <c r="AA110" s="21">
        <f>EXP(-LN(2)/25)*AA109+(1-EXP(-LN(2)/25))/(LN(2)/25)*Calculateur!V110*Calculateur!X110*VLOOKUP('Données projet'!$B$9,Paramètres!$A$1:$I$89,3,0)*0.475*44/12</f>
        <v>6.9628939261058482</v>
      </c>
      <c r="AB110" s="21">
        <f>EXP(-LN(2)/2)*AB109+(1-EXP(-LN(2)/2))/(LN(2)/2)*V110*Y110*VLOOKUP('Données projet'!$B$9,Paramètres!$A$1:$I$89,3,0)*0.475*44/12</f>
        <v>1.3470538526251489E-13</v>
      </c>
      <c r="AC110" s="22">
        <f t="shared" si="57"/>
        <v>64.29959090256682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507.87203999999963</v>
      </c>
      <c r="AK110" s="13">
        <f t="shared" si="89"/>
        <v>113.33304776845675</v>
      </c>
      <c r="AL110" s="20">
        <f t="shared" si="58"/>
        <v>1081.9321945300615</v>
      </c>
      <c r="AM110" s="59">
        <f t="shared" si="59"/>
        <v>1375.2655278633947</v>
      </c>
      <c r="AN110" s="59">
        <f ca="1">AVERAGE(OFFSET($AM$3,0,0,'Données projet'!$E$10+1,1))-AVERAGE(OFFSET($H$3,0,0,'Données projet'!$E$10+1,1))</f>
        <v>778.88878506193896</v>
      </c>
      <c r="AO110" s="59">
        <f t="shared" si="90"/>
        <v>279.2078283764684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139.38374980942189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139.38374980942189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689</v>
      </c>
      <c r="O111" s="13">
        <f>N111*VLOOKUP('Données projet'!$B$9,Paramètres!$A$1:$I$89,3,0)*VLOOKUP('Données projet'!$B$9,Paramètres!$A$1:$I$89,5,0)</f>
        <v>412.02199999999999</v>
      </c>
      <c r="P111" s="13">
        <f t="shared" si="87"/>
        <v>94.209724877926391</v>
      </c>
      <c r="Q111" s="20">
        <f t="shared" si="107"/>
        <v>881.686920829055</v>
      </c>
      <c r="R111" s="59">
        <f t="shared" si="55"/>
        <v>1175.0202541623883</v>
      </c>
      <c r="S111" s="59">
        <f ca="1">AVERAGE(OFFSET($R$3,0,0,'Données projet'!$E$9+1,1))-AVERAGE(OFFSET($H$3,0,0,'Données projet'!$E$9+1,1))</f>
        <v>504.81063008331739</v>
      </c>
      <c r="T111" s="59">
        <f t="shared" si="88"/>
        <v>441.82647565372287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56.212359320684406</v>
      </c>
      <c r="AA111" s="21">
        <f>EXP(-LN(2)/25)*AA110+(1-EXP(-LN(2)/25))/(LN(2)/25)*Calculateur!V111*Calculateur!X111*VLOOKUP('Données projet'!$B$9,Paramètres!$A$1:$I$89,3,0)*0.475*44/12</f>
        <v>6.7724932255338057</v>
      </c>
      <c r="AB111" s="21">
        <f>EXP(-LN(2)/2)*AB110+(1-EXP(-LN(2)/2))/(LN(2)/2)*V111*Y111*VLOOKUP('Données projet'!$B$9,Paramètres!$A$1:$I$89,3,0)*0.475*44/12</f>
        <v>9.5251091381470702E-14</v>
      </c>
      <c r="AC111" s="22">
        <f t="shared" si="57"/>
        <v>62.984852546218306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518.0728799999996</v>
      </c>
      <c r="AK111" s="13">
        <f t="shared" si="89"/>
        <v>115.34209288791402</v>
      </c>
      <c r="AL111" s="20">
        <f t="shared" si="58"/>
        <v>1103.1977444464494</v>
      </c>
      <c r="AM111" s="59">
        <f t="shared" si="59"/>
        <v>1396.5310777797827</v>
      </c>
      <c r="AN111" s="59">
        <f ca="1">AVERAGE(OFFSET($AM$3,0,0,'Données projet'!$E$10+1,1))-AVERAGE(OFFSET($H$3,0,0,'Données projet'!$E$10+1,1))</f>
        <v>778.88878506193896</v>
      </c>
      <c r="AO111" s="59">
        <f t="shared" si="90"/>
        <v>279.2078283764684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136.6505194913519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136.6505194913519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689</v>
      </c>
      <c r="O112" s="13">
        <f>N112*VLOOKUP('Données projet'!$B$9,Paramètres!$A$1:$I$89,3,0)*VLOOKUP('Données projet'!$B$9,Paramètres!$A$1:$I$89,5,0)</f>
        <v>412.02199999999999</v>
      </c>
      <c r="P112" s="13">
        <f t="shared" si="87"/>
        <v>94.209724877926391</v>
      </c>
      <c r="Q112" s="20">
        <f t="shared" si="107"/>
        <v>881.686920829055</v>
      </c>
      <c r="R112" s="59">
        <f t="shared" si="55"/>
        <v>1175.0202541623883</v>
      </c>
      <c r="S112" s="59">
        <f ca="1">AVERAGE(OFFSET($R$3,0,0,'Données projet'!$E$9+1,1))-AVERAGE(OFFSET($H$3,0,0,'Données projet'!$E$9+1,1))</f>
        <v>504.81063008331739</v>
      </c>
      <c r="T112" s="59">
        <f t="shared" si="88"/>
        <v>441.82647565372287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55.110069240559497</v>
      </c>
      <c r="AA112" s="21">
        <f>EXP(-LN(2)/25)*AA111+(1-EXP(-LN(2)/25))/(LN(2)/25)*Calculateur!V112*Calculateur!X112*VLOOKUP('Données projet'!$B$9,Paramètres!$A$1:$I$89,3,0)*0.475*44/12</f>
        <v>6.5872990421316437</v>
      </c>
      <c r="AB112" s="21">
        <f>EXP(-LN(2)/2)*AB111+(1-EXP(-LN(2)/2))/(LN(2)/2)*V112*Y112*VLOOKUP('Données projet'!$B$9,Paramètres!$A$1:$I$89,3,0)*0.475*44/12</f>
        <v>6.7352692631257445E-14</v>
      </c>
      <c r="AC112" s="22">
        <f t="shared" si="57"/>
        <v>61.697368282691208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528.27371999999957</v>
      </c>
      <c r="AK112" s="13">
        <f t="shared" si="89"/>
        <v>117.34653840990889</v>
      </c>
      <c r="AL112" s="20">
        <f t="shared" si="58"/>
        <v>1124.4552833972573</v>
      </c>
      <c r="AM112" s="59">
        <f t="shared" si="59"/>
        <v>1417.7886167305905</v>
      </c>
      <c r="AN112" s="59">
        <f ca="1">AVERAGE(OFFSET($AM$3,0,0,'Données projet'!$E$10+1,1))-AVERAGE(OFFSET($H$3,0,0,'Données projet'!$E$10+1,1))</f>
        <v>778.88878506193896</v>
      </c>
      <c r="AO112" s="59">
        <f t="shared" si="90"/>
        <v>279.2078283764684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133.97088615271338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133.97088615271338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689</v>
      </c>
      <c r="O113" s="13">
        <f>N113*VLOOKUP('Données projet'!$B$9,Paramètres!$A$1:$I$89,3,0)*VLOOKUP('Données projet'!$B$9,Paramètres!$A$1:$I$89,5,0)</f>
        <v>412.02199999999999</v>
      </c>
      <c r="P113" s="13">
        <f t="shared" si="87"/>
        <v>94.209724877926391</v>
      </c>
      <c r="Q113" s="20">
        <f t="shared" si="107"/>
        <v>881.686920829055</v>
      </c>
      <c r="R113" s="59">
        <f t="shared" si="55"/>
        <v>1175.0202541623883</v>
      </c>
      <c r="S113" s="59">
        <f ca="1">AVERAGE(OFFSET($R$3,0,0,'Données projet'!$E$9+1,1))-AVERAGE(OFFSET($H$3,0,0,'Données projet'!$E$9+1,1))</f>
        <v>504.81063008331739</v>
      </c>
      <c r="T113" s="59">
        <f t="shared" si="88"/>
        <v>441.82647565372287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54.02939439657527</v>
      </c>
      <c r="AA113" s="21">
        <f>EXP(-LN(2)/25)*AA112+(1-EXP(-LN(2)/25))/(LN(2)/25)*Calculateur!V113*Calculateur!X113*VLOOKUP('Données projet'!$B$9,Paramètres!$A$1:$I$89,3,0)*0.475*44/12</f>
        <v>6.4071690034135527</v>
      </c>
      <c r="AB113" s="21">
        <f>EXP(-LN(2)/2)*AB112+(1-EXP(-LN(2)/2))/(LN(2)/2)*V113*Y113*VLOOKUP('Données projet'!$B$9,Paramètres!$A$1:$I$89,3,0)*0.475*44/12</f>
        <v>4.7625545690735351E-14</v>
      </c>
      <c r="AC113" s="22">
        <f t="shared" si="57"/>
        <v>60.43656339998887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538.47455999999954</v>
      </c>
      <c r="AK113" s="13">
        <f t="shared" si="89"/>
        <v>119.34648339095945</v>
      </c>
      <c r="AL113" s="20">
        <f t="shared" si="58"/>
        <v>1145.7049839059202</v>
      </c>
      <c r="AM113" s="59">
        <f t="shared" si="59"/>
        <v>1439.0383172392535</v>
      </c>
      <c r="AN113" s="59">
        <f ca="1">AVERAGE(OFFSET($AM$3,0,0,'Données projet'!$E$10+1,1))-AVERAGE(OFFSET($H$3,0,0,'Données projet'!$E$10+1,1))</f>
        <v>778.88878506193896</v>
      </c>
      <c r="AO113" s="59">
        <f t="shared" si="90"/>
        <v>279.2078283764684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163.7443224295302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163.7443224295302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689</v>
      </c>
      <c r="O114" s="13">
        <f>N114*VLOOKUP('Données projet'!$B$9,Paramètres!$A$1:$I$89,3,0)*VLOOKUP('Données projet'!$B$9,Paramètres!$A$1:$I$89,5,0)</f>
        <v>412.02199999999999</v>
      </c>
      <c r="P114" s="13">
        <f t="shared" si="87"/>
        <v>94.209724877926391</v>
      </c>
      <c r="Q114" s="20">
        <f t="shared" si="107"/>
        <v>881.686920829055</v>
      </c>
      <c r="R114" s="59">
        <f t="shared" si="55"/>
        <v>1175.0202541623883</v>
      </c>
      <c r="S114" s="59">
        <f ca="1">AVERAGE(OFFSET($R$3,0,0,'Données projet'!$E$9+1,1))-AVERAGE(OFFSET($H$3,0,0,'Données projet'!$E$9+1,1))</f>
        <v>504.81063008331739</v>
      </c>
      <c r="T114" s="59">
        <f t="shared" si="88"/>
        <v>441.82647565372287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52.969910927135004</v>
      </c>
      <c r="AA114" s="21">
        <f>EXP(-LN(2)/25)*AA113+(1-EXP(-LN(2)/25))/(LN(2)/25)*Calculateur!V114*Calculateur!X114*VLOOKUP('Données projet'!$B$9,Paramètres!$A$1:$I$89,3,0)*0.475*44/12</f>
        <v>6.2319646300768348</v>
      </c>
      <c r="AB114" s="21">
        <f>EXP(-LN(2)/2)*AB113+(1-EXP(-LN(2)/2))/(LN(2)/2)*V114*Y114*VLOOKUP('Données projet'!$B$9,Paramètres!$A$1:$I$89,3,0)*0.475*44/12</f>
        <v>3.3676346315628723E-14</v>
      </c>
      <c r="AC114" s="22">
        <f t="shared" si="57"/>
        <v>59.201875557211871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480.57313199999953</v>
      </c>
      <c r="AK114" s="13">
        <f t="shared" si="89"/>
        <v>107.93312393757081</v>
      </c>
      <c r="AL114" s="20">
        <f t="shared" si="58"/>
        <v>1024.9817290912683</v>
      </c>
      <c r="AM114" s="59">
        <f t="shared" si="59"/>
        <v>1318.3150624246016</v>
      </c>
      <c r="AN114" s="59">
        <f ca="1">AVERAGE(OFFSET($AM$3,0,0,'Données projet'!$E$10+1,1))-AVERAGE(OFFSET($H$3,0,0,'Données projet'!$E$10+1,1))</f>
        <v>778.88878506193896</v>
      </c>
      <c r="AO114" s="59">
        <f t="shared" si="90"/>
        <v>279.2078283764684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160.53339614086204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160.53339614086204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689</v>
      </c>
      <c r="O115" s="13">
        <f>N115*VLOOKUP('Données projet'!$B$9,Paramètres!$A$1:$I$89,3,0)*VLOOKUP('Données projet'!$B$9,Paramètres!$A$1:$I$89,5,0)</f>
        <v>412.02199999999999</v>
      </c>
      <c r="P115" s="13">
        <f t="shared" si="87"/>
        <v>94.209724877926391</v>
      </c>
      <c r="Q115" s="20">
        <f t="shared" si="107"/>
        <v>881.686920829055</v>
      </c>
      <c r="R115" s="59">
        <f t="shared" si="55"/>
        <v>1175.0202541623883</v>
      </c>
      <c r="S115" s="59">
        <f ca="1">AVERAGE(OFFSET($R$3,0,0,'Données projet'!$E$9+1,1))-AVERAGE(OFFSET($H$3,0,0,'Données projet'!$E$9+1,1))</f>
        <v>504.81063008331739</v>
      </c>
      <c r="T115" s="59">
        <f t="shared" si="88"/>
        <v>441.82647565372287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51.931203282309355</v>
      </c>
      <c r="AA115" s="21">
        <f>EXP(-LN(2)/25)*AA114+(1-EXP(-LN(2)/25))/(LN(2)/25)*Calculateur!V115*Calculateur!X115*VLOOKUP('Données projet'!$B$9,Paramètres!$A$1:$I$89,3,0)*0.475*44/12</f>
        <v>6.0615512295426068</v>
      </c>
      <c r="AB115" s="21">
        <f>EXP(-LN(2)/2)*AB114+(1-EXP(-LN(2)/2))/(LN(2)/2)*V115*Y115*VLOOKUP('Données projet'!$B$9,Paramètres!$A$1:$I$89,3,0)*0.475*44/12</f>
        <v>2.3812772845367676E-14</v>
      </c>
      <c r="AC115" s="22">
        <f t="shared" si="57"/>
        <v>57.992754511851984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490.83278399999955</v>
      </c>
      <c r="AK115" s="13">
        <f t="shared" si="89"/>
        <v>109.96664135371806</v>
      </c>
      <c r="AL115" s="20">
        <f t="shared" si="58"/>
        <v>1046.3923324910581</v>
      </c>
      <c r="AM115" s="59">
        <f t="shared" si="59"/>
        <v>1339.7256658243914</v>
      </c>
      <c r="AN115" s="59">
        <f ca="1">AVERAGE(OFFSET($AM$3,0,0,'Données projet'!$E$10+1,1))-AVERAGE(OFFSET($H$3,0,0,'Données projet'!$E$10+1,1))</f>
        <v>778.88878506193896</v>
      </c>
      <c r="AO115" s="59">
        <f t="shared" si="90"/>
        <v>279.2078283764684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157.38543415824302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157.38543415824302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689</v>
      </c>
      <c r="O116" s="13">
        <f>N116*VLOOKUP('Données projet'!$B$9,Paramètres!$A$1:$I$89,3,0)*VLOOKUP('Données projet'!$B$9,Paramètres!$A$1:$I$89,5,0)</f>
        <v>412.02199999999999</v>
      </c>
      <c r="P116" s="13">
        <f t="shared" si="87"/>
        <v>94.209724877926391</v>
      </c>
      <c r="Q116" s="20">
        <f t="shared" si="107"/>
        <v>881.686920829055</v>
      </c>
      <c r="R116" s="59">
        <f t="shared" si="55"/>
        <v>1175.0202541623883</v>
      </c>
      <c r="S116" s="59">
        <f ca="1">AVERAGE(OFFSET($R$3,0,0,'Données projet'!$E$9+1,1))-AVERAGE(OFFSET($H$3,0,0,'Données projet'!$E$9+1,1))</f>
        <v>504.81063008331739</v>
      </c>
      <c r="T116" s="59">
        <f t="shared" si="88"/>
        <v>441.82647565372287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50.912864060849635</v>
      </c>
      <c r="AA116" s="21">
        <f>EXP(-LN(2)/25)*AA115+(1-EXP(-LN(2)/25))/(LN(2)/25)*Calculateur!V116*Calculateur!X116*VLOOKUP('Données projet'!$B$9,Paramètres!$A$1:$I$89,3,0)*0.475*44/12</f>
        <v>5.895797792407639</v>
      </c>
      <c r="AB116" s="21">
        <f>EXP(-LN(2)/2)*AB115+(1-EXP(-LN(2)/2))/(LN(2)/2)*V116*Y116*VLOOKUP('Données projet'!$B$9,Paramètres!$A$1:$I$89,3,0)*0.475*44/12</f>
        <v>1.6838173157814361E-14</v>
      </c>
      <c r="AC116" s="22">
        <f t="shared" si="57"/>
        <v>56.808661853257291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501.09243599999957</v>
      </c>
      <c r="AK116" s="13">
        <f t="shared" si="89"/>
        <v>111.99521674245825</v>
      </c>
      <c r="AL116" s="20">
        <f t="shared" si="58"/>
        <v>1067.7943285264473</v>
      </c>
      <c r="AM116" s="59">
        <f t="shared" si="59"/>
        <v>1361.1276618597806</v>
      </c>
      <c r="AN116" s="59">
        <f ca="1">AVERAGE(OFFSET($AM$3,0,0,'Données projet'!$E$10+1,1))-AVERAGE(OFFSET($H$3,0,0,'Données projet'!$E$10+1,1))</f>
        <v>778.88878506193896</v>
      </c>
      <c r="AO116" s="59">
        <f t="shared" si="90"/>
        <v>279.2078283764684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154.29920179003594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154.29920179003594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689</v>
      </c>
      <c r="O117" s="13">
        <f>N117*VLOOKUP('Données projet'!$B$9,Paramètres!$A$1:$I$89,3,0)*VLOOKUP('Données projet'!$B$9,Paramètres!$A$1:$I$89,5,0)</f>
        <v>412.02199999999999</v>
      </c>
      <c r="P117" s="13">
        <f t="shared" si="87"/>
        <v>94.209724877926391</v>
      </c>
      <c r="Q117" s="20">
        <f t="shared" si="107"/>
        <v>881.686920829055</v>
      </c>
      <c r="R117" s="59">
        <f t="shared" si="55"/>
        <v>1175.0202541623883</v>
      </c>
      <c r="S117" s="59">
        <f ca="1">AVERAGE(OFFSET($R$3,0,0,'Données projet'!$E$9+1,1))-AVERAGE(OFFSET($H$3,0,0,'Données projet'!$E$9+1,1))</f>
        <v>504.81063008331739</v>
      </c>
      <c r="T117" s="59">
        <f t="shared" si="88"/>
        <v>441.82647565372287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49.914493850397143</v>
      </c>
      <c r="AA117" s="21">
        <f>EXP(-LN(2)/25)*AA116+(1-EXP(-LN(2)/25))/(LN(2)/25)*Calculateur!V117*Calculateur!X117*VLOOKUP('Données projet'!$B$9,Paramètres!$A$1:$I$89,3,0)*0.475*44/12</f>
        <v>5.7345768917277216</v>
      </c>
      <c r="AB117" s="21">
        <f>EXP(-LN(2)/2)*AB116+(1-EXP(-LN(2)/2))/(LN(2)/2)*V117*Y117*VLOOKUP('Données projet'!$B$9,Paramètres!$A$1:$I$89,3,0)*0.475*44/12</f>
        <v>1.1906386422683838E-14</v>
      </c>
      <c r="AC117" s="22">
        <f t="shared" si="57"/>
        <v>55.649070742124877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511.35208799999953</v>
      </c>
      <c r="AK117" s="13">
        <f t="shared" si="89"/>
        <v>114.01896294912574</v>
      </c>
      <c r="AL117" s="20">
        <f t="shared" si="58"/>
        <v>1089.1879137363931</v>
      </c>
      <c r="AM117" s="59">
        <f t="shared" si="59"/>
        <v>1382.5212470697263</v>
      </c>
      <c r="AN117" s="59">
        <f ca="1">AVERAGE(OFFSET($AM$3,0,0,'Données projet'!$E$10+1,1))-AVERAGE(OFFSET($H$3,0,0,'Données projet'!$E$10+1,1))</f>
        <v>778.88878506193896</v>
      </c>
      <c r="AO117" s="59">
        <f t="shared" si="90"/>
        <v>279.2078283764684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151.27348855615352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151.27348855615352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689</v>
      </c>
      <c r="O118" s="13">
        <f>N118*VLOOKUP('Données projet'!$B$9,Paramètres!$A$1:$I$89,3,0)*VLOOKUP('Données projet'!$B$9,Paramètres!$A$1:$I$89,5,0)</f>
        <v>412.02199999999999</v>
      </c>
      <c r="P118" s="13">
        <f t="shared" si="87"/>
        <v>94.209724877926391</v>
      </c>
      <c r="Q118" s="20">
        <f t="shared" si="107"/>
        <v>881.686920829055</v>
      </c>
      <c r="R118" s="59">
        <f t="shared" si="55"/>
        <v>1175.0202541623883</v>
      </c>
      <c r="S118" s="59">
        <f ca="1">AVERAGE(OFFSET($R$3,0,0,'Données projet'!$E$9+1,1))-AVERAGE(OFFSET($H$3,0,0,'Données projet'!$E$9+1,1))</f>
        <v>504.81063008331739</v>
      </c>
      <c r="T118" s="59">
        <f t="shared" si="88"/>
        <v>441.82647565372287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48.935701070825928</v>
      </c>
      <c r="AA118" s="21">
        <f>EXP(-LN(2)/25)*AA117+(1-EXP(-LN(2)/25))/(LN(2)/25)*Calculateur!V118*Calculateur!X118*VLOOKUP('Données projet'!$B$9,Paramètres!$A$1:$I$89,3,0)*0.475*44/12</f>
        <v>5.5777645850551352</v>
      </c>
      <c r="AB118" s="21">
        <f>EXP(-LN(2)/2)*AB117+(1-EXP(-LN(2)/2))/(LN(2)/2)*V118*Y118*VLOOKUP('Données projet'!$B$9,Paramètres!$A$1:$I$89,3,0)*0.475*44/12</f>
        <v>8.4190865789071807E-15</v>
      </c>
      <c r="AC118" s="22">
        <f t="shared" si="57"/>
        <v>54.51346565588107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521.61173999999949</v>
      </c>
      <c r="AK118" s="13">
        <f t="shared" si="89"/>
        <v>116.03798803193443</v>
      </c>
      <c r="AL118" s="20">
        <f t="shared" si="58"/>
        <v>1110.573276322285</v>
      </c>
      <c r="AM118" s="59">
        <f t="shared" si="59"/>
        <v>1403.9066096556182</v>
      </c>
      <c r="AN118" s="59">
        <f ca="1">AVERAGE(OFFSET($AM$3,0,0,'Données projet'!$E$10+1,1))-AVERAGE(OFFSET($H$3,0,0,'Données projet'!$E$10+1,1))</f>
        <v>778.88878506193896</v>
      </c>
      <c r="AO118" s="59">
        <f t="shared" si="90"/>
        <v>279.2078283764684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148.30710771328469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148.30710771328469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689</v>
      </c>
      <c r="O119" s="13">
        <f>N119*VLOOKUP('Données projet'!$B$9,Paramètres!$A$1:$I$89,3,0)*VLOOKUP('Données projet'!$B$9,Paramètres!$A$1:$I$89,5,0)</f>
        <v>412.02199999999999</v>
      </c>
      <c r="P119" s="13">
        <f t="shared" si="87"/>
        <v>94.209724877926391</v>
      </c>
      <c r="Q119" s="20">
        <f t="shared" si="107"/>
        <v>881.686920829055</v>
      </c>
      <c r="R119" s="59">
        <f t="shared" si="55"/>
        <v>1175.0202541623883</v>
      </c>
      <c r="S119" s="59">
        <f ca="1">AVERAGE(OFFSET($R$3,0,0,'Données projet'!$E$9+1,1))-AVERAGE(OFFSET($H$3,0,0,'Données projet'!$E$9+1,1))</f>
        <v>504.81063008331739</v>
      </c>
      <c r="T119" s="59">
        <f t="shared" si="88"/>
        <v>441.82647565372287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47.976101820657455</v>
      </c>
      <c r="AA119" s="21">
        <f>EXP(-LN(2)/25)*AA118+(1-EXP(-LN(2)/25))/(LN(2)/25)*Calculateur!V119*Calculateur!X119*VLOOKUP('Données projet'!$B$9,Paramètres!$A$1:$I$89,3,0)*0.475*44/12</f>
        <v>5.425240319154911</v>
      </c>
      <c r="AB119" s="21">
        <f>EXP(-LN(2)/2)*AB118+(1-EXP(-LN(2)/2))/(LN(2)/2)*V119*Y119*VLOOKUP('Données projet'!$B$9,Paramètres!$A$1:$I$89,3,0)*0.475*44/12</f>
        <v>5.9531932113419189E-15</v>
      </c>
      <c r="AC119" s="22">
        <f t="shared" si="57"/>
        <v>53.401342139812371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531.87139199999956</v>
      </c>
      <c r="AK119" s="13">
        <f t="shared" si="89"/>
        <v>118.05239555515372</v>
      </c>
      <c r="AL119" s="20">
        <f t="shared" si="58"/>
        <v>1131.9505966585587</v>
      </c>
      <c r="AM119" s="59">
        <f t="shared" si="59"/>
        <v>1425.2839299918919</v>
      </c>
      <c r="AN119" s="59">
        <f ca="1">AVERAGE(OFFSET($AM$3,0,0,'Données projet'!$E$10+1,1))-AVERAGE(OFFSET($H$3,0,0,'Données projet'!$E$10+1,1))</f>
        <v>778.88878506193896</v>
      </c>
      <c r="AO119" s="59">
        <f t="shared" si="90"/>
        <v>279.2078283764684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145.39889578943087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145.39889578943087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689</v>
      </c>
      <c r="O120" s="13">
        <f>N120*VLOOKUP('Données projet'!$B$9,Paramètres!$A$1:$I$89,3,0)*VLOOKUP('Données projet'!$B$9,Paramètres!$A$1:$I$89,5,0)</f>
        <v>412.02199999999999</v>
      </c>
      <c r="P120" s="13">
        <f t="shared" si="87"/>
        <v>94.209724877926391</v>
      </c>
      <c r="Q120" s="20">
        <f t="shared" si="107"/>
        <v>881.686920829055</v>
      </c>
      <c r="R120" s="59">
        <f t="shared" si="55"/>
        <v>1175.0202541623883</v>
      </c>
      <c r="S120" s="59">
        <f ca="1">AVERAGE(OFFSET($R$3,0,0,'Données projet'!$E$9+1,1))-AVERAGE(OFFSET($H$3,0,0,'Données projet'!$E$9+1,1))</f>
        <v>504.81063008331739</v>
      </c>
      <c r="T120" s="59">
        <f t="shared" si="88"/>
        <v>441.82647565372287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47.035319726487039</v>
      </c>
      <c r="AA120" s="21">
        <f>EXP(-LN(2)/25)*AA119+(1-EXP(-LN(2)/25))/(LN(2)/25)*Calculateur!V120*Calculateur!X120*VLOOKUP('Données projet'!$B$9,Paramètres!$A$1:$I$89,3,0)*0.475*44/12</f>
        <v>5.2768868373266313</v>
      </c>
      <c r="AB120" s="21">
        <f>EXP(-LN(2)/2)*AB119+(1-EXP(-LN(2)/2))/(LN(2)/2)*V120*Y120*VLOOKUP('Données projet'!$B$9,Paramètres!$A$1:$I$89,3,0)*0.475*44/12</f>
        <v>4.2095432894535903E-15</v>
      </c>
      <c r="AC120" s="22">
        <f t="shared" si="57"/>
        <v>52.312206563813675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542.13104399999963</v>
      </c>
      <c r="AK120" s="13">
        <f t="shared" si="89"/>
        <v>120.06228485902324</v>
      </c>
      <c r="AL120" s="20">
        <f t="shared" si="58"/>
        <v>1153.3200477627981</v>
      </c>
      <c r="AM120" s="59">
        <f t="shared" si="59"/>
        <v>1446.6533810961314</v>
      </c>
      <c r="AN120" s="59">
        <f ca="1">AVERAGE(OFFSET($AM$3,0,0,'Données projet'!$E$10+1,1))-AVERAGE(OFFSET($H$3,0,0,'Données projet'!$E$10+1,1))</f>
        <v>778.88878506193896</v>
      </c>
      <c r="AO120" s="59">
        <f t="shared" si="90"/>
        <v>279.2078283764684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142.5477121275697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142.5477121275697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689</v>
      </c>
      <c r="O121" s="13">
        <f>N121*VLOOKUP('Données projet'!$B$9,Paramètres!$A$1:$I$89,3,0)*VLOOKUP('Données projet'!$B$9,Paramètres!$A$1:$I$89,5,0)</f>
        <v>412.02199999999999</v>
      </c>
      <c r="P121" s="13">
        <f t="shared" si="87"/>
        <v>94.209724877926391</v>
      </c>
      <c r="Q121" s="20">
        <f t="shared" si="107"/>
        <v>881.686920829055</v>
      </c>
      <c r="R121" s="59">
        <f t="shared" si="55"/>
        <v>1175.0202541623883</v>
      </c>
      <c r="S121" s="59">
        <f ca="1">AVERAGE(OFFSET($R$3,0,0,'Données projet'!$E$9+1,1))-AVERAGE(OFFSET($H$3,0,0,'Données projet'!$E$9+1,1))</f>
        <v>504.81063008331739</v>
      </c>
      <c r="T121" s="59">
        <f t="shared" si="88"/>
        <v>441.82647565372287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46.112985795362889</v>
      </c>
      <c r="AA121" s="21">
        <f>EXP(-LN(2)/25)*AA120+(1-EXP(-LN(2)/25))/(LN(2)/25)*Calculateur!V121*Calculateur!X121*VLOOKUP('Données projet'!$B$9,Paramètres!$A$1:$I$89,3,0)*0.475*44/12</f>
        <v>5.1325900892605167</v>
      </c>
      <c r="AB121" s="21">
        <f>EXP(-LN(2)/2)*AB120+(1-EXP(-LN(2)/2))/(LN(2)/2)*V121*Y121*VLOOKUP('Données projet'!$B$9,Paramètres!$A$1:$I$89,3,0)*0.475*44/12</f>
        <v>2.9765966056709594E-15</v>
      </c>
      <c r="AC121" s="22">
        <f t="shared" si="57"/>
        <v>51.245575884623406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552.39069599999971</v>
      </c>
      <c r="AK121" s="13">
        <f t="shared" si="89"/>
        <v>122.0677513086581</v>
      </c>
      <c r="AL121" s="20">
        <f t="shared" si="58"/>
        <v>1174.6817957292456</v>
      </c>
      <c r="AM121" s="59">
        <f t="shared" si="59"/>
        <v>1468.0151290625788</v>
      </c>
      <c r="AN121" s="59">
        <f ca="1">AVERAGE(OFFSET($AM$3,0,0,'Données projet'!$E$10+1,1))-AVERAGE(OFFSET($H$3,0,0,'Données projet'!$E$10+1,1))</f>
        <v>778.88878506193896</v>
      </c>
      <c r="AO121" s="59">
        <f t="shared" si="90"/>
        <v>279.2078283764684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139.75243843826729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139.75243843826729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689</v>
      </c>
      <c r="O122" s="13">
        <f>N122*VLOOKUP('Données projet'!$B$9,Paramètres!$A$1:$I$89,3,0)*VLOOKUP('Données projet'!$B$9,Paramètres!$A$1:$I$89,5,0)</f>
        <v>412.02199999999999</v>
      </c>
      <c r="P122" s="13">
        <f t="shared" si="87"/>
        <v>94.209724877926391</v>
      </c>
      <c r="Q122" s="20">
        <f t="shared" si="107"/>
        <v>881.686920829055</v>
      </c>
      <c r="R122" s="59">
        <f t="shared" si="55"/>
        <v>1175.0202541623883</v>
      </c>
      <c r="S122" s="59">
        <f ca="1">AVERAGE(OFFSET($R$3,0,0,'Données projet'!$E$9+1,1))-AVERAGE(OFFSET($H$3,0,0,'Données projet'!$E$9+1,1))</f>
        <v>504.81063008331739</v>
      </c>
      <c r="T122" s="59">
        <f t="shared" si="88"/>
        <v>441.82647565372287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45.208738270059932</v>
      </c>
      <c r="AA122" s="21">
        <f>EXP(-LN(2)/25)*AA121+(1-EXP(-LN(2)/25))/(LN(2)/25)*Calculateur!V122*Calculateur!X122*VLOOKUP('Données projet'!$B$9,Paramètres!$A$1:$I$89,3,0)*0.475*44/12</f>
        <v>4.992239143358506</v>
      </c>
      <c r="AB122" s="21">
        <f>EXP(-LN(2)/2)*AB121+(1-EXP(-LN(2)/2))/(LN(2)/2)*V122*Y122*VLOOKUP('Données projet'!$B$9,Paramètres!$A$1:$I$89,3,0)*0.475*44/12</f>
        <v>2.1047716447267952E-15</v>
      </c>
      <c r="AC122" s="22">
        <f t="shared" si="57"/>
        <v>50.200977413418435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562.65034799999978</v>
      </c>
      <c r="AK122" s="13">
        <f t="shared" si="89"/>
        <v>124.06888652393931</v>
      </c>
      <c r="AL122" s="20">
        <f t="shared" si="58"/>
        <v>1196.036000129194</v>
      </c>
      <c r="AM122" s="59">
        <f t="shared" si="59"/>
        <v>1489.3693334625273</v>
      </c>
      <c r="AN122" s="59">
        <f ca="1">AVERAGE(OFFSET($AM$3,0,0,'Données projet'!$E$10+1,1))-AVERAGE(OFFSET($H$3,0,0,'Données projet'!$E$10+1,1))</f>
        <v>778.88878506193896</v>
      </c>
      <c r="AO122" s="59">
        <f t="shared" si="90"/>
        <v>279.2078283764684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137.01197836106351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137.01197836106351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689</v>
      </c>
      <c r="O123" s="13">
        <f>N123*VLOOKUP('Données projet'!$B$9,Paramètres!$A$1:$I$89,3,0)*VLOOKUP('Données projet'!$B$9,Paramètres!$A$1:$I$89,5,0)</f>
        <v>412.02199999999999</v>
      </c>
      <c r="P123" s="13">
        <f t="shared" si="87"/>
        <v>94.209724877926391</v>
      </c>
      <c r="Q123" s="20">
        <f t="shared" si="107"/>
        <v>881.686920829055</v>
      </c>
      <c r="R123" s="59">
        <f t="shared" si="55"/>
        <v>1175.0202541623883</v>
      </c>
      <c r="S123" s="59">
        <f ca="1">AVERAGE(OFFSET($R$3,0,0,'Données projet'!$E$9+1,1))-AVERAGE(OFFSET($H$3,0,0,'Données projet'!$E$9+1,1))</f>
        <v>504.81063008331739</v>
      </c>
      <c r="T123" s="59">
        <f t="shared" si="88"/>
        <v>441.82647565372287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44.322222487191638</v>
      </c>
      <c r="AA123" s="21">
        <f>EXP(-LN(2)/25)*AA122+(1-EXP(-LN(2)/25))/(LN(2)/25)*Calculateur!V123*Calculateur!X123*VLOOKUP('Données projet'!$B$9,Paramètres!$A$1:$I$89,3,0)*0.475*44/12</f>
        <v>4.8557261014529214</v>
      </c>
      <c r="AB123" s="21">
        <f>EXP(-LN(2)/2)*AB122+(1-EXP(-LN(2)/2))/(LN(2)/2)*V123*Y123*VLOOKUP('Données projet'!$B$9,Paramètres!$A$1:$I$89,3,0)*0.475*44/12</f>
        <v>1.4882983028354797E-15</v>
      </c>
      <c r="AC123" s="22">
        <f t="shared" si="57"/>
        <v>49.177948588644561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572.90999999999985</v>
      </c>
      <c r="AK123" s="13">
        <f t="shared" si="89"/>
        <v>126.06577859216152</v>
      </c>
      <c r="AL123" s="20">
        <f t="shared" si="58"/>
        <v>1217.3828143813478</v>
      </c>
      <c r="AM123" s="59">
        <f t="shared" si="59"/>
        <v>1510.716147714681</v>
      </c>
      <c r="AN123" s="59">
        <f ca="1">AVERAGE(OFFSET($AM$3,0,0,'Données projet'!$E$10+1,1))-AVERAGE(OFFSET($H$3,0,0,'Données projet'!$E$10+1,1))</f>
        <v>778.88878506193896</v>
      </c>
      <c r="AO123" s="59">
        <f t="shared" si="90"/>
        <v>279.2078283764684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163.46741203714214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163.46741203714214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689</v>
      </c>
      <c r="O124" s="13">
        <f>N124*VLOOKUP('Données projet'!$B$9,Paramètres!$A$1:$I$89,3,0)*VLOOKUP('Données projet'!$B$9,Paramètres!$A$1:$I$89,5,0)</f>
        <v>412.02199999999999</v>
      </c>
      <c r="P124" s="13">
        <f t="shared" si="87"/>
        <v>94.209724877926391</v>
      </c>
      <c r="Q124" s="20">
        <f t="shared" si="107"/>
        <v>881.686920829055</v>
      </c>
      <c r="R124" s="59">
        <f t="shared" si="55"/>
        <v>1175.0202541623883</v>
      </c>
      <c r="S124" s="59">
        <f ca="1">AVERAGE(OFFSET($R$3,0,0,'Données projet'!$E$9+1,1))-AVERAGE(OFFSET($H$3,0,0,'Données projet'!$E$9+1,1))</f>
        <v>504.81063008331739</v>
      </c>
      <c r="T124" s="59">
        <f t="shared" si="88"/>
        <v>441.82647565372287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43.453090738104152</v>
      </c>
      <c r="AA124" s="21">
        <f>EXP(-LN(2)/25)*AA123+(1-EXP(-LN(2)/25))/(LN(2)/25)*Calculateur!V124*Calculateur!X124*VLOOKUP('Données projet'!$B$9,Paramètres!$A$1:$I$89,3,0)*0.475*44/12</f>
        <v>4.7229460158571532</v>
      </c>
      <c r="AB124" s="21">
        <f>EXP(-LN(2)/2)*AB123+(1-EXP(-LN(2)/2))/(LN(2)/2)*V124*Y124*VLOOKUP('Données projet'!$B$9,Paramètres!$A$1:$I$89,3,0)*0.475*44/12</f>
        <v>1.0523858223633976E-15</v>
      </c>
      <c r="AC124" s="22">
        <f t="shared" si="57"/>
        <v>48.176036753961306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521.93317799999977</v>
      </c>
      <c r="AK124" s="13">
        <f t="shared" si="89"/>
        <v>116.10116956856342</v>
      </c>
      <c r="AL124" s="20">
        <f t="shared" si="58"/>
        <v>1111.2431553485806</v>
      </c>
      <c r="AM124" s="59">
        <f t="shared" si="59"/>
        <v>1404.5764886819138</v>
      </c>
      <c r="AN124" s="59">
        <f ca="1">AVERAGE(OFFSET($AM$3,0,0,'Données projet'!$E$10+1,1))-AVERAGE(OFFSET($H$3,0,0,'Données projet'!$E$10+1,1))</f>
        <v>778.88878506193896</v>
      </c>
      <c r="AO124" s="59">
        <f t="shared" si="90"/>
        <v>279.2078283764684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160.26191579237005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160.26191579237005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689</v>
      </c>
      <c r="O125" s="13">
        <f>N125*VLOOKUP('Données projet'!$B$9,Paramètres!$A$1:$I$89,3,0)*VLOOKUP('Données projet'!$B$9,Paramètres!$A$1:$I$89,5,0)</f>
        <v>412.02199999999999</v>
      </c>
      <c r="P125" s="13">
        <f t="shared" si="87"/>
        <v>94.209724877926391</v>
      </c>
      <c r="Q125" s="20">
        <f t="shared" si="107"/>
        <v>881.686920829055</v>
      </c>
      <c r="R125" s="59">
        <f t="shared" si="55"/>
        <v>1175.0202541623883</v>
      </c>
      <c r="S125" s="59">
        <f ca="1">AVERAGE(OFFSET($R$3,0,0,'Données projet'!$E$9+1,1))-AVERAGE(OFFSET($H$3,0,0,'Données projet'!$E$9+1,1))</f>
        <v>504.81063008331739</v>
      </c>
      <c r="T125" s="59">
        <f t="shared" si="88"/>
        <v>441.82647565372287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42.601002132498252</v>
      </c>
      <c r="AA125" s="21">
        <f>EXP(-LN(2)/25)*AA124+(1-EXP(-LN(2)/25))/(LN(2)/25)*Calculateur!V125*Calculateur!X125*VLOOKUP('Données projet'!$B$9,Paramètres!$A$1:$I$89,3,0)*0.475*44/12</f>
        <v>4.5937968086846031</v>
      </c>
      <c r="AB125" s="21">
        <f>EXP(-LN(2)/2)*AB124+(1-EXP(-LN(2)/2))/(LN(2)/2)*V125*Y125*VLOOKUP('Données projet'!$B$9,Paramètres!$A$1:$I$89,3,0)*0.475*44/12</f>
        <v>7.4414915141773986E-16</v>
      </c>
      <c r="AC125" s="22">
        <f t="shared" si="57"/>
        <v>47.194798941182853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532.26279599999987</v>
      </c>
      <c r="AK125" s="13">
        <f t="shared" si="89"/>
        <v>118.12915477357124</v>
      </c>
      <c r="AL125" s="20">
        <f t="shared" si="58"/>
        <v>1132.7659809306363</v>
      </c>
      <c r="AM125" s="59">
        <f t="shared" si="59"/>
        <v>1426.0993142639695</v>
      </c>
      <c r="AN125" s="59">
        <f ca="1">AVERAGE(OFFSET($AM$3,0,0,'Données projet'!$E$10+1,1))-AVERAGE(OFFSET($H$3,0,0,'Données projet'!$E$10+1,1))</f>
        <v>778.88878506193896</v>
      </c>
      <c r="AO125" s="59">
        <f t="shared" si="90"/>
        <v>279.2078283764684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157.11927737379827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157.11927737379827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689</v>
      </c>
      <c r="O126" s="13">
        <f>N126*VLOOKUP('Données projet'!$B$9,Paramètres!$A$1:$I$89,3,0)*VLOOKUP('Données projet'!$B$9,Paramètres!$A$1:$I$89,5,0)</f>
        <v>412.02199999999999</v>
      </c>
      <c r="P126" s="13">
        <f t="shared" si="87"/>
        <v>94.209724877926391</v>
      </c>
      <c r="Q126" s="20">
        <f t="shared" si="107"/>
        <v>881.686920829055</v>
      </c>
      <c r="R126" s="59">
        <f t="shared" si="55"/>
        <v>1175.0202541623883</v>
      </c>
      <c r="S126" s="59">
        <f ca="1">AVERAGE(OFFSET($R$3,0,0,'Données projet'!$E$9+1,1))-AVERAGE(OFFSET($H$3,0,0,'Données projet'!$E$9+1,1))</f>
        <v>504.81063008331739</v>
      </c>
      <c r="T126" s="59">
        <f t="shared" si="88"/>
        <v>441.82647565372287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41.765622464725553</v>
      </c>
      <c r="AA126" s="21">
        <f>EXP(-LN(2)/25)*AA125+(1-EXP(-LN(2)/25))/(LN(2)/25)*Calculateur!V126*Calculateur!X126*VLOOKUP('Données projet'!$B$9,Paramètres!$A$1:$I$89,3,0)*0.475*44/12</f>
        <v>4.4681791933738477</v>
      </c>
      <c r="AB126" s="21">
        <f>EXP(-LN(2)/2)*AB125+(1-EXP(-LN(2)/2))/(LN(2)/2)*V126*Y126*VLOOKUP('Données projet'!$B$9,Paramètres!$A$1:$I$89,3,0)*0.475*44/12</f>
        <v>5.2619291118169879E-16</v>
      </c>
      <c r="AC126" s="22">
        <f t="shared" si="57"/>
        <v>46.233801658099402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542.59241399999985</v>
      </c>
      <c r="AK126" s="13">
        <f t="shared" si="89"/>
        <v>120.15256368060827</v>
      </c>
      <c r="AL126" s="20">
        <f t="shared" si="58"/>
        <v>1154.280836127059</v>
      </c>
      <c r="AM126" s="59">
        <f t="shared" si="59"/>
        <v>1447.6141694603923</v>
      </c>
      <c r="AN126" s="59">
        <f ca="1">AVERAGE(OFFSET($AM$3,0,0,'Données projet'!$E$10+1,1))-AVERAGE(OFFSET($H$3,0,0,'Données projet'!$E$10+1,1))</f>
        <v>778.88878506193896</v>
      </c>
      <c r="AO126" s="59">
        <f t="shared" si="90"/>
        <v>279.2078283764684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154.03826417779453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154.03826417779453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689</v>
      </c>
      <c r="O127" s="13">
        <f>N127*VLOOKUP('Données projet'!$B$9,Paramètres!$A$1:$I$89,3,0)*VLOOKUP('Données projet'!$B$9,Paramètres!$A$1:$I$89,5,0)</f>
        <v>412.02199999999999</v>
      </c>
      <c r="P127" s="13">
        <f t="shared" si="87"/>
        <v>94.209724877926391</v>
      </c>
      <c r="Q127" s="20">
        <f t="shared" si="107"/>
        <v>881.686920829055</v>
      </c>
      <c r="R127" s="59">
        <f t="shared" si="55"/>
        <v>1175.0202541623883</v>
      </c>
      <c r="S127" s="59">
        <f ca="1">AVERAGE(OFFSET($R$3,0,0,'Données projet'!$E$9+1,1))-AVERAGE(OFFSET($H$3,0,0,'Données projet'!$E$9+1,1))</f>
        <v>504.81063008331739</v>
      </c>
      <c r="T127" s="59">
        <f t="shared" si="88"/>
        <v>441.82647565372287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40.946624082706592</v>
      </c>
      <c r="AA127" s="21">
        <f>EXP(-LN(2)/25)*AA126+(1-EXP(-LN(2)/25))/(LN(2)/25)*Calculateur!V127*Calculateur!X127*VLOOKUP('Données projet'!$B$9,Paramètres!$A$1:$I$89,3,0)*0.475*44/12</f>
        <v>4.345996598359708</v>
      </c>
      <c r="AB127" s="21">
        <f>EXP(-LN(2)/2)*AB126+(1-EXP(-LN(2)/2))/(LN(2)/2)*V127*Y127*VLOOKUP('Données projet'!$B$9,Paramètres!$A$1:$I$89,3,0)*0.475*44/12</f>
        <v>3.7207457570886993E-16</v>
      </c>
      <c r="AC127" s="22">
        <f t="shared" si="57"/>
        <v>45.292620681066296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552.92203199999983</v>
      </c>
      <c r="AK127" s="13">
        <f t="shared" si="89"/>
        <v>122.17149345615866</v>
      </c>
      <c r="AL127" s="20">
        <f t="shared" si="58"/>
        <v>1175.787890169476</v>
      </c>
      <c r="AM127" s="59">
        <f t="shared" si="59"/>
        <v>1469.1212235028092</v>
      </c>
      <c r="AN127" s="59">
        <f ca="1">AVERAGE(OFFSET($AM$3,0,0,'Données projet'!$E$10+1,1))-AVERAGE(OFFSET($H$3,0,0,'Données projet'!$E$10+1,1))</f>
        <v>778.88878506193896</v>
      </c>
      <c r="AO127" s="59">
        <f t="shared" si="90"/>
        <v>279.2078283764684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151.01766777133193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151.01766777133193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689</v>
      </c>
      <c r="O128" s="13">
        <f>N128*VLOOKUP('Données projet'!$B$9,Paramètres!$A$1:$I$89,3,0)*VLOOKUP('Données projet'!$B$9,Paramètres!$A$1:$I$89,5,0)</f>
        <v>412.02199999999999</v>
      </c>
      <c r="P128" s="13">
        <f t="shared" si="87"/>
        <v>94.209724877926391</v>
      </c>
      <c r="Q128" s="20">
        <f t="shared" si="107"/>
        <v>881.686920829055</v>
      </c>
      <c r="R128" s="59">
        <f t="shared" si="55"/>
        <v>1175.0202541623883</v>
      </c>
      <c r="S128" s="59">
        <f ca="1">AVERAGE(OFFSET($R$3,0,0,'Données projet'!$E$9+1,1))-AVERAGE(OFFSET($H$3,0,0,'Données projet'!$E$9+1,1))</f>
        <v>504.81063008331739</v>
      </c>
      <c r="T128" s="59">
        <f t="shared" si="88"/>
        <v>441.82647565372287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40.143685759419334</v>
      </c>
      <c r="AA128" s="21">
        <f>EXP(-LN(2)/25)*AA127+(1-EXP(-LN(2)/25))/(LN(2)/25)*Calculateur!V128*Calculateur!X128*VLOOKUP('Données projet'!$B$9,Paramètres!$A$1:$I$89,3,0)*0.475*44/12</f>
        <v>4.2271550928315333</v>
      </c>
      <c r="AB128" s="21">
        <f>EXP(-LN(2)/2)*AB127+(1-EXP(-LN(2)/2))/(LN(2)/2)*V128*Y128*VLOOKUP('Données projet'!$B$9,Paramètres!$A$1:$I$89,3,0)*0.475*44/12</f>
        <v>2.630964555908494E-16</v>
      </c>
      <c r="AC128" s="22">
        <f t="shared" si="57"/>
        <v>44.370840852250865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563.25164999999981</v>
      </c>
      <c r="AK128" s="13">
        <f t="shared" si="89"/>
        <v>124.18603742841287</v>
      </c>
      <c r="AL128" s="20">
        <f t="shared" si="58"/>
        <v>1197.2873056044853</v>
      </c>
      <c r="AM128" s="59">
        <f t="shared" si="59"/>
        <v>1490.6206389378185</v>
      </c>
      <c r="AN128" s="59">
        <f ca="1">AVERAGE(OFFSET($AM$3,0,0,'Données projet'!$E$10+1,1))-AVERAGE(OFFSET($H$3,0,0,'Données projet'!$E$10+1,1))</f>
        <v>778.88878506193896</v>
      </c>
      <c r="AO128" s="59">
        <f t="shared" si="90"/>
        <v>279.2078283764684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148.05630341801819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148.05630341801819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689</v>
      </c>
      <c r="O129" s="13">
        <f>N129*VLOOKUP('Données projet'!$B$9,Paramètres!$A$1:$I$89,3,0)*VLOOKUP('Données projet'!$B$9,Paramètres!$A$1:$I$89,5,0)</f>
        <v>412.02199999999999</v>
      </c>
      <c r="P129" s="13">
        <f t="shared" si="87"/>
        <v>94.209724877926391</v>
      </c>
      <c r="Q129" s="20">
        <f t="shared" si="107"/>
        <v>881.686920829055</v>
      </c>
      <c r="R129" s="59">
        <f t="shared" si="55"/>
        <v>1175.0202541623883</v>
      </c>
      <c r="S129" s="59">
        <f ca="1">AVERAGE(OFFSET($R$3,0,0,'Données projet'!$E$9+1,1))-AVERAGE(OFFSET($H$3,0,0,'Données projet'!$E$9+1,1))</f>
        <v>504.81063008331739</v>
      </c>
      <c r="T129" s="59">
        <f t="shared" si="88"/>
        <v>441.82647565372287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39.356492566907718</v>
      </c>
      <c r="AA129" s="21">
        <f>EXP(-LN(2)/25)*AA128+(1-EXP(-LN(2)/25))/(LN(2)/25)*Calculateur!V129*Calculateur!X129*VLOOKUP('Données projet'!$B$9,Paramètres!$A$1:$I$89,3,0)*0.475*44/12</f>
        <v>4.1115633145216304</v>
      </c>
      <c r="AB129" s="21">
        <f>EXP(-LN(2)/2)*AB128+(1-EXP(-LN(2)/2))/(LN(2)/2)*V129*Y129*VLOOKUP('Données projet'!$B$9,Paramètres!$A$1:$I$89,3,0)*0.475*44/12</f>
        <v>1.8603728785443497E-16</v>
      </c>
      <c r="AC129" s="22">
        <f t="shared" si="57"/>
        <v>43.468055881429351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573.5812679999998</v>
      </c>
      <c r="AK129" s="13">
        <f t="shared" si="89"/>
        <v>126.19628530645126</v>
      </c>
      <c r="AL129" s="20">
        <f t="shared" si="58"/>
        <v>1218.7792386754024</v>
      </c>
      <c r="AM129" s="59">
        <f t="shared" si="59"/>
        <v>1512.1125720087357</v>
      </c>
      <c r="AN129" s="59">
        <f ca="1">AVERAGE(OFFSET($AM$3,0,0,'Données projet'!$E$10+1,1))-AVERAGE(OFFSET($H$3,0,0,'Données projet'!$E$10+1,1))</f>
        <v>778.88878506193896</v>
      </c>
      <c r="AO129" s="59">
        <f t="shared" si="90"/>
        <v>279.2078283764684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145.15300961341902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145.15300961341902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689</v>
      </c>
      <c r="O130" s="13">
        <f>N130*VLOOKUP('Données projet'!$B$9,Paramètres!$A$1:$I$89,3,0)*VLOOKUP('Données projet'!$B$9,Paramètres!$A$1:$I$89,5,0)</f>
        <v>412.02199999999999</v>
      </c>
      <c r="P130" s="13">
        <f t="shared" si="87"/>
        <v>94.209724877926391</v>
      </c>
      <c r="Q130" s="20">
        <f t="shared" si="107"/>
        <v>881.686920829055</v>
      </c>
      <c r="R130" s="59">
        <f t="shared" si="55"/>
        <v>1175.0202541623883</v>
      </c>
      <c r="S130" s="59">
        <f ca="1">AVERAGE(OFFSET($R$3,0,0,'Données projet'!$E$9+1,1))-AVERAGE(OFFSET($H$3,0,0,'Données projet'!$E$9+1,1))</f>
        <v>504.81063008331739</v>
      </c>
      <c r="T130" s="59">
        <f t="shared" si="88"/>
        <v>441.82647565372287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38.584735752760821</v>
      </c>
      <c r="AA130" s="21">
        <f>EXP(-LN(2)/25)*AA129+(1-EXP(-LN(2)/25))/(LN(2)/25)*Calculateur!V130*Calculateur!X130*VLOOKUP('Données projet'!$B$9,Paramètres!$A$1:$I$89,3,0)*0.475*44/12</f>
        <v>3.9991323994683188</v>
      </c>
      <c r="AB130" s="21">
        <f>EXP(-LN(2)/2)*AB129+(1-EXP(-LN(2)/2))/(LN(2)/2)*V130*Y130*VLOOKUP('Données projet'!$B$9,Paramètres!$A$1:$I$89,3,0)*0.475*44/12</f>
        <v>1.315482277954247E-16</v>
      </c>
      <c r="AC130" s="22">
        <f t="shared" si="57"/>
        <v>42.583868152229137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583.91088599999989</v>
      </c>
      <c r="AK130" s="13">
        <f t="shared" si="89"/>
        <v>128.20232338319073</v>
      </c>
      <c r="AL130" s="20">
        <f t="shared" si="58"/>
        <v>1240.2638396757236</v>
      </c>
      <c r="AM130" s="59">
        <f t="shared" si="59"/>
        <v>1533.5971730090569</v>
      </c>
      <c r="AN130" s="59">
        <f ca="1">AVERAGE(OFFSET($AM$3,0,0,'Données projet'!$E$10+1,1))-AVERAGE(OFFSET($H$3,0,0,'Données projet'!$E$10+1,1))</f>
        <v>778.88878506193896</v>
      </c>
      <c r="AO130" s="59">
        <f t="shared" si="90"/>
        <v>279.2078283764684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142.30664762949368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142.30664762949368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689</v>
      </c>
      <c r="O131" s="13">
        <f>N131*VLOOKUP('Données projet'!$B$9,Paramètres!$A$1:$I$89,3,0)*VLOOKUP('Données projet'!$B$9,Paramètres!$A$1:$I$89,5,0)</f>
        <v>412.02199999999999</v>
      </c>
      <c r="P131" s="13">
        <f t="shared" si="87"/>
        <v>94.209724877926391</v>
      </c>
      <c r="Q131" s="20">
        <f t="shared" ref="Q131:Q153" si="108">(O131+P131)*0.475*44/12</f>
        <v>881.686920829055</v>
      </c>
      <c r="R131" s="59">
        <f t="shared" ref="R131:R194" si="109">Q131+(I131+J131)*44/12</f>
        <v>1175.0202541623883</v>
      </c>
      <c r="S131" s="59">
        <f ca="1">AVERAGE(OFFSET($R$3,0,0,'Données projet'!$E$9+1,1))-AVERAGE(OFFSET($H$3,0,0,'Données projet'!$E$9+1,1))</f>
        <v>504.81063008331739</v>
      </c>
      <c r="T131" s="59">
        <f t="shared" si="88"/>
        <v>441.82647565372287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37.828112619014163</v>
      </c>
      <c r="AA131" s="21">
        <f>EXP(-LN(2)/25)*AA130+(1-EXP(-LN(2)/25))/(LN(2)/25)*Calculateur!V131*Calculateur!X131*VLOOKUP('Données projet'!$B$9,Paramètres!$A$1:$I$89,3,0)*0.475*44/12</f>
        <v>3.8897759136996251</v>
      </c>
      <c r="AB131" s="21">
        <f>EXP(-LN(2)/2)*AB130+(1-EXP(-LN(2)/2))/(LN(2)/2)*V131*Y131*VLOOKUP('Données projet'!$B$9,Paramètres!$A$1:$I$89,3,0)*0.475*44/12</f>
        <v>9.3018643927217483E-17</v>
      </c>
      <c r="AC131" s="22">
        <f t="shared" si="57"/>
        <v>41.717888532713786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594.24050399999987</v>
      </c>
      <c r="AK131" s="13">
        <f t="shared" si="89"/>
        <v>130.20423472356461</v>
      </c>
      <c r="AL131" s="20">
        <f t="shared" si="58"/>
        <v>1261.7412532768747</v>
      </c>
      <c r="AM131" s="59">
        <f t="shared" si="59"/>
        <v>1555.0745866102079</v>
      </c>
      <c r="AN131" s="59">
        <f ca="1">AVERAGE(OFFSET($AM$3,0,0,'Données projet'!$E$10+1,1))-AVERAGE(OFFSET($H$3,0,0,'Données projet'!$E$10+1,1))</f>
        <v>778.88878506193896</v>
      </c>
      <c r="AO131" s="59">
        <f t="shared" si="90"/>
        <v>279.2078283764684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139.51610106796372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139.51610106796372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689</v>
      </c>
      <c r="O132" s="13">
        <f>N132*VLOOKUP('Données projet'!$B$9,Paramètres!$A$1:$I$89,3,0)*VLOOKUP('Données projet'!$B$9,Paramètres!$A$1:$I$89,5,0)</f>
        <v>412.02199999999999</v>
      </c>
      <c r="P132" s="13">
        <f t="shared" si="87"/>
        <v>94.209724877926391</v>
      </c>
      <c r="Q132" s="20">
        <f t="shared" si="108"/>
        <v>881.686920829055</v>
      </c>
      <c r="R132" s="59">
        <f t="shared" si="109"/>
        <v>1175.0202541623883</v>
      </c>
      <c r="S132" s="59">
        <f ca="1">AVERAGE(OFFSET($R$3,0,0,'Données projet'!$E$9+1,1))-AVERAGE(OFFSET($H$3,0,0,'Données projet'!$E$9+1,1))</f>
        <v>504.81063008331739</v>
      </c>
      <c r="T132" s="59">
        <f t="shared" si="88"/>
        <v>441.82647565372287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37.086326403425737</v>
      </c>
      <c r="AA132" s="21">
        <f>EXP(-LN(2)/25)*AA131+(1-EXP(-LN(2)/25))/(LN(2)/25)*Calculateur!V132*Calculateur!X132*VLOOKUP('Données projet'!$B$9,Paramètres!$A$1:$I$89,3,0)*0.475*44/12</f>
        <v>3.7834097867850836</v>
      </c>
      <c r="AB132" s="21">
        <f>EXP(-LN(2)/2)*AB131+(1-EXP(-LN(2)/2))/(LN(2)/2)*V132*Y132*VLOOKUP('Données projet'!$B$9,Paramètres!$A$1:$I$89,3,0)*0.475*44/12</f>
        <v>6.5774113897712349E-17</v>
      </c>
      <c r="AC132" s="22">
        <f t="shared" ref="AC132:AC153" si="111">SUM(Z132:AB132)</f>
        <v>40.869736190210823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604.57012199999986</v>
      </c>
      <c r="AK132" s="13">
        <f t="shared" si="89"/>
        <v>132.20209933924718</v>
      </c>
      <c r="AL132" s="20">
        <f t="shared" ref="AL132:AL153" si="112">(AJ132+AK132)*0.475*44/12</f>
        <v>1283.2116188325219</v>
      </c>
      <c r="AM132" s="59">
        <f t="shared" ref="AM132:AM195" si="113">AL132+(AD132+AE132)*44/12</f>
        <v>1576.5449521658552</v>
      </c>
      <c r="AN132" s="59">
        <f ca="1">AVERAGE(OFFSET($AM$3,0,0,'Données projet'!$E$10+1,1))-AVERAGE(OFFSET($H$3,0,0,'Données projet'!$E$10+1,1))</f>
        <v>778.88878506193896</v>
      </c>
      <c r="AO132" s="59">
        <f t="shared" si="90"/>
        <v>279.2078283764684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136.78027542244001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136.78027542244001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689</v>
      </c>
      <c r="O133" s="13">
        <f>N133*VLOOKUP('Données projet'!$B$9,Paramètres!$A$1:$I$89,3,0)*VLOOKUP('Données projet'!$B$9,Paramètres!$A$1:$I$89,5,0)</f>
        <v>412.02199999999999</v>
      </c>
      <c r="P133" s="13">
        <f t="shared" ref="P133:P196" si="141">EXP(-1.0587+0.8836*LN(O133)+0.284)</f>
        <v>94.209724877926391</v>
      </c>
      <c r="Q133" s="20">
        <f t="shared" si="108"/>
        <v>881.686920829055</v>
      </c>
      <c r="R133" s="59">
        <f t="shared" si="109"/>
        <v>1175.0202541623883</v>
      </c>
      <c r="S133" s="59">
        <f ca="1">AVERAGE(OFFSET($R$3,0,0,'Données projet'!$E$9+1,1))-AVERAGE(OFFSET($H$3,0,0,'Données projet'!$E$9+1,1))</f>
        <v>504.81063008331739</v>
      </c>
      <c r="T133" s="59">
        <f t="shared" ref="T133:T196" si="142">$T$3</f>
        <v>441.82647565372287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36.359086163080086</v>
      </c>
      <c r="AA133" s="21">
        <f>EXP(-LN(2)/25)*AA132+(1-EXP(-LN(2)/25))/(LN(2)/25)*Calculateur!V133*Calculateur!X133*VLOOKUP('Données projet'!$B$9,Paramètres!$A$1:$I$89,3,0)*0.475*44/12</f>
        <v>3.679952247204572</v>
      </c>
      <c r="AB133" s="21">
        <f>EXP(-LN(2)/2)*AB132+(1-EXP(-LN(2)/2))/(LN(2)/2)*V133*Y133*VLOOKUP('Données projet'!$B$9,Paramètres!$A$1:$I$89,3,0)*0.475*44/12</f>
        <v>4.6509321963608741E-17</v>
      </c>
      <c r="AC133" s="22">
        <f t="shared" si="111"/>
        <v>40.039038410284661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614.89973999999995</v>
      </c>
      <c r="AK133" s="13">
        <f t="shared" ref="AK133:AK153" si="143">EXP(-1.0587+0.8836*LN(AJ133)+0.284)</f>
        <v>134.19599435109939</v>
      </c>
      <c r="AL133" s="20">
        <f t="shared" si="112"/>
        <v>1304.6750706614978</v>
      </c>
      <c r="AM133" s="59">
        <f t="shared" si="113"/>
        <v>1598.008403994831</v>
      </c>
      <c r="AN133" s="59">
        <f ca="1">AVERAGE(OFFSET($AM$3,0,0,'Données projet'!$E$10+1,1))-AVERAGE(OFFSET($H$3,0,0,'Données projet'!$E$10+1,1))</f>
        <v>778.88878506193896</v>
      </c>
      <c r="AO133" s="59">
        <f t="shared" ref="AO133:AO196" si="144">$AO$3</f>
        <v>279.2078283764684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167.35659409612921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167.35659409612921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689</v>
      </c>
      <c r="O134" s="13">
        <f>N134*VLOOKUP('Données projet'!$B$9,Paramètres!$A$1:$I$89,3,0)*VLOOKUP('Données projet'!$B$9,Paramètres!$A$1:$I$89,5,0)</f>
        <v>412.02199999999999</v>
      </c>
      <c r="P134" s="13">
        <f t="shared" si="141"/>
        <v>94.209724877926391</v>
      </c>
      <c r="Q134" s="20">
        <f t="shared" si="108"/>
        <v>881.686920829055</v>
      </c>
      <c r="R134" s="59">
        <f t="shared" si="109"/>
        <v>1175.0202541623883</v>
      </c>
      <c r="S134" s="59">
        <f ca="1">AVERAGE(OFFSET($R$3,0,0,'Données projet'!$E$9+1,1))-AVERAGE(OFFSET($H$3,0,0,'Données projet'!$E$9+1,1))</f>
        <v>504.81063008331739</v>
      </c>
      <c r="T134" s="59">
        <f t="shared" si="142"/>
        <v>441.82647565372287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35.64610666027486</v>
      </c>
      <c r="AA134" s="21">
        <f>EXP(-LN(2)/25)*AA133+(1-EXP(-LN(2)/25))/(LN(2)/25)*Calculateur!V134*Calculateur!X134*VLOOKUP('Données projet'!$B$9,Paramètres!$A$1:$I$89,3,0)*0.475*44/12</f>
        <v>3.5793237594844851</v>
      </c>
      <c r="AB134" s="21">
        <f>EXP(-LN(2)/2)*AB133+(1-EXP(-LN(2)/2))/(LN(2)/2)*V134*Y134*VLOOKUP('Données projet'!$B$9,Paramètres!$A$1:$I$89,3,0)*0.475*44/12</f>
        <v>3.2887056948856174E-17</v>
      </c>
      <c r="AC134" s="22">
        <f t="shared" si="111"/>
        <v>39.225430419759348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555.24003599999992</v>
      </c>
      <c r="AK134" s="13">
        <f t="shared" si="143"/>
        <v>122.62394290545762</v>
      </c>
      <c r="AL134" s="20">
        <f t="shared" si="112"/>
        <v>1180.6130965936718</v>
      </c>
      <c r="AM134" s="59">
        <f t="shared" si="113"/>
        <v>1473.9464299270051</v>
      </c>
      <c r="AN134" s="59">
        <f ca="1">AVERAGE(OFFSET($AM$3,0,0,'Données projet'!$E$10+1,1))-AVERAGE(OFFSET($H$3,0,0,'Données projet'!$E$10+1,1))</f>
        <v>778.88878506193896</v>
      </c>
      <c r="AO134" s="59">
        <f t="shared" si="144"/>
        <v>279.2078283764684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164.07483336334721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164.07483336334721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689</v>
      </c>
      <c r="O135" s="13">
        <f>N135*VLOOKUP('Données projet'!$B$9,Paramètres!$A$1:$I$89,3,0)*VLOOKUP('Données projet'!$B$9,Paramètres!$A$1:$I$89,5,0)</f>
        <v>412.02199999999999</v>
      </c>
      <c r="P135" s="13">
        <f t="shared" si="141"/>
        <v>94.209724877926391</v>
      </c>
      <c r="Q135" s="20">
        <f t="shared" si="108"/>
        <v>881.686920829055</v>
      </c>
      <c r="R135" s="59">
        <f t="shared" si="109"/>
        <v>1175.0202541623883</v>
      </c>
      <c r="S135" s="59">
        <f ca="1">AVERAGE(OFFSET($R$3,0,0,'Données projet'!$E$9+1,1))-AVERAGE(OFFSET($H$3,0,0,'Données projet'!$E$9+1,1))</f>
        <v>504.81063008331739</v>
      </c>
      <c r="T135" s="59">
        <f t="shared" si="142"/>
        <v>441.82647565372287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34.947108250645094</v>
      </c>
      <c r="AA135" s="21">
        <f>EXP(-LN(2)/25)*AA134+(1-EXP(-LN(2)/25))/(LN(2)/25)*Calculateur!V135*Calculateur!X135*VLOOKUP('Données projet'!$B$9,Paramètres!$A$1:$I$89,3,0)*0.475*44/12</f>
        <v>3.4814469630529259</v>
      </c>
      <c r="AB135" s="21">
        <f>EXP(-LN(2)/2)*AB134+(1-EXP(-LN(2)/2))/(LN(2)/2)*V135*Y135*VLOOKUP('Données projet'!$B$9,Paramètres!$A$1:$I$89,3,0)*0.475*44/12</f>
        <v>2.3254660981804371E-17</v>
      </c>
      <c r="AC135" s="22">
        <f t="shared" si="111"/>
        <v>38.428555213698019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565.54633199999978</v>
      </c>
      <c r="AK135" s="13">
        <f t="shared" si="143"/>
        <v>124.63297378351579</v>
      </c>
      <c r="AL135" s="20">
        <f t="shared" si="112"/>
        <v>1202.0622909062897</v>
      </c>
      <c r="AM135" s="59">
        <f t="shared" si="113"/>
        <v>1495.395624239623</v>
      </c>
      <c r="AN135" s="59">
        <f ca="1">AVERAGE(OFFSET($AM$3,0,0,'Données projet'!$E$10+1,1))-AVERAGE(OFFSET($H$3,0,0,'Données projet'!$E$10+1,1))</f>
        <v>778.88878506193896</v>
      </c>
      <c r="AO135" s="59">
        <f t="shared" si="144"/>
        <v>279.2078283764684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160.85742595685866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160.85742595685866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689</v>
      </c>
      <c r="O136" s="13">
        <f>N136*VLOOKUP('Données projet'!$B$9,Paramètres!$A$1:$I$89,3,0)*VLOOKUP('Données projet'!$B$9,Paramètres!$A$1:$I$89,5,0)</f>
        <v>412.02199999999999</v>
      </c>
      <c r="P136" s="13">
        <f t="shared" si="141"/>
        <v>94.209724877926391</v>
      </c>
      <c r="Q136" s="20">
        <f t="shared" si="108"/>
        <v>881.686920829055</v>
      </c>
      <c r="R136" s="59">
        <f t="shared" si="109"/>
        <v>1175.0202541623883</v>
      </c>
      <c r="S136" s="59">
        <f ca="1">AVERAGE(OFFSET($R$3,0,0,'Données projet'!$E$9+1,1))-AVERAGE(OFFSET($H$3,0,0,'Données projet'!$E$9+1,1))</f>
        <v>504.81063008331739</v>
      </c>
      <c r="T136" s="59">
        <f t="shared" si="142"/>
        <v>441.82647565372287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34.261816773481236</v>
      </c>
      <c r="AA136" s="21">
        <f>EXP(-LN(2)/25)*AA135+(1-EXP(-LN(2)/25))/(LN(2)/25)*Calculateur!V136*Calculateur!X136*VLOOKUP('Données projet'!$B$9,Paramètres!$A$1:$I$89,3,0)*0.475*44/12</f>
        <v>3.3862466127669046</v>
      </c>
      <c r="AB136" s="21">
        <f>EXP(-LN(2)/2)*AB135+(1-EXP(-LN(2)/2))/(LN(2)/2)*V136*Y136*VLOOKUP('Données projet'!$B$9,Paramètres!$A$1:$I$89,3,0)*0.475*44/12</f>
        <v>1.6443528474428087E-17</v>
      </c>
      <c r="AC136" s="22">
        <f t="shared" si="111"/>
        <v>37.64806338624814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575.85262799999987</v>
      </c>
      <c r="AK136" s="13">
        <f t="shared" si="143"/>
        <v>126.63774731614511</v>
      </c>
      <c r="AL136" s="20">
        <f t="shared" si="112"/>
        <v>1223.5040703422858</v>
      </c>
      <c r="AM136" s="59">
        <f t="shared" si="113"/>
        <v>1516.837403675619</v>
      </c>
      <c r="AN136" s="59">
        <f ca="1">AVERAGE(OFFSET($AM$3,0,0,'Données projet'!$E$10+1,1))-AVERAGE(OFFSET($H$3,0,0,'Données projet'!$E$10+1,1))</f>
        <v>778.88878506193896</v>
      </c>
      <c r="AO136" s="59">
        <f t="shared" si="144"/>
        <v>279.2078283764684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157.70310994718662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157.70310994718662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689</v>
      </c>
      <c r="O137" s="13">
        <f>N137*VLOOKUP('Données projet'!$B$9,Paramètres!$A$1:$I$89,3,0)*VLOOKUP('Données projet'!$B$9,Paramètres!$A$1:$I$89,5,0)</f>
        <v>412.02199999999999</v>
      </c>
      <c r="P137" s="13">
        <f t="shared" si="141"/>
        <v>94.209724877926391</v>
      </c>
      <c r="Q137" s="20">
        <f t="shared" si="108"/>
        <v>881.686920829055</v>
      </c>
      <c r="R137" s="59">
        <f t="shared" si="109"/>
        <v>1175.0202541623883</v>
      </c>
      <c r="S137" s="59">
        <f ca="1">AVERAGE(OFFSET($R$3,0,0,'Données projet'!$E$9+1,1))-AVERAGE(OFFSET($H$3,0,0,'Données projet'!$E$9+1,1))</f>
        <v>504.81063008331739</v>
      </c>
      <c r="T137" s="59">
        <f t="shared" si="142"/>
        <v>441.82647565372287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33.589963444198027</v>
      </c>
      <c r="AA137" s="21">
        <f>EXP(-LN(2)/25)*AA136+(1-EXP(-LN(2)/25))/(LN(2)/25)*Calculateur!V137*Calculateur!X137*VLOOKUP('Données projet'!$B$9,Paramètres!$A$1:$I$89,3,0)*0.475*44/12</f>
        <v>3.2936495210658236</v>
      </c>
      <c r="AB137" s="21">
        <f>EXP(-LN(2)/2)*AB136+(1-EXP(-LN(2)/2))/(LN(2)/2)*V137*Y137*VLOOKUP('Données projet'!$B$9,Paramètres!$A$1:$I$89,3,0)*0.475*44/12</f>
        <v>1.1627330490902185E-17</v>
      </c>
      <c r="AC137" s="22">
        <f t="shared" si="111"/>
        <v>36.88361296526385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586.15892399999984</v>
      </c>
      <c r="AK137" s="13">
        <f t="shared" si="143"/>
        <v>128.63834848876613</v>
      </c>
      <c r="AL137" s="20">
        <f t="shared" si="112"/>
        <v>1244.9385829179339</v>
      </c>
      <c r="AM137" s="59">
        <f t="shared" si="113"/>
        <v>1538.2719162512672</v>
      </c>
      <c r="AN137" s="59">
        <f ca="1">AVERAGE(OFFSET($AM$3,0,0,'Données projet'!$E$10+1,1))-AVERAGE(OFFSET($H$3,0,0,'Données projet'!$E$10+1,1))</f>
        <v>778.88878506193896</v>
      </c>
      <c r="AO137" s="59">
        <f t="shared" si="144"/>
        <v>279.2078283764684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154.61064815052146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154.61064815052146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689</v>
      </c>
      <c r="O138" s="13">
        <f>N138*VLOOKUP('Données projet'!$B$9,Paramètres!$A$1:$I$89,3,0)*VLOOKUP('Données projet'!$B$9,Paramètres!$A$1:$I$89,5,0)</f>
        <v>412.02199999999999</v>
      </c>
      <c r="P138" s="13">
        <f t="shared" si="141"/>
        <v>94.209724877926391</v>
      </c>
      <c r="Q138" s="20">
        <f t="shared" si="108"/>
        <v>881.686920829055</v>
      </c>
      <c r="R138" s="59">
        <f t="shared" si="109"/>
        <v>1175.0202541623883</v>
      </c>
      <c r="S138" s="59">
        <f ca="1">AVERAGE(OFFSET($R$3,0,0,'Données projet'!$E$9+1,1))-AVERAGE(OFFSET($H$3,0,0,'Données projet'!$E$9+1,1))</f>
        <v>504.81063008331739</v>
      </c>
      <c r="T138" s="59">
        <f t="shared" si="142"/>
        <v>441.82647565372287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32.931284748911999</v>
      </c>
      <c r="AA138" s="21">
        <f>EXP(-LN(2)/25)*AA137+(1-EXP(-LN(2)/25))/(LN(2)/25)*Calculateur!V138*Calculateur!X138*VLOOKUP('Données projet'!$B$9,Paramètres!$A$1:$I$89,3,0)*0.475*44/12</f>
        <v>3.2035845017067781</v>
      </c>
      <c r="AB138" s="21">
        <f>EXP(-LN(2)/2)*AB137+(1-EXP(-LN(2)/2))/(LN(2)/2)*V138*Y138*VLOOKUP('Données projet'!$B$9,Paramètres!$A$1:$I$89,3,0)*0.475*44/12</f>
        <v>8.2217642372140436E-18</v>
      </c>
      <c r="AC138" s="22">
        <f t="shared" si="111"/>
        <v>36.134869250618777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596.46521999999982</v>
      </c>
      <c r="AK138" s="13">
        <f t="shared" si="143"/>
        <v>130.63485912705485</v>
      </c>
      <c r="AL138" s="20">
        <f t="shared" si="112"/>
        <v>1266.3659711462867</v>
      </c>
      <c r="AM138" s="59">
        <f t="shared" si="113"/>
        <v>1559.69930447962</v>
      </c>
      <c r="AN138" s="59">
        <f ca="1">AVERAGE(OFFSET($AM$3,0,0,'Données projet'!$E$10+1,1))-AVERAGE(OFFSET($H$3,0,0,'Données projet'!$E$10+1,1))</f>
        <v>778.88878506193896</v>
      </c>
      <c r="AO138" s="59">
        <f t="shared" si="144"/>
        <v>279.2078283764684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151.57882764347343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151.57882764347343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689</v>
      </c>
      <c r="O139" s="13">
        <f>N139*VLOOKUP('Données projet'!$B$9,Paramètres!$A$1:$I$89,3,0)*VLOOKUP('Données projet'!$B$9,Paramètres!$A$1:$I$89,5,0)</f>
        <v>412.02199999999999</v>
      </c>
      <c r="P139" s="13">
        <f t="shared" si="141"/>
        <v>94.209724877926391</v>
      </c>
      <c r="Q139" s="20">
        <f t="shared" si="108"/>
        <v>881.686920829055</v>
      </c>
      <c r="R139" s="59">
        <f t="shared" si="109"/>
        <v>1175.0202541623883</v>
      </c>
      <c r="S139" s="59">
        <f ca="1">AVERAGE(OFFSET($R$3,0,0,'Données projet'!$E$9+1,1))-AVERAGE(OFFSET($H$3,0,0,'Données projet'!$E$9+1,1))</f>
        <v>504.81063008331739</v>
      </c>
      <c r="T139" s="59">
        <f t="shared" si="142"/>
        <v>441.82647565372287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32.285522341086192</v>
      </c>
      <c r="AA139" s="21">
        <f>EXP(-LN(2)/25)*AA138+(1-EXP(-LN(2)/25))/(LN(2)/25)*Calculateur!V139*Calculateur!X139*VLOOKUP('Données projet'!$B$9,Paramètres!$A$1:$I$89,3,0)*0.475*44/12</f>
        <v>3.1159823150384192</v>
      </c>
      <c r="AB139" s="21">
        <f>EXP(-LN(2)/2)*AB138+(1-EXP(-LN(2)/2))/(LN(2)/2)*V139*Y139*VLOOKUP('Données projet'!$B$9,Paramètres!$A$1:$I$89,3,0)*0.475*44/12</f>
        <v>5.8136652454510927E-18</v>
      </c>
      <c r="AC139" s="22">
        <f t="shared" si="111"/>
        <v>35.401504656124615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606.77151599999979</v>
      </c>
      <c r="AK139" s="13">
        <f t="shared" si="143"/>
        <v>132.6273580669513</v>
      </c>
      <c r="AL139" s="20">
        <f t="shared" si="112"/>
        <v>1287.7863723332732</v>
      </c>
      <c r="AM139" s="59">
        <f t="shared" si="113"/>
        <v>1581.1197056666065</v>
      </c>
      <c r="AN139" s="59">
        <f ca="1">AVERAGE(OFFSET($AM$3,0,0,'Données projet'!$E$10+1,1))-AVERAGE(OFFSET($H$3,0,0,'Données projet'!$E$10+1,1))</f>
        <v>778.88878506193896</v>
      </c>
      <c r="AO139" s="59">
        <f t="shared" si="144"/>
        <v>279.2078283764684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148.6064592873407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148.6064592873407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689</v>
      </c>
      <c r="O140" s="13">
        <f>N140*VLOOKUP('Données projet'!$B$9,Paramètres!$A$1:$I$89,3,0)*VLOOKUP('Données projet'!$B$9,Paramètres!$A$1:$I$89,5,0)</f>
        <v>412.02199999999999</v>
      </c>
      <c r="P140" s="13">
        <f t="shared" si="141"/>
        <v>94.209724877926391</v>
      </c>
      <c r="Q140" s="20">
        <f t="shared" si="108"/>
        <v>881.686920829055</v>
      </c>
      <c r="R140" s="59">
        <f t="shared" si="109"/>
        <v>1175.0202541623883</v>
      </c>
      <c r="S140" s="59">
        <f ca="1">AVERAGE(OFFSET($R$3,0,0,'Données projet'!$E$9+1,1))-AVERAGE(OFFSET($H$3,0,0,'Données projet'!$E$9+1,1))</f>
        <v>504.81063008331739</v>
      </c>
      <c r="T140" s="59">
        <f t="shared" si="142"/>
        <v>441.82647565372287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31.652422940201674</v>
      </c>
      <c r="AA140" s="21">
        <f>EXP(-LN(2)/25)*AA139+(1-EXP(-LN(2)/25))/(LN(2)/25)*Calculateur!V140*Calculateur!X140*VLOOKUP('Données projet'!$B$9,Paramètres!$A$1:$I$89,3,0)*0.475*44/12</f>
        <v>3.0307756147713052</v>
      </c>
      <c r="AB140" s="21">
        <f>EXP(-LN(2)/2)*AB139+(1-EXP(-LN(2)/2))/(LN(2)/2)*V140*Y140*VLOOKUP('Données projet'!$B$9,Paramètres!$A$1:$I$89,3,0)*0.475*44/12</f>
        <v>4.1108821186070218E-18</v>
      </c>
      <c r="AC140" s="22">
        <f t="shared" si="111"/>
        <v>34.683198554972982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617.07781199999977</v>
      </c>
      <c r="AK140" s="13">
        <f t="shared" si="143"/>
        <v>134.61592131279065</v>
      </c>
      <c r="AL140" s="20">
        <f t="shared" si="112"/>
        <v>1309.1999188531099</v>
      </c>
      <c r="AM140" s="59">
        <f t="shared" si="113"/>
        <v>1602.5332521864432</v>
      </c>
      <c r="AN140" s="59">
        <f ca="1">AVERAGE(OFFSET($AM$3,0,0,'Données projet'!$E$10+1,1))-AVERAGE(OFFSET($H$3,0,0,'Données projet'!$E$10+1,1))</f>
        <v>778.88878506193896</v>
      </c>
      <c r="AO140" s="59">
        <f t="shared" si="144"/>
        <v>279.2078283764684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145.69237726170607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145.69237726170607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689</v>
      </c>
      <c r="O141" s="13">
        <f>N141*VLOOKUP('Données projet'!$B$9,Paramètres!$A$1:$I$89,3,0)*VLOOKUP('Données projet'!$B$9,Paramètres!$A$1:$I$89,5,0)</f>
        <v>412.02199999999999</v>
      </c>
      <c r="P141" s="13">
        <f t="shared" si="141"/>
        <v>94.209724877926391</v>
      </c>
      <c r="Q141" s="20">
        <f t="shared" si="108"/>
        <v>881.686920829055</v>
      </c>
      <c r="R141" s="59">
        <f t="shared" si="109"/>
        <v>1175.0202541623883</v>
      </c>
      <c r="S141" s="59">
        <f ca="1">AVERAGE(OFFSET($R$3,0,0,'Données projet'!$E$9+1,1))-AVERAGE(OFFSET($H$3,0,0,'Données projet'!$E$9+1,1))</f>
        <v>504.81063008331739</v>
      </c>
      <c r="T141" s="59">
        <f t="shared" si="142"/>
        <v>441.82647565372287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31.031738232415996</v>
      </c>
      <c r="AA141" s="21">
        <f>EXP(-LN(2)/25)*AA140+(1-EXP(-LN(2)/25))/(LN(2)/25)*Calculateur!V141*Calculateur!X141*VLOOKUP('Données projet'!$B$9,Paramètres!$A$1:$I$89,3,0)*0.475*44/12</f>
        <v>2.9478988962038213</v>
      </c>
      <c r="AB141" s="21">
        <f>EXP(-LN(2)/2)*AB140+(1-EXP(-LN(2)/2))/(LN(2)/2)*V141*Y141*VLOOKUP('Données projet'!$B$9,Paramètres!$A$1:$I$89,3,0)*0.475*44/12</f>
        <v>2.9068326227255463E-18</v>
      </c>
      <c r="AC141" s="22">
        <f t="shared" si="111"/>
        <v>33.979637128619821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627.38410799999974</v>
      </c>
      <c r="AK141" s="13">
        <f t="shared" si="143"/>
        <v>136.60062218457074</v>
      </c>
      <c r="AL141" s="20">
        <f t="shared" si="112"/>
        <v>1330.6067384047935</v>
      </c>
      <c r="AM141" s="59">
        <f t="shared" si="113"/>
        <v>1623.9400717381268</v>
      </c>
      <c r="AN141" s="59">
        <f ca="1">AVERAGE(OFFSET($AM$3,0,0,'Données projet'!$E$10+1,1))-AVERAGE(OFFSET($H$3,0,0,'Données projet'!$E$10+1,1))</f>
        <v>778.88878506193896</v>
      </c>
      <c r="AO141" s="59">
        <f t="shared" si="144"/>
        <v>279.2078283764684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142.83543860717958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142.83543860717958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689</v>
      </c>
      <c r="O142" s="13">
        <f>N142*VLOOKUP('Données projet'!$B$9,Paramètres!$A$1:$I$89,3,0)*VLOOKUP('Données projet'!$B$9,Paramètres!$A$1:$I$89,5,0)</f>
        <v>412.02199999999999</v>
      </c>
      <c r="P142" s="13">
        <f t="shared" si="141"/>
        <v>94.209724877926391</v>
      </c>
      <c r="Q142" s="20">
        <f t="shared" si="108"/>
        <v>881.686920829055</v>
      </c>
      <c r="R142" s="59">
        <f t="shared" si="109"/>
        <v>1175.0202541623883</v>
      </c>
      <c r="S142" s="59">
        <f ca="1">AVERAGE(OFFSET($R$3,0,0,'Données projet'!$E$9+1,1))-AVERAGE(OFFSET($H$3,0,0,'Données projet'!$E$9+1,1))</f>
        <v>504.81063008331739</v>
      </c>
      <c r="T142" s="59">
        <f t="shared" si="142"/>
        <v>441.82647565372287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30.423224773169707</v>
      </c>
      <c r="AA142" s="21">
        <f>EXP(-LN(2)/25)*AA141+(1-EXP(-LN(2)/25))/(LN(2)/25)*Calculateur!V142*Calculateur!X142*VLOOKUP('Données projet'!$B$9,Paramètres!$A$1:$I$89,3,0)*0.475*44/12</f>
        <v>2.8672884458638626</v>
      </c>
      <c r="AB142" s="21">
        <f>EXP(-LN(2)/2)*AB141+(1-EXP(-LN(2)/2))/(LN(2)/2)*V142*Y142*VLOOKUP('Données projet'!$B$9,Paramètres!$A$1:$I$89,3,0)*0.475*44/12</f>
        <v>2.0554410593035109E-18</v>
      </c>
      <c r="AC142" s="22">
        <f t="shared" si="111"/>
        <v>33.290513219033571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637.69040399999983</v>
      </c>
      <c r="AK142" s="13">
        <f t="shared" si="143"/>
        <v>138.58153145526884</v>
      </c>
      <c r="AL142" s="20">
        <f t="shared" si="112"/>
        <v>1352.0069542512595</v>
      </c>
      <c r="AM142" s="59">
        <f t="shared" si="113"/>
        <v>1645.3402875845927</v>
      </c>
      <c r="AN142" s="59">
        <f ca="1">AVERAGE(OFFSET($AM$3,0,0,'Données projet'!$E$10+1,1))-AVERAGE(OFFSET($H$3,0,0,'Données projet'!$E$10+1,1))</f>
        <v>778.88878506193896</v>
      </c>
      <c r="AO142" s="59">
        <f t="shared" si="144"/>
        <v>279.2078283764684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140.03452277710787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140.03452277710787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689</v>
      </c>
      <c r="O143" s="13">
        <f>N143*VLOOKUP('Données projet'!$B$9,Paramètres!$A$1:$I$89,3,0)*VLOOKUP('Données projet'!$B$9,Paramètres!$A$1:$I$89,5,0)</f>
        <v>412.02199999999999</v>
      </c>
      <c r="P143" s="13">
        <f t="shared" si="141"/>
        <v>94.209724877926391</v>
      </c>
      <c r="Q143" s="20">
        <f t="shared" si="108"/>
        <v>881.686920829055</v>
      </c>
      <c r="R143" s="59">
        <f t="shared" si="109"/>
        <v>1175.0202541623883</v>
      </c>
      <c r="S143" s="59">
        <f ca="1">AVERAGE(OFFSET($R$3,0,0,'Données projet'!$E$9+1,1))-AVERAGE(OFFSET($H$3,0,0,'Données projet'!$E$9+1,1))</f>
        <v>504.81063008331739</v>
      </c>
      <c r="T143" s="59">
        <f t="shared" si="142"/>
        <v>441.82647565372287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29.826643891702673</v>
      </c>
      <c r="AA143" s="21">
        <f>EXP(-LN(2)/25)*AA142+(1-EXP(-LN(2)/25))/(LN(2)/25)*Calculateur!V143*Calculateur!X143*VLOOKUP('Données projet'!$B$9,Paramètres!$A$1:$I$89,3,0)*0.475*44/12</f>
        <v>2.7888822925275694</v>
      </c>
      <c r="AB143" s="21">
        <f>EXP(-LN(2)/2)*AB142+(1-EXP(-LN(2)/2))/(LN(2)/2)*V143*Y143*VLOOKUP('Données projet'!$B$9,Paramètres!$A$1:$I$89,3,0)*0.475*44/12</f>
        <v>1.4534163113627732E-18</v>
      </c>
      <c r="AC143" s="22">
        <f t="shared" si="111"/>
        <v>32.615526184230241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647.99669999999969</v>
      </c>
      <c r="AK143" s="13">
        <f t="shared" si="143"/>
        <v>140.55871747902816</v>
      </c>
      <c r="AL143" s="20">
        <f t="shared" si="112"/>
        <v>1373.40068544264</v>
      </c>
      <c r="AM143" s="59">
        <f t="shared" si="113"/>
        <v>1666.7340187759733</v>
      </c>
      <c r="AN143" s="59">
        <f ca="1">AVERAGE(OFFSET($AM$3,0,0,'Données projet'!$E$10+1,1))-AVERAGE(OFFSET($H$3,0,0,'Données projet'!$E$10+1,1))</f>
        <v>778.88878506193896</v>
      </c>
      <c r="AO143" s="59">
        <f t="shared" si="144"/>
        <v>279.2078283764684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170.03127994654108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170.03127994654108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689</v>
      </c>
      <c r="O144" s="13">
        <f>N144*VLOOKUP('Données projet'!$B$9,Paramètres!$A$1:$I$89,3,0)*VLOOKUP('Données projet'!$B$9,Paramètres!$A$1:$I$89,5,0)</f>
        <v>412.02199999999999</v>
      </c>
      <c r="P144" s="13">
        <f t="shared" si="141"/>
        <v>94.209724877926391</v>
      </c>
      <c r="Q144" s="20">
        <f t="shared" si="108"/>
        <v>881.686920829055</v>
      </c>
      <c r="R144" s="59">
        <f t="shared" si="109"/>
        <v>1175.0202541623883</v>
      </c>
      <c r="S144" s="59">
        <f ca="1">AVERAGE(OFFSET($R$3,0,0,'Données projet'!$E$9+1,1))-AVERAGE(OFFSET($H$3,0,0,'Données projet'!$E$9+1,1))</f>
        <v>504.81063008331739</v>
      </c>
      <c r="T144" s="59">
        <f t="shared" si="142"/>
        <v>441.82647565372287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29.241761597442803</v>
      </c>
      <c r="AA144" s="21">
        <f>EXP(-LN(2)/25)*AA143+(1-EXP(-LN(2)/25))/(LN(2)/25)*Calculateur!V144*Calculateur!X144*VLOOKUP('Données projet'!$B$9,Paramètres!$A$1:$I$89,3,0)*0.475*44/12</f>
        <v>2.7126201595774573</v>
      </c>
      <c r="AB144" s="21">
        <f>EXP(-LN(2)/2)*AB143+(1-EXP(-LN(2)/2))/(LN(2)/2)*V144*Y144*VLOOKUP('Données projet'!$B$9,Paramètres!$A$1:$I$89,3,0)*0.475*44/12</f>
        <v>1.0277205296517555E-18</v>
      </c>
      <c r="AC144" s="22">
        <f t="shared" si="111"/>
        <v>31.954381757020261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589.45949399999972</v>
      </c>
      <c r="AK144" s="13">
        <f t="shared" si="143"/>
        <v>129.27816829331232</v>
      </c>
      <c r="AL144" s="20">
        <f t="shared" si="112"/>
        <v>1251.8014284941851</v>
      </c>
      <c r="AM144" s="59">
        <f t="shared" si="113"/>
        <v>1545.1347618275183</v>
      </c>
      <c r="AN144" s="59">
        <f ca="1">AVERAGE(OFFSET($AM$3,0,0,'Données projet'!$E$10+1,1))-AVERAGE(OFFSET($H$3,0,0,'Données projet'!$E$10+1,1))</f>
        <v>778.88878506193896</v>
      </c>
      <c r="AO144" s="59">
        <f t="shared" si="144"/>
        <v>279.2078283764684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166.69707025562977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166.69707025562977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689</v>
      </c>
      <c r="O145" s="13">
        <f>N145*VLOOKUP('Données projet'!$B$9,Paramètres!$A$1:$I$89,3,0)*VLOOKUP('Données projet'!$B$9,Paramètres!$A$1:$I$89,5,0)</f>
        <v>412.02199999999999</v>
      </c>
      <c r="P145" s="13">
        <f t="shared" si="141"/>
        <v>94.209724877926391</v>
      </c>
      <c r="Q145" s="20">
        <f t="shared" si="108"/>
        <v>881.686920829055</v>
      </c>
      <c r="R145" s="59">
        <f t="shared" si="109"/>
        <v>1175.0202541623883</v>
      </c>
      <c r="S145" s="59">
        <f ca="1">AVERAGE(OFFSET($R$3,0,0,'Données projet'!$E$9+1,1))-AVERAGE(OFFSET($H$3,0,0,'Données projet'!$E$9+1,1))</f>
        <v>504.81063008331739</v>
      </c>
      <c r="T145" s="59">
        <f t="shared" si="142"/>
        <v>441.82647565372287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28.668348488230393</v>
      </c>
      <c r="AA145" s="21">
        <f>EXP(-LN(2)/25)*AA144+(1-EXP(-LN(2)/25))/(LN(2)/25)*Calculateur!V145*Calculateur!X145*VLOOKUP('Données projet'!$B$9,Paramètres!$A$1:$I$89,3,0)*0.475*44/12</f>
        <v>2.6384434186633174</v>
      </c>
      <c r="AB145" s="21">
        <f>EXP(-LN(2)/2)*AB144+(1-EXP(-LN(2)/2))/(LN(2)/2)*V145*Y145*VLOOKUP('Données projet'!$B$9,Paramètres!$A$1:$I$89,3,0)*0.475*44/12</f>
        <v>7.2670815568138658E-19</v>
      </c>
      <c r="AC145" s="22">
        <f t="shared" si="111"/>
        <v>31.306791906893711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599.80330799999979</v>
      </c>
      <c r="AK145" s="13">
        <f t="shared" si="143"/>
        <v>131.28064160976655</v>
      </c>
      <c r="AL145" s="20">
        <f t="shared" si="112"/>
        <v>1273.304545570343</v>
      </c>
      <c r="AM145" s="59">
        <f t="shared" si="113"/>
        <v>1566.6378789036762</v>
      </c>
      <c r="AN145" s="59">
        <f ca="1">AVERAGE(OFFSET($AM$3,0,0,'Données projet'!$E$10+1,1))-AVERAGE(OFFSET($H$3,0,0,'Données projet'!$E$10+1,1))</f>
        <v>778.88878506193896</v>
      </c>
      <c r="AO145" s="59">
        <f t="shared" si="144"/>
        <v>279.2078283764684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163.42824238309012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163.42824238309012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689</v>
      </c>
      <c r="O146" s="13">
        <f>N146*VLOOKUP('Données projet'!$B$9,Paramètres!$A$1:$I$89,3,0)*VLOOKUP('Données projet'!$B$9,Paramètres!$A$1:$I$89,5,0)</f>
        <v>412.02199999999999</v>
      </c>
      <c r="P146" s="13">
        <f t="shared" si="141"/>
        <v>94.209724877926391</v>
      </c>
      <c r="Q146" s="20">
        <f t="shared" si="108"/>
        <v>881.686920829055</v>
      </c>
      <c r="R146" s="59">
        <f t="shared" si="109"/>
        <v>1175.0202541623883</v>
      </c>
      <c r="S146" s="59">
        <f ca="1">AVERAGE(OFFSET($R$3,0,0,'Données projet'!$E$9+1,1))-AVERAGE(OFFSET($H$3,0,0,'Données projet'!$E$9+1,1))</f>
        <v>504.81063008331739</v>
      </c>
      <c r="T146" s="59">
        <f t="shared" si="142"/>
        <v>441.82647565372287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28.106179660342178</v>
      </c>
      <c r="AA146" s="21">
        <f>EXP(-LN(2)/25)*AA145+(1-EXP(-LN(2)/25))/(LN(2)/25)*Calculateur!V146*Calculateur!X146*VLOOKUP('Données projet'!$B$9,Paramètres!$A$1:$I$89,3,0)*0.475*44/12</f>
        <v>2.5662950446302597</v>
      </c>
      <c r="AB146" s="21">
        <f>EXP(-LN(2)/2)*AB145+(1-EXP(-LN(2)/2))/(LN(2)/2)*V146*Y146*VLOOKUP('Données projet'!$B$9,Paramètres!$A$1:$I$89,3,0)*0.475*44/12</f>
        <v>5.1386026482587773E-19</v>
      </c>
      <c r="AC146" s="22">
        <f t="shared" si="111"/>
        <v>30.672474704972437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610.14712199999974</v>
      </c>
      <c r="AK146" s="13">
        <f t="shared" si="143"/>
        <v>133.27909906678104</v>
      </c>
      <c r="AL146" s="20">
        <f t="shared" si="112"/>
        <v>1294.8006683579763</v>
      </c>
      <c r="AM146" s="59">
        <f t="shared" si="113"/>
        <v>1588.1340016913095</v>
      </c>
      <c r="AN146" s="59">
        <f ca="1">AVERAGE(OFFSET($AM$3,0,0,'Données projet'!$E$10+1,1))-AVERAGE(OFFSET($H$3,0,0,'Données projet'!$E$10+1,1))</f>
        <v>778.88878506193896</v>
      </c>
      <c r="AO146" s="59">
        <f t="shared" si="144"/>
        <v>279.2078283764684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160.22351423134285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160.22351423134285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689</v>
      </c>
      <c r="O147" s="13">
        <f>N147*VLOOKUP('Données projet'!$B$9,Paramètres!$A$1:$I$89,3,0)*VLOOKUP('Données projet'!$B$9,Paramètres!$A$1:$I$89,5,0)</f>
        <v>412.02199999999999</v>
      </c>
      <c r="P147" s="13">
        <f t="shared" si="141"/>
        <v>94.209724877926391</v>
      </c>
      <c r="Q147" s="20">
        <f t="shared" si="108"/>
        <v>881.686920829055</v>
      </c>
      <c r="R147" s="59">
        <f t="shared" si="109"/>
        <v>1175.0202541623883</v>
      </c>
      <c r="S147" s="59">
        <f ca="1">AVERAGE(OFFSET($R$3,0,0,'Données projet'!$E$9+1,1))-AVERAGE(OFFSET($H$3,0,0,'Données projet'!$E$9+1,1))</f>
        <v>504.81063008331739</v>
      </c>
      <c r="T147" s="59">
        <f t="shared" si="142"/>
        <v>441.82647565372287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27.555034620279724</v>
      </c>
      <c r="AA147" s="21">
        <f>EXP(-LN(2)/25)*AA146+(1-EXP(-LN(2)/25))/(LN(2)/25)*Calculateur!V147*Calculateur!X147*VLOOKUP('Données projet'!$B$9,Paramètres!$A$1:$I$89,3,0)*0.475*44/12</f>
        <v>2.4961195716792544</v>
      </c>
      <c r="AB147" s="21">
        <f>EXP(-LN(2)/2)*AB146+(1-EXP(-LN(2)/2))/(LN(2)/2)*V147*Y147*VLOOKUP('Données projet'!$B$9,Paramètres!$A$1:$I$89,3,0)*0.475*44/12</f>
        <v>3.6335407784069329E-19</v>
      </c>
      <c r="AC147" s="22">
        <f t="shared" si="111"/>
        <v>30.051154191958979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620.49093599999981</v>
      </c>
      <c r="AK147" s="13">
        <f t="shared" si="143"/>
        <v>135.27361660214774</v>
      </c>
      <c r="AL147" s="20">
        <f t="shared" si="112"/>
        <v>1316.2899291154069</v>
      </c>
      <c r="AM147" s="59">
        <f t="shared" si="113"/>
        <v>1609.6232624487402</v>
      </c>
      <c r="AN147" s="59">
        <f ca="1">AVERAGE(OFFSET($AM$3,0,0,'Données projet'!$E$10+1,1))-AVERAGE(OFFSET($H$3,0,0,'Données projet'!$E$10+1,1))</f>
        <v>778.88878506193896</v>
      </c>
      <c r="AO147" s="59">
        <f t="shared" si="144"/>
        <v>279.2078283764684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157.08162884396017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157.08162884396017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689</v>
      </c>
      <c r="O148" s="13">
        <f>N148*VLOOKUP('Données projet'!$B$9,Paramètres!$A$1:$I$89,3,0)*VLOOKUP('Données projet'!$B$9,Paramètres!$A$1:$I$89,5,0)</f>
        <v>412.02199999999999</v>
      </c>
      <c r="P148" s="13">
        <f t="shared" si="141"/>
        <v>94.209724877926391</v>
      </c>
      <c r="Q148" s="20">
        <f t="shared" si="108"/>
        <v>881.686920829055</v>
      </c>
      <c r="R148" s="59">
        <f t="shared" si="109"/>
        <v>1175.0202541623883</v>
      </c>
      <c r="S148" s="59">
        <f ca="1">AVERAGE(OFFSET($R$3,0,0,'Données projet'!$E$9+1,1))-AVERAGE(OFFSET($H$3,0,0,'Données projet'!$E$9+1,1))</f>
        <v>504.81063008331739</v>
      </c>
      <c r="T148" s="59">
        <f t="shared" si="142"/>
        <v>441.82647565372287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27.01469719828761</v>
      </c>
      <c r="AA148" s="21">
        <f>EXP(-LN(2)/25)*AA147+(1-EXP(-LN(2)/25))/(LN(2)/25)*Calculateur!V148*Calculateur!X148*VLOOKUP('Données projet'!$B$9,Paramètres!$A$1:$I$89,3,0)*0.475*44/12</f>
        <v>2.427863050726462</v>
      </c>
      <c r="AB148" s="21">
        <f>EXP(-LN(2)/2)*AB147+(1-EXP(-LN(2)/2))/(LN(2)/2)*V148*Y148*VLOOKUP('Données projet'!$B$9,Paramètres!$A$1:$I$89,3,0)*0.475*44/12</f>
        <v>2.5693013241293886E-19</v>
      </c>
      <c r="AC148" s="22">
        <f t="shared" si="111"/>
        <v>29.442560249014072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630.83474999999976</v>
      </c>
      <c r="AK148" s="13">
        <f t="shared" si="143"/>
        <v>137.26426747671056</v>
      </c>
      <c r="AL148" s="20">
        <f t="shared" si="112"/>
        <v>1337.7724554386036</v>
      </c>
      <c r="AM148" s="59">
        <f t="shared" si="113"/>
        <v>1631.1057887719369</v>
      </c>
      <c r="AN148" s="59">
        <f ca="1">AVERAGE(OFFSET($AM$3,0,0,'Données projet'!$E$10+1,1))-AVERAGE(OFFSET($H$3,0,0,'Données projet'!$E$10+1,1))</f>
        <v>778.88878506193896</v>
      </c>
      <c r="AO148" s="59">
        <f t="shared" si="144"/>
        <v>279.2078283764684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154.00135391266323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154.00135391266323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689</v>
      </c>
      <c r="O149" s="13">
        <f>N149*VLOOKUP('Données projet'!$B$9,Paramètres!$A$1:$I$89,3,0)*VLOOKUP('Données projet'!$B$9,Paramètres!$A$1:$I$89,5,0)</f>
        <v>412.02199999999999</v>
      </c>
      <c r="P149" s="13">
        <f t="shared" si="141"/>
        <v>94.209724877926391</v>
      </c>
      <c r="Q149" s="20">
        <f t="shared" si="108"/>
        <v>881.686920829055</v>
      </c>
      <c r="R149" s="59">
        <f t="shared" si="109"/>
        <v>1175.0202541623883</v>
      </c>
      <c r="S149" s="59">
        <f ca="1">AVERAGE(OFFSET($R$3,0,0,'Données projet'!$E$9+1,1))-AVERAGE(OFFSET($H$3,0,0,'Données projet'!$E$9+1,1))</f>
        <v>504.81063008331739</v>
      </c>
      <c r="T149" s="59">
        <f t="shared" si="142"/>
        <v>441.82647565372287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26.484955463567481</v>
      </c>
      <c r="AA149" s="21">
        <f>EXP(-LN(2)/25)*AA148+(1-EXP(-LN(2)/25))/(LN(2)/25)*Calculateur!V149*Calculateur!X149*VLOOKUP('Données projet'!$B$9,Paramètres!$A$1:$I$89,3,0)*0.475*44/12</f>
        <v>2.3614730079285779</v>
      </c>
      <c r="AB149" s="21">
        <f>EXP(-LN(2)/2)*AB148+(1-EXP(-LN(2)/2))/(LN(2)/2)*V149*Y149*VLOOKUP('Données projet'!$B$9,Paramètres!$A$1:$I$89,3,0)*0.475*44/12</f>
        <v>1.8167703892034665E-19</v>
      </c>
      <c r="AC149" s="22">
        <f t="shared" si="111"/>
        <v>28.846428471496058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641.17856399999982</v>
      </c>
      <c r="AK149" s="13">
        <f t="shared" si="143"/>
        <v>139.25112241105182</v>
      </c>
      <c r="AL149" s="20">
        <f t="shared" si="112"/>
        <v>1359.248370499248</v>
      </c>
      <c r="AM149" s="59">
        <f t="shared" si="113"/>
        <v>1652.5817038325813</v>
      </c>
      <c r="AN149" s="59">
        <f ca="1">AVERAGE(OFFSET($AM$3,0,0,'Données projet'!$E$10+1,1))-AVERAGE(OFFSET($H$3,0,0,'Données projet'!$E$10+1,1))</f>
        <v>778.88878506193896</v>
      </c>
      <c r="AO149" s="59">
        <f t="shared" si="144"/>
        <v>279.2078283764684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150.98148129398683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150.98148129398683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689</v>
      </c>
      <c r="O150" s="13">
        <f>N150*VLOOKUP('Données projet'!$B$9,Paramètres!$A$1:$I$89,3,0)*VLOOKUP('Données projet'!$B$9,Paramètres!$A$1:$I$89,5,0)</f>
        <v>412.02199999999999</v>
      </c>
      <c r="P150" s="13">
        <f t="shared" si="141"/>
        <v>94.209724877926391</v>
      </c>
      <c r="Q150" s="20">
        <f t="shared" si="108"/>
        <v>881.686920829055</v>
      </c>
      <c r="R150" s="59">
        <f t="shared" si="109"/>
        <v>1175.0202541623883</v>
      </c>
      <c r="S150" s="59">
        <f ca="1">AVERAGE(OFFSET($R$3,0,0,'Données projet'!$E$9+1,1))-AVERAGE(OFFSET($H$3,0,0,'Données projet'!$E$9+1,1))</f>
        <v>504.81063008331739</v>
      </c>
      <c r="T150" s="59">
        <f t="shared" si="142"/>
        <v>441.82647565372287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25.965601641154656</v>
      </c>
      <c r="AA150" s="21">
        <f>EXP(-LN(2)/25)*AA149+(1-EXP(-LN(2)/25))/(LN(2)/25)*Calculateur!V150*Calculateur!X150*VLOOKUP('Données projet'!$B$9,Paramètres!$A$1:$I$89,3,0)*0.475*44/12</f>
        <v>2.2968984043423029</v>
      </c>
      <c r="AB150" s="21">
        <f>EXP(-LN(2)/2)*AB149+(1-EXP(-LN(2)/2))/(LN(2)/2)*V150*Y150*VLOOKUP('Données projet'!$B$9,Paramètres!$A$1:$I$89,3,0)*0.475*44/12</f>
        <v>1.2846506620646943E-19</v>
      </c>
      <c r="AC150" s="22">
        <f t="shared" si="111"/>
        <v>28.26250004549696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651.52237799999989</v>
      </c>
      <c r="AK150" s="13">
        <f t="shared" si="143"/>
        <v>141.23424971310573</v>
      </c>
      <c r="AL150" s="20">
        <f t="shared" si="112"/>
        <v>1380.7177932669922</v>
      </c>
      <c r="AM150" s="59">
        <f t="shared" si="113"/>
        <v>1674.0511266003255</v>
      </c>
      <c r="AN150" s="59">
        <f ca="1">AVERAGE(OFFSET($AM$3,0,0,'Données projet'!$E$10+1,1))-AVERAGE(OFFSET($H$3,0,0,'Données projet'!$E$10+1,1))</f>
        <v>778.88878506193896</v>
      </c>
      <c r="AO150" s="59">
        <f t="shared" si="144"/>
        <v>279.2078283764684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148.02082653542226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148.02082653542226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689</v>
      </c>
      <c r="O151" s="13">
        <f>N151*VLOOKUP('Données projet'!$B$9,Paramètres!$A$1:$I$89,3,0)*VLOOKUP('Données projet'!$B$9,Paramètres!$A$1:$I$89,5,0)</f>
        <v>412.02199999999999</v>
      </c>
      <c r="P151" s="13">
        <f t="shared" si="141"/>
        <v>94.209724877926391</v>
      </c>
      <c r="Q151" s="20">
        <f t="shared" si="108"/>
        <v>881.686920829055</v>
      </c>
      <c r="R151" s="59">
        <f t="shared" si="109"/>
        <v>1175.0202541623883</v>
      </c>
      <c r="S151" s="59">
        <f ca="1">AVERAGE(OFFSET($R$3,0,0,'Données projet'!$E$9+1,1))-AVERAGE(OFFSET($H$3,0,0,'Données projet'!$E$9+1,1))</f>
        <v>504.81063008331739</v>
      </c>
      <c r="T151" s="59">
        <f t="shared" si="142"/>
        <v>441.82647565372287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25.456432030424796</v>
      </c>
      <c r="AA151" s="21">
        <f>EXP(-LN(2)/25)*AA150+(1-EXP(-LN(2)/25))/(LN(2)/25)*Calculateur!V151*Calculateur!X151*VLOOKUP('Données projet'!$B$9,Paramètres!$A$1:$I$89,3,0)*0.475*44/12</f>
        <v>2.2340895966869252</v>
      </c>
      <c r="AB151" s="21">
        <f>EXP(-LN(2)/2)*AB150+(1-EXP(-LN(2)/2))/(LN(2)/2)*V151*Y151*VLOOKUP('Données projet'!$B$9,Paramètres!$A$1:$I$89,3,0)*0.475*44/12</f>
        <v>9.0838519460173323E-20</v>
      </c>
      <c r="AC151" s="22">
        <f t="shared" si="111"/>
        <v>27.690521627111721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661.86619199999984</v>
      </c>
      <c r="AK151" s="13">
        <f t="shared" si="143"/>
        <v>143.21371539743987</v>
      </c>
      <c r="AL151" s="20">
        <f t="shared" si="112"/>
        <v>1402.1808387172075</v>
      </c>
      <c r="AM151" s="59">
        <f t="shared" si="113"/>
        <v>1695.5141720505408</v>
      </c>
      <c r="AN151" s="59">
        <f ca="1">AVERAGE(OFFSET($AM$3,0,0,'Données projet'!$E$10+1,1))-AVERAGE(OFFSET($H$3,0,0,'Données projet'!$E$10+1,1))</f>
        <v>778.88878506193896</v>
      </c>
      <c r="AO151" s="59">
        <f t="shared" si="144"/>
        <v>279.2078283764684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145.11822841085203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145.11822841085203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689</v>
      </c>
      <c r="O152" s="13">
        <f>N152*VLOOKUP('Données projet'!$B$9,Paramètres!$A$1:$I$89,3,0)*VLOOKUP('Données projet'!$B$9,Paramètres!$A$1:$I$89,5,0)</f>
        <v>412.02199999999999</v>
      </c>
      <c r="P152" s="13">
        <f t="shared" si="141"/>
        <v>94.209724877926391</v>
      </c>
      <c r="Q152" s="20">
        <f t="shared" si="108"/>
        <v>881.686920829055</v>
      </c>
      <c r="R152" s="59">
        <f t="shared" si="109"/>
        <v>1175.0202541623883</v>
      </c>
      <c r="S152" s="59">
        <f ca="1">AVERAGE(OFFSET($R$3,0,0,'Données projet'!$E$9+1,1))-AVERAGE(OFFSET($H$3,0,0,'Données projet'!$E$9+1,1))</f>
        <v>504.81063008331739</v>
      </c>
      <c r="T152" s="59">
        <f t="shared" si="142"/>
        <v>441.82647565372287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24.95724692519855</v>
      </c>
      <c r="AA152" s="21">
        <f>EXP(-LN(2)/25)*AA151+(1-EXP(-LN(2)/25))/(LN(2)/25)*Calculateur!V152*Calculateur!X152*VLOOKUP('Données projet'!$B$9,Paramètres!$A$1:$I$89,3,0)*0.475*44/12</f>
        <v>2.1729982991798553</v>
      </c>
      <c r="AB152" s="21">
        <f>EXP(-LN(2)/2)*AB151+(1-EXP(-LN(2)/2))/(LN(2)/2)*V152*Y152*VLOOKUP('Données projet'!$B$9,Paramètres!$A$1:$I$89,3,0)*0.475*44/12</f>
        <v>6.4232533103234716E-20</v>
      </c>
      <c r="AC152" s="22">
        <f t="shared" si="111"/>
        <v>27.130245224378406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672.21000599999991</v>
      </c>
      <c r="AK152" s="13">
        <f t="shared" si="143"/>
        <v>145.18958329686751</v>
      </c>
      <c r="AL152" s="20">
        <f t="shared" si="112"/>
        <v>1423.6376180253774</v>
      </c>
      <c r="AM152" s="59">
        <f t="shared" si="113"/>
        <v>1716.9709513587106</v>
      </c>
      <c r="AN152" s="59">
        <f ca="1">AVERAGE(OFFSET($AM$3,0,0,'Données projet'!$E$10+1,1))-AVERAGE(OFFSET($H$3,0,0,'Données projet'!$E$10+1,1))</f>
        <v>778.88878506193896</v>
      </c>
      <c r="AO152" s="59">
        <f t="shared" si="144"/>
        <v>279.2078283764684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142.27254846509459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142.27254846509459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689</v>
      </c>
      <c r="O153" s="13">
        <f>N153*VLOOKUP('Données projet'!$B$9,Paramètres!$A$1:$I$89,3,0)*VLOOKUP('Données projet'!$B$9,Paramètres!$A$1:$I$89,5,0)</f>
        <v>412.02199999999999</v>
      </c>
      <c r="P153" s="13">
        <f t="shared" si="141"/>
        <v>94.209724877926391</v>
      </c>
      <c r="Q153" s="20">
        <f t="shared" si="108"/>
        <v>881.686920829055</v>
      </c>
      <c r="R153" s="59">
        <f t="shared" si="109"/>
        <v>1175.0202541623883</v>
      </c>
      <c r="S153" s="59">
        <f ca="1">AVERAGE(OFFSET($R$3,0,0,'Données projet'!$E$9+1,1))-AVERAGE(OFFSET($H$3,0,0,'Données projet'!$E$9+1,1))</f>
        <v>504.81063008331739</v>
      </c>
      <c r="T153" s="59">
        <f t="shared" si="142"/>
        <v>441.82647565372287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24.467850535412943</v>
      </c>
      <c r="AA153" s="21">
        <f>EXP(-LN(2)/25)*AA152+(1-EXP(-LN(2)/25))/(LN(2)/25)*Calculateur!V153*Calculateur!X153*VLOOKUP('Données projet'!$B$9,Paramètres!$A$1:$I$89,3,0)*0.475*44/12</f>
        <v>2.113577546415768</v>
      </c>
      <c r="AB153" s="21">
        <f>EXP(-LN(2)/2)*AB152+(1-EXP(-LN(2)/2))/(LN(2)/2)*V153*Y153*VLOOKUP('Données projet'!$B$9,Paramètres!$A$1:$I$89,3,0)*0.475*44/12</f>
        <v>4.5419259730086661E-20</v>
      </c>
      <c r="AC153" s="22">
        <f t="shared" si="111"/>
        <v>26.581428081828712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682.55381999999986</v>
      </c>
      <c r="AK153" s="13">
        <f t="shared" si="143"/>
        <v>147.16191516699467</v>
      </c>
      <c r="AL153" s="20">
        <f t="shared" si="112"/>
        <v>1445.0882387491822</v>
      </c>
      <c r="AM153" s="59">
        <f t="shared" si="113"/>
        <v>1738.4215720825155</v>
      </c>
      <c r="AN153" s="59">
        <f ca="1">AVERAGE(OFFSET($AM$3,0,0,'Données projet'!$E$10+1,1))-AVERAGE(OFFSET($H$3,0,0,'Données projet'!$E$10+1,1))</f>
        <v>778.88878506193896</v>
      </c>
      <c r="AO153" s="59">
        <f t="shared" si="144"/>
        <v>279.2078283764684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252.51817783961684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252.51817783961684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689</v>
      </c>
      <c r="O154" s="13">
        <f>N154*VLOOKUP('Données projet'!$B$9,Paramètres!$A$1:$I$89,3,0)*VLOOKUP('Données projet'!$B$9,Paramètres!$A$1:$I$89,5,0)</f>
        <v>412.02199999999999</v>
      </c>
      <c r="P154" s="13">
        <f t="shared" si="141"/>
        <v>94.209724877926391</v>
      </c>
      <c r="Q154" s="20">
        <f t="shared" ref="Q154:Q203" si="162">(O154+P154)*0.475*44/12</f>
        <v>881.686920829055</v>
      </c>
      <c r="R154" s="59">
        <f t="shared" si="109"/>
        <v>1175.0202541623883</v>
      </c>
      <c r="S154" s="59">
        <f ca="1">AVERAGE(OFFSET($R$3,0,0,'Données projet'!$E$9+1,1))-AVERAGE(OFFSET($H$3,0,0,'Données projet'!$E$9+1,1))</f>
        <v>504.81063008331739</v>
      </c>
      <c r="T154" s="59">
        <f t="shared" si="142"/>
        <v>441.82647565372287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23.988050910328706</v>
      </c>
      <c r="AA154" s="21">
        <f>EXP(-LN(2)/25)*AA153+(1-EXP(-LN(2)/25))/(LN(2)/25)*Calculateur!V154*Calculateur!X154*VLOOKUP('Données projet'!$B$9,Paramètres!$A$1:$I$89,3,0)*0.475*44/12</f>
        <v>2.0557816572608165</v>
      </c>
      <c r="AB154" s="21">
        <f>EXP(-LN(2)/2)*AB153+(1-EXP(-LN(2)/2))/(LN(2)/2)*V154*Y154*VLOOKUP('Données projet'!$B$9,Paramètres!$A$1:$I$89,3,0)*0.475*44/12</f>
        <v>3.2116266551617358E-20</v>
      </c>
      <c r="AC154" s="22">
        <f t="shared" ref="AC154:AC203" si="163">SUM(Z154:AB154)</f>
        <v>26.043832567589522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443.52697999999992</v>
      </c>
      <c r="AK154" s="13">
        <f t="shared" ref="AK154:AK203" si="164">EXP(-1.0587+0.8836*LN(AJ154)+0.284)</f>
        <v>100.54734681570342</v>
      </c>
      <c r="AL154" s="20">
        <f t="shared" ref="AL154:AL203" si="165">(AJ154+AK154)*0.475*44/12</f>
        <v>947.59611920401665</v>
      </c>
      <c r="AM154" s="59">
        <f t="shared" si="113"/>
        <v>1240.92945253735</v>
      </c>
      <c r="AN154" s="59">
        <f ca="1">AVERAGE(OFFSET($AM$3,0,0,'Données projet'!$E$10+1,1))-AVERAGE(OFFSET($H$3,0,0,'Données projet'!$E$10+1,1))</f>
        <v>778.88878506193896</v>
      </c>
      <c r="AO154" s="59">
        <f t="shared" si="144"/>
        <v>279.2078283764684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247.56645039306213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247.56645039306213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689</v>
      </c>
      <c r="O155" s="13">
        <f>N155*VLOOKUP('Données projet'!$B$9,Paramètres!$A$1:$I$89,3,0)*VLOOKUP('Données projet'!$B$9,Paramètres!$A$1:$I$89,5,0)</f>
        <v>412.02199999999999</v>
      </c>
      <c r="P155" s="13">
        <f t="shared" si="141"/>
        <v>94.209724877926391</v>
      </c>
      <c r="Q155" s="20">
        <f t="shared" si="162"/>
        <v>881.686920829055</v>
      </c>
      <c r="R155" s="59">
        <f t="shared" si="109"/>
        <v>1175.0202541623883</v>
      </c>
      <c r="S155" s="59">
        <f ca="1">AVERAGE(OFFSET($R$3,0,0,'Données projet'!$E$9+1,1))-AVERAGE(OFFSET($H$3,0,0,'Données projet'!$E$9+1,1))</f>
        <v>504.81063008331739</v>
      </c>
      <c r="T155" s="59">
        <f t="shared" si="142"/>
        <v>441.82647565372287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23.517659863243498</v>
      </c>
      <c r="AA155" s="21">
        <f>EXP(-LN(2)/25)*AA154+(1-EXP(-LN(2)/25))/(LN(2)/25)*Calculateur!V155*Calculateur!X155*VLOOKUP('Données projet'!$B$9,Paramètres!$A$1:$I$89,3,0)*0.475*44/12</f>
        <v>1.9995661997341607</v>
      </c>
      <c r="AB155" s="21">
        <f>EXP(-LN(2)/2)*AB154+(1-EXP(-LN(2)/2))/(LN(2)/2)*V155*Y155*VLOOKUP('Données projet'!$B$9,Paramètres!$A$1:$I$89,3,0)*0.475*44/12</f>
        <v>2.2709629865043331E-20</v>
      </c>
      <c r="AC155" s="22">
        <f t="shared" si="163"/>
        <v>25.517226062977659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442.29327999999987</v>
      </c>
      <c r="AK155" s="13">
        <f t="shared" si="164"/>
        <v>100.30018224509982</v>
      </c>
      <c r="AL155" s="20">
        <f t="shared" si="165"/>
        <v>945.0169467435486</v>
      </c>
      <c r="AM155" s="59">
        <f t="shared" si="113"/>
        <v>1238.350280076882</v>
      </c>
      <c r="AN155" s="59">
        <f ca="1">AVERAGE(OFFSET($AM$3,0,0,'Données projet'!$E$10+1,1))-AVERAGE(OFFSET($H$3,0,0,'Données projet'!$E$10+1,1))</f>
        <v>778.88878506193896</v>
      </c>
      <c r="AO155" s="59">
        <f t="shared" si="144"/>
        <v>279.2078283764684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242.71182330147886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242.71182330147886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689</v>
      </c>
      <c r="O156" s="13">
        <f>N156*VLOOKUP('Données projet'!$B$9,Paramètres!$A$1:$I$89,3,0)*VLOOKUP('Données projet'!$B$9,Paramètres!$A$1:$I$89,5,0)</f>
        <v>412.02199999999999</v>
      </c>
      <c r="P156" s="13">
        <f t="shared" si="141"/>
        <v>94.209724877926391</v>
      </c>
      <c r="Q156" s="20">
        <f t="shared" si="162"/>
        <v>881.686920829055</v>
      </c>
      <c r="R156" s="59">
        <f t="shared" si="109"/>
        <v>1175.0202541623883</v>
      </c>
      <c r="S156" s="59">
        <f ca="1">AVERAGE(OFFSET($R$3,0,0,'Données projet'!$E$9+1,1))-AVERAGE(OFFSET($H$3,0,0,'Données projet'!$E$9+1,1))</f>
        <v>504.81063008331739</v>
      </c>
      <c r="T156" s="59">
        <f t="shared" si="142"/>
        <v>441.82647565372287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23.056492897681423</v>
      </c>
      <c r="AA156" s="21">
        <f>EXP(-LN(2)/25)*AA155+(1-EXP(-LN(2)/25))/(LN(2)/25)*Calculateur!V156*Calculateur!X156*VLOOKUP('Données projet'!$B$9,Paramètres!$A$1:$I$89,3,0)*0.475*44/12</f>
        <v>1.9448879568498136</v>
      </c>
      <c r="AB156" s="21">
        <f>EXP(-LN(2)/2)*AB155+(1-EXP(-LN(2)/2))/(LN(2)/2)*V156*Y156*VLOOKUP('Données projet'!$B$9,Paramètres!$A$1:$I$89,3,0)*0.475*44/12</f>
        <v>1.6058133275808679E-20</v>
      </c>
      <c r="AC156" s="22">
        <f t="shared" si="163"/>
        <v>25.001380854531238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441.05957999999993</v>
      </c>
      <c r="AK156" s="13">
        <f t="shared" si="164"/>
        <v>100.05293741258036</v>
      </c>
      <c r="AL156" s="20">
        <f t="shared" si="165"/>
        <v>942.43763449357721</v>
      </c>
      <c r="AM156" s="59">
        <f t="shared" si="113"/>
        <v>1235.7709678269105</v>
      </c>
      <c r="AN156" s="59">
        <f ca="1">AVERAGE(OFFSET($AM$3,0,0,'Données projet'!$E$10+1,1))-AVERAGE(OFFSET($H$3,0,0,'Données projet'!$E$10+1,1))</f>
        <v>778.88878506193896</v>
      </c>
      <c r="AO156" s="59">
        <f t="shared" si="144"/>
        <v>279.2078283764684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306.02144854764379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306.02144854764379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689</v>
      </c>
      <c r="O157" s="13">
        <f>N157*VLOOKUP('Données projet'!$B$9,Paramètres!$A$1:$I$89,3,0)*VLOOKUP('Données projet'!$B$9,Paramètres!$A$1:$I$89,5,0)</f>
        <v>412.02199999999999</v>
      </c>
      <c r="P157" s="13">
        <f t="shared" si="141"/>
        <v>94.209724877926391</v>
      </c>
      <c r="Q157" s="20">
        <f t="shared" si="162"/>
        <v>881.686920829055</v>
      </c>
      <c r="R157" s="59">
        <f t="shared" si="109"/>
        <v>1175.0202541623883</v>
      </c>
      <c r="S157" s="59">
        <f ca="1">AVERAGE(OFFSET($R$3,0,0,'Données projet'!$E$9+1,1))-AVERAGE(OFFSET($H$3,0,0,'Données projet'!$E$9+1,1))</f>
        <v>504.81063008331739</v>
      </c>
      <c r="T157" s="59">
        <f t="shared" si="142"/>
        <v>441.82647565372287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22.604369135029945</v>
      </c>
      <c r="AA157" s="21">
        <f>EXP(-LN(2)/25)*AA156+(1-EXP(-LN(2)/25))/(LN(2)/25)*Calculateur!V157*Calculateur!X157*VLOOKUP('Données projet'!$B$9,Paramètres!$A$1:$I$89,3,0)*0.475*44/12</f>
        <v>1.8917048933925429</v>
      </c>
      <c r="AB157" s="21">
        <f>EXP(-LN(2)/2)*AB156+(1-EXP(-LN(2)/2))/(LN(2)/2)*V157*Y157*VLOOKUP('Données projet'!$B$9,Paramètres!$A$1:$I$89,3,0)*0.475*44/12</f>
        <v>1.1354814932521665E-20</v>
      </c>
      <c r="AC157" s="22">
        <f t="shared" si="163"/>
        <v>24.496074028422488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296.90933999999999</v>
      </c>
      <c r="AK157" s="13">
        <f t="shared" si="164"/>
        <v>70.528152442871558</v>
      </c>
      <c r="AL157" s="20">
        <f t="shared" si="165"/>
        <v>639.9536326713345</v>
      </c>
      <c r="AM157" s="59">
        <f t="shared" si="113"/>
        <v>933.28696600466787</v>
      </c>
      <c r="AN157" s="59">
        <f ca="1">AVERAGE(OFFSET($AM$3,0,0,'Données projet'!$E$10+1,1))-AVERAGE(OFFSET($H$3,0,0,'Données projet'!$E$10+1,1))</f>
        <v>778.88878506193896</v>
      </c>
      <c r="AO157" s="59">
        <f t="shared" si="144"/>
        <v>279.2078283764684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300.02055459627746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300.02055459627746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689</v>
      </c>
      <c r="O158" s="13">
        <f>N158*VLOOKUP('Données projet'!$B$9,Paramètres!$A$1:$I$89,3,0)*VLOOKUP('Données projet'!$B$9,Paramètres!$A$1:$I$89,5,0)</f>
        <v>412.02199999999999</v>
      </c>
      <c r="P158" s="13">
        <f t="shared" si="141"/>
        <v>94.209724877926391</v>
      </c>
      <c r="Q158" s="20">
        <f t="shared" si="162"/>
        <v>881.686920829055</v>
      </c>
      <c r="R158" s="59">
        <f t="shared" si="109"/>
        <v>1175.0202541623883</v>
      </c>
      <c r="S158" s="59">
        <f ca="1">AVERAGE(OFFSET($R$3,0,0,'Données projet'!$E$9+1,1))-AVERAGE(OFFSET($H$3,0,0,'Données projet'!$E$9+1,1))</f>
        <v>504.81063008331739</v>
      </c>
      <c r="T158" s="59">
        <f t="shared" si="142"/>
        <v>441.82647565372287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22.161111243595798</v>
      </c>
      <c r="AA158" s="21">
        <f>EXP(-LN(2)/25)*AA157+(1-EXP(-LN(2)/25))/(LN(2)/25)*Calculateur!V158*Calculateur!X158*VLOOKUP('Données projet'!$B$9,Paramètres!$A$1:$I$89,3,0)*0.475*44/12</f>
        <v>1.8399761236022869</v>
      </c>
      <c r="AB158" s="21">
        <f>EXP(-LN(2)/2)*AB157+(1-EXP(-LN(2)/2))/(LN(2)/2)*V158*Y158*VLOOKUP('Données projet'!$B$9,Paramètres!$A$1:$I$89,3,0)*0.475*44/12</f>
        <v>8.0290666379043395E-21</v>
      </c>
      <c r="AC158" s="22">
        <f t="shared" si="163"/>
        <v>24.001087367198085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295.95617999999996</v>
      </c>
      <c r="AK158" s="13">
        <f t="shared" si="164"/>
        <v>70.328055065916899</v>
      </c>
      <c r="AL158" s="20">
        <f t="shared" si="165"/>
        <v>637.9450427398051</v>
      </c>
      <c r="AM158" s="59">
        <f t="shared" si="113"/>
        <v>931.27837607313836</v>
      </c>
      <c r="AN158" s="59">
        <f ca="1">AVERAGE(OFFSET($AM$3,0,0,'Données projet'!$E$10+1,1))-AVERAGE(OFFSET($H$3,0,0,'Données projet'!$E$10+1,1))</f>
        <v>778.88878506193896</v>
      </c>
      <c r="AO158" s="59">
        <f t="shared" si="144"/>
        <v>279.2078283764684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294.13733451511354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294.13733451511354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689</v>
      </c>
      <c r="O159" s="13">
        <f>N159*VLOOKUP('Données projet'!$B$9,Paramètres!$A$1:$I$89,3,0)*VLOOKUP('Données projet'!$B$9,Paramètres!$A$1:$I$89,5,0)</f>
        <v>412.02199999999999</v>
      </c>
      <c r="P159" s="13">
        <f t="shared" si="141"/>
        <v>94.209724877926391</v>
      </c>
      <c r="Q159" s="20">
        <f t="shared" si="162"/>
        <v>881.686920829055</v>
      </c>
      <c r="R159" s="59">
        <f t="shared" si="109"/>
        <v>1175.0202541623883</v>
      </c>
      <c r="S159" s="59">
        <f ca="1">AVERAGE(OFFSET($R$3,0,0,'Données projet'!$E$9+1,1))-AVERAGE(OFFSET($H$3,0,0,'Données projet'!$E$9+1,1))</f>
        <v>504.81063008331739</v>
      </c>
      <c r="T159" s="59">
        <f t="shared" si="142"/>
        <v>441.82647565372287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21.726545369052054</v>
      </c>
      <c r="AA159" s="21">
        <f>EXP(-LN(2)/25)*AA158+(1-EXP(-LN(2)/25))/(LN(2)/25)*Calculateur!V159*Calculateur!X159*VLOOKUP('Données projet'!$B$9,Paramètres!$A$1:$I$89,3,0)*0.475*44/12</f>
        <v>1.7896618797422434</v>
      </c>
      <c r="AB159" s="21">
        <f>EXP(-LN(2)/2)*AB158+(1-EXP(-LN(2)/2))/(LN(2)/2)*V159*Y159*VLOOKUP('Données projet'!$B$9,Paramètres!$A$1:$I$89,3,0)*0.475*44/12</f>
        <v>5.6774074662608327E-21</v>
      </c>
      <c r="AC159" s="22">
        <f t="shared" si="163"/>
        <v>23.516207248794299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295.00301999999999</v>
      </c>
      <c r="AK159" s="13">
        <f t="shared" si="164"/>
        <v>70.127882662412929</v>
      </c>
      <c r="AL159" s="20">
        <f t="shared" si="165"/>
        <v>635.93632213703586</v>
      </c>
      <c r="AM159" s="59">
        <f t="shared" si="113"/>
        <v>929.26965547036912</v>
      </c>
      <c r="AN159" s="59">
        <f ca="1">AVERAGE(OFFSET($AM$3,0,0,'Données projet'!$E$10+1,1))-AVERAGE(OFFSET($H$3,0,0,'Données projet'!$E$10+1,1))</f>
        <v>778.88878506193896</v>
      </c>
      <c r="AO159" s="59">
        <f t="shared" si="144"/>
        <v>279.2078283764684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330.43906876080308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330.43906876080308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689</v>
      </c>
      <c r="O160" s="13">
        <f>N160*VLOOKUP('Données projet'!$B$9,Paramètres!$A$1:$I$89,3,0)*VLOOKUP('Données projet'!$B$9,Paramètres!$A$1:$I$89,5,0)</f>
        <v>412.02199999999999</v>
      </c>
      <c r="P160" s="13">
        <f t="shared" si="141"/>
        <v>94.209724877926391</v>
      </c>
      <c r="Q160" s="20">
        <f t="shared" si="162"/>
        <v>881.686920829055</v>
      </c>
      <c r="R160" s="59">
        <f t="shared" si="109"/>
        <v>1175.0202541623883</v>
      </c>
      <c r="S160" s="59">
        <f ca="1">AVERAGE(OFFSET($R$3,0,0,'Données projet'!$E$9+1,1))-AVERAGE(OFFSET($H$3,0,0,'Données projet'!$E$9+1,1))</f>
        <v>504.81063008331739</v>
      </c>
      <c r="T160" s="59">
        <f t="shared" si="142"/>
        <v>441.82647565372287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21.300501066249105</v>
      </c>
      <c r="AA160" s="21">
        <f>EXP(-LN(2)/25)*AA159+(1-EXP(-LN(2)/25))/(LN(2)/25)*Calculateur!V160*Calculateur!X160*VLOOKUP('Données projet'!$B$9,Paramètres!$A$1:$I$89,3,0)*0.475*44/12</f>
        <v>1.7407234815264638</v>
      </c>
      <c r="AB160" s="21">
        <f>EXP(-LN(2)/2)*AB159+(1-EXP(-LN(2)/2))/(LN(2)/2)*V160*Y160*VLOOKUP('Données projet'!$B$9,Paramètres!$A$1:$I$89,3,0)*0.475*44/12</f>
        <v>4.0145333189521697E-21</v>
      </c>
      <c r="AC160" s="22">
        <f t="shared" si="163"/>
        <v>23.041224547775567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205.76763999999997</v>
      </c>
      <c r="AK160" s="13">
        <f t="shared" si="164"/>
        <v>51.009615477796629</v>
      </c>
      <c r="AL160" s="20">
        <f t="shared" si="165"/>
        <v>447.22038662382903</v>
      </c>
      <c r="AM160" s="59">
        <f t="shared" si="113"/>
        <v>740.55371995716234</v>
      </c>
      <c r="AN160" s="59">
        <f ca="1">AVERAGE(OFFSET($AM$3,0,0,'Données projet'!$E$10+1,1))-AVERAGE(OFFSET($H$3,0,0,'Données projet'!$E$10+1,1))</f>
        <v>778.88878506193896</v>
      </c>
      <c r="AO160" s="59">
        <f t="shared" si="144"/>
        <v>279.2078283764684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323.95936017033449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323.95936017033449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689</v>
      </c>
      <c r="O161" s="13">
        <f>N161*VLOOKUP('Données projet'!$B$9,Paramètres!$A$1:$I$89,3,0)*VLOOKUP('Données projet'!$B$9,Paramètres!$A$1:$I$89,5,0)</f>
        <v>412.02199999999999</v>
      </c>
      <c r="P161" s="13">
        <f t="shared" si="141"/>
        <v>94.209724877926391</v>
      </c>
      <c r="Q161" s="20">
        <f t="shared" si="162"/>
        <v>881.686920829055</v>
      </c>
      <c r="R161" s="59">
        <f t="shared" si="109"/>
        <v>1175.0202541623883</v>
      </c>
      <c r="S161" s="59">
        <f ca="1">AVERAGE(OFFSET($R$3,0,0,'Données projet'!$E$9+1,1))-AVERAGE(OFFSET($H$3,0,0,'Données projet'!$E$9+1,1))</f>
        <v>504.81063008331739</v>
      </c>
      <c r="T161" s="59">
        <f t="shared" si="142"/>
        <v>441.82647565372287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20.882811232362755</v>
      </c>
      <c r="AA161" s="21">
        <f>EXP(-LN(2)/25)*AA160+(1-EXP(-LN(2)/25))/(LN(2)/25)*Calculateur!V161*Calculateur!X161*VLOOKUP('Données projet'!$B$9,Paramètres!$A$1:$I$89,3,0)*0.475*44/12</f>
        <v>1.6931233063834532</v>
      </c>
      <c r="AB161" s="21">
        <f>EXP(-LN(2)/2)*AB160+(1-EXP(-LN(2)/2))/(LN(2)/2)*V161*Y161*VLOOKUP('Données projet'!$B$9,Paramètres!$A$1:$I$89,3,0)*0.475*44/12</f>
        <v>2.8387037331304163E-21</v>
      </c>
      <c r="AC161" s="22">
        <f t="shared" si="163"/>
        <v>22.575934538746207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205.03417999999996</v>
      </c>
      <c r="AK161" s="13">
        <f t="shared" si="164"/>
        <v>50.848922343722315</v>
      </c>
      <c r="AL161" s="20">
        <f t="shared" si="165"/>
        <v>445.66306991531627</v>
      </c>
      <c r="AM161" s="59">
        <f t="shared" si="113"/>
        <v>738.99640324864959</v>
      </c>
      <c r="AN161" s="59">
        <f ca="1">AVERAGE(OFFSET($AM$3,0,0,'Données projet'!$E$10+1,1))-AVERAGE(OFFSET($H$3,0,0,'Données projet'!$E$10+1,1))</f>
        <v>778.88878506193896</v>
      </c>
      <c r="AO161" s="59">
        <f t="shared" si="144"/>
        <v>279.2078283764684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317.60671471309297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317.60671471309297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689</v>
      </c>
      <c r="O162" s="13">
        <f>N162*VLOOKUP('Données projet'!$B$9,Paramètres!$A$1:$I$89,3,0)*VLOOKUP('Données projet'!$B$9,Paramètres!$A$1:$I$89,5,0)</f>
        <v>412.02199999999999</v>
      </c>
      <c r="P162" s="13">
        <f t="shared" si="141"/>
        <v>94.209724877926391</v>
      </c>
      <c r="Q162" s="20">
        <f t="shared" si="162"/>
        <v>881.686920829055</v>
      </c>
      <c r="R162" s="59">
        <f t="shared" si="109"/>
        <v>1175.0202541623883</v>
      </c>
      <c r="S162" s="59">
        <f ca="1">AVERAGE(OFFSET($R$3,0,0,'Données projet'!$E$9+1,1))-AVERAGE(OFFSET($H$3,0,0,'Données projet'!$E$9+1,1))</f>
        <v>504.81063008331739</v>
      </c>
      <c r="T162" s="59">
        <f t="shared" si="142"/>
        <v>441.82647565372287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20.473312041353275</v>
      </c>
      <c r="AA162" s="21">
        <f>EXP(-LN(2)/25)*AA161+(1-EXP(-LN(2)/25))/(LN(2)/25)*Calculateur!V162*Calculateur!X162*VLOOKUP('Données projet'!$B$9,Paramètres!$A$1:$I$89,3,0)*0.475*44/12</f>
        <v>1.6468247605329127</v>
      </c>
      <c r="AB162" s="21">
        <f>EXP(-LN(2)/2)*AB161+(1-EXP(-LN(2)/2))/(LN(2)/2)*V162*Y162*VLOOKUP('Données projet'!$B$9,Paramètres!$A$1:$I$89,3,0)*0.475*44/12</f>
        <v>2.0072666594760849E-21</v>
      </c>
      <c r="AC162" s="22">
        <f t="shared" si="163"/>
        <v>22.120136801886186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204.30071999999996</v>
      </c>
      <c r="AK162" s="13">
        <f t="shared" si="164"/>
        <v>50.688162284109914</v>
      </c>
      <c r="AL162" s="20">
        <f t="shared" si="165"/>
        <v>444.1056366448247</v>
      </c>
      <c r="AM162" s="59">
        <f t="shared" si="113"/>
        <v>737.43896997815796</v>
      </c>
      <c r="AN162" s="59">
        <f ca="1">AVERAGE(OFFSET($AM$3,0,0,'Données projet'!$E$10+1,1))-AVERAGE(OFFSET($H$3,0,0,'Données projet'!$E$10+1,1))</f>
        <v>778.88878506193896</v>
      </c>
      <c r="AO162" s="59">
        <f t="shared" si="144"/>
        <v>279.2078283764684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398.42914015457944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398.42914015457944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689</v>
      </c>
      <c r="O163" s="13">
        <f>N163*VLOOKUP('Données projet'!$B$9,Paramètres!$A$1:$I$89,3,0)*VLOOKUP('Données projet'!$B$9,Paramètres!$A$1:$I$89,5,0)</f>
        <v>412.02199999999999</v>
      </c>
      <c r="P163" s="13">
        <f t="shared" si="141"/>
        <v>94.209724877926391</v>
      </c>
      <c r="Q163" s="20">
        <f t="shared" si="162"/>
        <v>881.686920829055</v>
      </c>
      <c r="R163" s="59">
        <f t="shared" si="109"/>
        <v>1175.0202541623883</v>
      </c>
      <c r="S163" s="59">
        <f ca="1">AVERAGE(OFFSET($R$3,0,0,'Données projet'!$E$9+1,1))-AVERAGE(OFFSET($H$3,0,0,'Données projet'!$E$9+1,1))</f>
        <v>504.81063008331739</v>
      </c>
      <c r="T163" s="59">
        <f t="shared" si="142"/>
        <v>441.82647565372287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20.071842879709646</v>
      </c>
      <c r="AA163" s="21">
        <f>EXP(-LN(2)/25)*AA162+(1-EXP(-LN(2)/25))/(LN(2)/25)*Calculateur!V163*Calculateur!X163*VLOOKUP('Données projet'!$B$9,Paramètres!$A$1:$I$89,3,0)*0.475*44/12</f>
        <v>1.6017922508533899</v>
      </c>
      <c r="AB163" s="21">
        <f>EXP(-LN(2)/2)*AB162+(1-EXP(-LN(2)/2))/(LN(2)/2)*V163*Y163*VLOOKUP('Données projet'!$B$9,Paramètres!$A$1:$I$89,3,0)*0.475*44/12</f>
        <v>1.4193518665652082E-21</v>
      </c>
      <c r="AC163" s="22">
        <f t="shared" si="163"/>
        <v>21.673635130563035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21.172319999999939</v>
      </c>
      <c r="AK163" s="13">
        <f t="shared" si="164"/>
        <v>6.8391332707776806</v>
      </c>
      <c r="AL163" s="20">
        <f t="shared" si="165"/>
        <v>48.786614446604354</v>
      </c>
      <c r="AM163" s="59">
        <f t="shared" si="113"/>
        <v>342.11994777993766</v>
      </c>
      <c r="AN163" s="59">
        <f ca="1">AVERAGE(OFFSET($AM$3,0,0,'Données projet'!$E$10+1,1))-AVERAGE(OFFSET($H$3,0,0,'Données projet'!$E$10+1,1))</f>
        <v>778.88878506193896</v>
      </c>
      <c r="AO163" s="59">
        <f t="shared" si="144"/>
        <v>279.2078283764684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390.61618773392763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390.61618773392763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689</v>
      </c>
      <c r="O164" s="13">
        <f>N164*VLOOKUP('Données projet'!$B$9,Paramètres!$A$1:$I$89,3,0)*VLOOKUP('Données projet'!$B$9,Paramètres!$A$1:$I$89,5,0)</f>
        <v>412.02199999999999</v>
      </c>
      <c r="P164" s="13">
        <f t="shared" si="141"/>
        <v>94.209724877926391</v>
      </c>
      <c r="Q164" s="20">
        <f t="shared" si="162"/>
        <v>881.686920829055</v>
      </c>
      <c r="R164" s="59">
        <f t="shared" si="109"/>
        <v>1175.0202541623883</v>
      </c>
      <c r="S164" s="59">
        <f ca="1">AVERAGE(OFFSET($R$3,0,0,'Données projet'!$E$9+1,1))-AVERAGE(OFFSET($H$3,0,0,'Données projet'!$E$9+1,1))</f>
        <v>504.81063008331739</v>
      </c>
      <c r="T164" s="59">
        <f t="shared" si="142"/>
        <v>441.82647565372287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19.678246283453838</v>
      </c>
      <c r="AA164" s="21">
        <f>EXP(-LN(2)/25)*AA163+(1-EXP(-LN(2)/25))/(LN(2)/25)*Calculateur!V164*Calculateur!X164*VLOOKUP('Données projet'!$B$9,Paramètres!$A$1:$I$89,3,0)*0.475*44/12</f>
        <v>1.5579911575192105</v>
      </c>
      <c r="AB164" s="21">
        <f>EXP(-LN(2)/2)*AB163+(1-EXP(-LN(2)/2))/(LN(2)/2)*V164*Y164*VLOOKUP('Données projet'!$B$9,Paramètres!$A$1:$I$89,3,0)*0.475*44/12</f>
        <v>1.0036333297380424E-21</v>
      </c>
      <c r="AC164" s="22">
        <f t="shared" si="163"/>
        <v>21.236237440973049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21.172319999999939</v>
      </c>
      <c r="AK164" s="13">
        <f t="shared" si="164"/>
        <v>6.8391332707776806</v>
      </c>
      <c r="AL164" s="20">
        <f t="shared" si="165"/>
        <v>48.786614446604354</v>
      </c>
      <c r="AM164" s="59">
        <f t="shared" si="113"/>
        <v>342.11994777993766</v>
      </c>
      <c r="AN164" s="59">
        <f ca="1">AVERAGE(OFFSET($AM$3,0,0,'Données projet'!$E$10+1,1))-AVERAGE(OFFSET($H$3,0,0,'Données projet'!$E$10+1,1))</f>
        <v>778.88878506193896</v>
      </c>
      <c r="AO164" s="59">
        <f t="shared" si="144"/>
        <v>279.2078283764684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382.95644254481437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382.95644254481437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689</v>
      </c>
      <c r="O165" s="13">
        <f>N165*VLOOKUP('Données projet'!$B$9,Paramètres!$A$1:$I$89,3,0)*VLOOKUP('Données projet'!$B$9,Paramètres!$A$1:$I$89,5,0)</f>
        <v>412.02199999999999</v>
      </c>
      <c r="P165" s="13">
        <f t="shared" si="141"/>
        <v>94.209724877926391</v>
      </c>
      <c r="Q165" s="20">
        <f t="shared" si="162"/>
        <v>881.686920829055</v>
      </c>
      <c r="R165" s="59">
        <f t="shared" si="109"/>
        <v>1175.0202541623883</v>
      </c>
      <c r="S165" s="59">
        <f ca="1">AVERAGE(OFFSET($R$3,0,0,'Données projet'!$E$9+1,1))-AVERAGE(OFFSET($H$3,0,0,'Données projet'!$E$9+1,1))</f>
        <v>504.81063008331739</v>
      </c>
      <c r="T165" s="59">
        <f t="shared" si="142"/>
        <v>441.82647565372287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19.292367876380389</v>
      </c>
      <c r="AA165" s="21">
        <f>EXP(-LN(2)/25)*AA164+(1-EXP(-LN(2)/25))/(LN(2)/25)*Calculateur!V165*Calculateur!X165*VLOOKUP('Données projet'!$B$9,Paramètres!$A$1:$I$89,3,0)*0.475*44/12</f>
        <v>1.5153878073856535</v>
      </c>
      <c r="AB165" s="21">
        <f>EXP(-LN(2)/2)*AB164+(1-EXP(-LN(2)/2))/(LN(2)/2)*V165*Y165*VLOOKUP('Données projet'!$B$9,Paramètres!$A$1:$I$89,3,0)*0.475*44/12</f>
        <v>7.0967593328260408E-22</v>
      </c>
      <c r="AC165" s="22">
        <f t="shared" si="163"/>
        <v>20.807755683766043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21.172319999999939</v>
      </c>
      <c r="AK165" s="13">
        <f t="shared" si="164"/>
        <v>6.8391332707776806</v>
      </c>
      <c r="AL165" s="20">
        <f t="shared" si="165"/>
        <v>48.786614446604354</v>
      </c>
      <c r="AM165" s="59">
        <f t="shared" si="113"/>
        <v>342.11994777993766</v>
      </c>
      <c r="AN165" s="59">
        <f ca="1">AVERAGE(OFFSET($AM$3,0,0,'Données projet'!$E$10+1,1))-AVERAGE(OFFSET($H$3,0,0,'Données projet'!$E$10+1,1))</f>
        <v>778.88878506193896</v>
      </c>
      <c r="AO165" s="59">
        <f t="shared" si="144"/>
        <v>279.2078283764684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375.44690028687637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375.44690028687637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689</v>
      </c>
      <c r="O166" s="13">
        <f>N166*VLOOKUP('Données projet'!$B$9,Paramètres!$A$1:$I$89,3,0)*VLOOKUP('Données projet'!$B$9,Paramètres!$A$1:$I$89,5,0)</f>
        <v>412.02199999999999</v>
      </c>
      <c r="P166" s="13">
        <f t="shared" si="141"/>
        <v>94.209724877926391</v>
      </c>
      <c r="Q166" s="20">
        <f t="shared" si="162"/>
        <v>881.686920829055</v>
      </c>
      <c r="R166" s="59">
        <f t="shared" si="109"/>
        <v>1175.0202541623883</v>
      </c>
      <c r="S166" s="59">
        <f ca="1">AVERAGE(OFFSET($R$3,0,0,'Données projet'!$E$9+1,1))-AVERAGE(OFFSET($H$3,0,0,'Données projet'!$E$9+1,1))</f>
        <v>504.81063008331739</v>
      </c>
      <c r="T166" s="59">
        <f t="shared" si="142"/>
        <v>441.82647565372287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18.91405630950706</v>
      </c>
      <c r="AA166" s="21">
        <f>EXP(-LN(2)/25)*AA165+(1-EXP(-LN(2)/25))/(LN(2)/25)*Calculateur!V166*Calculateur!X166*VLOOKUP('Données projet'!$B$9,Paramètres!$A$1:$I$89,3,0)*0.475*44/12</f>
        <v>1.4739494481019115</v>
      </c>
      <c r="AB166" s="21">
        <f>EXP(-LN(2)/2)*AB165+(1-EXP(-LN(2)/2))/(LN(2)/2)*V166*Y166*VLOOKUP('Données projet'!$B$9,Paramètres!$A$1:$I$89,3,0)*0.475*44/12</f>
        <v>5.0181666486902122E-22</v>
      </c>
      <c r="AC166" s="22">
        <f t="shared" si="163"/>
        <v>20.388005757608973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21.172319999999939</v>
      </c>
      <c r="AK166" s="13">
        <f t="shared" si="164"/>
        <v>6.8391332707776806</v>
      </c>
      <c r="AL166" s="20">
        <f t="shared" si="165"/>
        <v>48.786614446604354</v>
      </c>
      <c r="AM166" s="59">
        <f t="shared" si="113"/>
        <v>342.11994777993766</v>
      </c>
      <c r="AN166" s="59">
        <f ca="1">AVERAGE(OFFSET($AM$3,0,0,'Données projet'!$E$10+1,1))-AVERAGE(OFFSET($H$3,0,0,'Données projet'!$E$10+1,1))</f>
        <v>778.88878506193896</v>
      </c>
      <c r="AO166" s="59">
        <f t="shared" si="144"/>
        <v>279.2078283764684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368.08461557224803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368.08461557224803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689</v>
      </c>
      <c r="O167" s="13">
        <f>N167*VLOOKUP('Données projet'!$B$9,Paramètres!$A$1:$I$89,3,0)*VLOOKUP('Données projet'!$B$9,Paramètres!$A$1:$I$89,5,0)</f>
        <v>412.02199999999999</v>
      </c>
      <c r="P167" s="13">
        <f t="shared" si="141"/>
        <v>94.209724877926391</v>
      </c>
      <c r="Q167" s="20">
        <f t="shared" si="162"/>
        <v>881.686920829055</v>
      </c>
      <c r="R167" s="59">
        <f t="shared" si="109"/>
        <v>1175.0202541623883</v>
      </c>
      <c r="S167" s="59">
        <f ca="1">AVERAGE(OFFSET($R$3,0,0,'Données projet'!$E$9+1,1))-AVERAGE(OFFSET($H$3,0,0,'Données projet'!$E$9+1,1))</f>
        <v>504.81063008331739</v>
      </c>
      <c r="T167" s="59">
        <f t="shared" si="142"/>
        <v>441.82647565372287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18.543163201712847</v>
      </c>
      <c r="AA167" s="21">
        <f>EXP(-LN(2)/25)*AA166+(1-EXP(-LN(2)/25))/(LN(2)/25)*Calculateur!V167*Calculateur!X167*VLOOKUP('Données projet'!$B$9,Paramètres!$A$1:$I$89,3,0)*0.475*44/12</f>
        <v>1.4336442229319319</v>
      </c>
      <c r="AB167" s="21">
        <f>EXP(-LN(2)/2)*AB166+(1-EXP(-LN(2)/2))/(LN(2)/2)*V167*Y167*VLOOKUP('Données projet'!$B$9,Paramètres!$A$1:$I$89,3,0)*0.475*44/12</f>
        <v>3.5483796664130204E-22</v>
      </c>
      <c r="AC167" s="22">
        <f t="shared" si="163"/>
        <v>19.976807424644779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21.172319999999939</v>
      </c>
      <c r="AK167" s="13">
        <f t="shared" si="164"/>
        <v>6.8391332707776806</v>
      </c>
      <c r="AL167" s="20">
        <f t="shared" si="165"/>
        <v>48.786614446604354</v>
      </c>
      <c r="AM167" s="59">
        <f t="shared" si="113"/>
        <v>342.11994777993766</v>
      </c>
      <c r="AN167" s="59">
        <f ca="1">AVERAGE(OFFSET($AM$3,0,0,'Données projet'!$E$10+1,1))-AVERAGE(OFFSET($H$3,0,0,'Données projet'!$E$10+1,1))</f>
        <v>778.88878506193896</v>
      </c>
      <c r="AO167" s="59">
        <f t="shared" si="144"/>
        <v>279.2078283764684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360.86670077032329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360.86670077032329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689</v>
      </c>
      <c r="O168" s="13">
        <f>N168*VLOOKUP('Données projet'!$B$9,Paramètres!$A$1:$I$89,3,0)*VLOOKUP('Données projet'!$B$9,Paramètres!$A$1:$I$89,5,0)</f>
        <v>412.02199999999999</v>
      </c>
      <c r="P168" s="13">
        <f t="shared" si="141"/>
        <v>94.209724877926391</v>
      </c>
      <c r="Q168" s="20">
        <f t="shared" si="162"/>
        <v>881.686920829055</v>
      </c>
      <c r="R168" s="59">
        <f t="shared" si="109"/>
        <v>1175.0202541623883</v>
      </c>
      <c r="S168" s="59">
        <f ca="1">AVERAGE(OFFSET($R$3,0,0,'Données projet'!$E$9+1,1))-AVERAGE(OFFSET($H$3,0,0,'Données projet'!$E$9+1,1))</f>
        <v>504.81063008331739</v>
      </c>
      <c r="T168" s="59">
        <f t="shared" si="142"/>
        <v>441.82647565372287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18.179543081540022</v>
      </c>
      <c r="AA168" s="21">
        <f>EXP(-LN(2)/25)*AA167+(1-EXP(-LN(2)/25))/(LN(2)/25)*Calculateur!V168*Calculateur!X168*VLOOKUP('Données projet'!$B$9,Paramètres!$A$1:$I$89,3,0)*0.475*44/12</f>
        <v>1.3944411462637851</v>
      </c>
      <c r="AB168" s="21">
        <f>EXP(-LN(2)/2)*AB167+(1-EXP(-LN(2)/2))/(LN(2)/2)*V168*Y168*VLOOKUP('Données projet'!$B$9,Paramètres!$A$1:$I$89,3,0)*0.475*44/12</f>
        <v>2.5090833243451061E-22</v>
      </c>
      <c r="AC168" s="22">
        <f t="shared" si="163"/>
        <v>19.573984227803805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21.172319999999939</v>
      </c>
      <c r="AK168" s="13">
        <f t="shared" si="164"/>
        <v>6.8391332707776806</v>
      </c>
      <c r="AL168" s="20">
        <f t="shared" si="165"/>
        <v>48.786614446604354</v>
      </c>
      <c r="AM168" s="59">
        <f t="shared" si="113"/>
        <v>342.11994777993766</v>
      </c>
      <c r="AN168" s="59">
        <f ca="1">AVERAGE(OFFSET($AM$3,0,0,'Données projet'!$E$10+1,1))-AVERAGE(OFFSET($H$3,0,0,'Données projet'!$E$10+1,1))</f>
        <v>778.88878506193896</v>
      </c>
      <c r="AO168" s="59">
        <f t="shared" si="144"/>
        <v>279.2078283764684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353.79032487517094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353.79032487517094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689</v>
      </c>
      <c r="O169" s="13">
        <f>N169*VLOOKUP('Données projet'!$B$9,Paramètres!$A$1:$I$89,3,0)*VLOOKUP('Données projet'!$B$9,Paramètres!$A$1:$I$89,5,0)</f>
        <v>412.02199999999999</v>
      </c>
      <c r="P169" s="13">
        <f t="shared" si="141"/>
        <v>94.209724877926391</v>
      </c>
      <c r="Q169" s="20">
        <f t="shared" si="162"/>
        <v>881.686920829055</v>
      </c>
      <c r="R169" s="59">
        <f t="shared" si="109"/>
        <v>1175.0202541623883</v>
      </c>
      <c r="S169" s="59">
        <f ca="1">AVERAGE(OFFSET($R$3,0,0,'Données projet'!$E$9+1,1))-AVERAGE(OFFSET($H$3,0,0,'Données projet'!$E$9+1,1))</f>
        <v>504.81063008331739</v>
      </c>
      <c r="T169" s="59">
        <f t="shared" si="142"/>
        <v>441.82647565372287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17.823053330137409</v>
      </c>
      <c r="AA169" s="21">
        <f>EXP(-LN(2)/25)*AA168+(1-EXP(-LN(2)/25))/(LN(2)/25)*Calculateur!V169*Calculateur!X169*VLOOKUP('Données projet'!$B$9,Paramètres!$A$1:$I$89,3,0)*0.475*44/12</f>
        <v>1.3563100797887291</v>
      </c>
      <c r="AB169" s="21">
        <f>EXP(-LN(2)/2)*AB168+(1-EXP(-LN(2)/2))/(LN(2)/2)*V169*Y169*VLOOKUP('Données projet'!$B$9,Paramètres!$A$1:$I$89,3,0)*0.475*44/12</f>
        <v>1.7741898332065102E-22</v>
      </c>
      <c r="AC169" s="22">
        <f t="shared" si="163"/>
        <v>19.17936340992614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21.172319999999939</v>
      </c>
      <c r="AK169" s="13">
        <f t="shared" si="164"/>
        <v>6.8391332707776806</v>
      </c>
      <c r="AL169" s="20">
        <f t="shared" si="165"/>
        <v>48.786614446604354</v>
      </c>
      <c r="AM169" s="59">
        <f t="shared" si="113"/>
        <v>342.11994777993766</v>
      </c>
      <c r="AN169" s="59">
        <f ca="1">AVERAGE(OFFSET($AM$3,0,0,'Données projet'!$E$10+1,1))-AVERAGE(OFFSET($H$3,0,0,'Données projet'!$E$10+1,1))</f>
        <v>778.88878506193896</v>
      </c>
      <c r="AO169" s="59">
        <f t="shared" si="144"/>
        <v>279.2078283764684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346.85271239515941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346.85271239515941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689</v>
      </c>
      <c r="O170" s="13">
        <f>N170*VLOOKUP('Données projet'!$B$9,Paramètres!$A$1:$I$89,3,0)*VLOOKUP('Données projet'!$B$9,Paramètres!$A$1:$I$89,5,0)</f>
        <v>412.02199999999999</v>
      </c>
      <c r="P170" s="13">
        <f t="shared" si="141"/>
        <v>94.209724877926391</v>
      </c>
      <c r="Q170" s="20">
        <f t="shared" si="162"/>
        <v>881.686920829055</v>
      </c>
      <c r="R170" s="59">
        <f t="shared" si="109"/>
        <v>1175.0202541623883</v>
      </c>
      <c r="S170" s="59">
        <f ca="1">AVERAGE(OFFSET($R$3,0,0,'Données projet'!$E$9+1,1))-AVERAGE(OFFSET($H$3,0,0,'Données projet'!$E$9+1,1))</f>
        <v>504.81063008331739</v>
      </c>
      <c r="T170" s="59">
        <f t="shared" si="142"/>
        <v>441.82647565372287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17.473554125322526</v>
      </c>
      <c r="AA170" s="21">
        <f>EXP(-LN(2)/25)*AA169+(1-EXP(-LN(2)/25))/(LN(2)/25)*Calculateur!V170*Calculateur!X170*VLOOKUP('Données projet'!$B$9,Paramètres!$A$1:$I$89,3,0)*0.475*44/12</f>
        <v>1.3192217093316592</v>
      </c>
      <c r="AB170" s="21">
        <f>EXP(-LN(2)/2)*AB169+(1-EXP(-LN(2)/2))/(LN(2)/2)*V170*Y170*VLOOKUP('Données projet'!$B$9,Paramètres!$A$1:$I$89,3,0)*0.475*44/12</f>
        <v>1.254541662172553E-22</v>
      </c>
      <c r="AC170" s="22">
        <f t="shared" si="163"/>
        <v>18.792775834654186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21.172319999999939</v>
      </c>
      <c r="AK170" s="13">
        <f t="shared" si="164"/>
        <v>6.8391332707776806</v>
      </c>
      <c r="AL170" s="20">
        <f t="shared" si="165"/>
        <v>48.786614446604354</v>
      </c>
      <c r="AM170" s="59">
        <f t="shared" si="113"/>
        <v>342.11994777993766</v>
      </c>
      <c r="AN170" s="59">
        <f ca="1">AVERAGE(OFFSET($AM$3,0,0,'Données projet'!$E$10+1,1))-AVERAGE(OFFSET($H$3,0,0,'Données projet'!$E$10+1,1))</f>
        <v>778.88878506193896</v>
      </c>
      <c r="AO170" s="59">
        <f t="shared" si="144"/>
        <v>279.2078283764684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340.05114226435518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340.05114226435518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689</v>
      </c>
      <c r="O171" s="13">
        <f>N171*VLOOKUP('Données projet'!$B$9,Paramètres!$A$1:$I$89,3,0)*VLOOKUP('Données projet'!$B$9,Paramètres!$A$1:$I$89,5,0)</f>
        <v>412.02199999999999</v>
      </c>
      <c r="P171" s="13">
        <f t="shared" si="141"/>
        <v>94.209724877926391</v>
      </c>
      <c r="Q171" s="20">
        <f t="shared" si="162"/>
        <v>881.686920829055</v>
      </c>
      <c r="R171" s="59">
        <f t="shared" si="109"/>
        <v>1175.0202541623883</v>
      </c>
      <c r="S171" s="59">
        <f ca="1">AVERAGE(OFFSET($R$3,0,0,'Données projet'!$E$9+1,1))-AVERAGE(OFFSET($H$3,0,0,'Données projet'!$E$9+1,1))</f>
        <v>504.81063008331739</v>
      </c>
      <c r="T171" s="59">
        <f t="shared" si="142"/>
        <v>441.82647565372287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17.130908386740597</v>
      </c>
      <c r="AA171" s="21">
        <f>EXP(-LN(2)/25)*AA170+(1-EXP(-LN(2)/25))/(LN(2)/25)*Calculateur!V171*Calculateur!X171*VLOOKUP('Données projet'!$B$9,Paramètres!$A$1:$I$89,3,0)*0.475*44/12</f>
        <v>1.2831475223151303</v>
      </c>
      <c r="AB171" s="21">
        <f>EXP(-LN(2)/2)*AB170+(1-EXP(-LN(2)/2))/(LN(2)/2)*V171*Y171*VLOOKUP('Données projet'!$B$9,Paramètres!$A$1:$I$89,3,0)*0.475*44/12</f>
        <v>8.8709491660325511E-23</v>
      </c>
      <c r="AC171" s="22">
        <f t="shared" si="163"/>
        <v>18.414055909055726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21.172319999999939</v>
      </c>
      <c r="AK171" s="13">
        <f t="shared" si="164"/>
        <v>6.8391332707776806</v>
      </c>
      <c r="AL171" s="20">
        <f t="shared" si="165"/>
        <v>48.786614446604354</v>
      </c>
      <c r="AM171" s="59">
        <f t="shared" si="113"/>
        <v>342.11994777993766</v>
      </c>
      <c r="AN171" s="59">
        <f ca="1">AVERAGE(OFFSET($AM$3,0,0,'Données projet'!$E$10+1,1))-AVERAGE(OFFSET($H$3,0,0,'Données projet'!$E$10+1,1))</f>
        <v>778.88878506193896</v>
      </c>
      <c r="AO171" s="59">
        <f t="shared" si="144"/>
        <v>279.2078283764684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333.38294677526784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333.38294677526784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689</v>
      </c>
      <c r="O172" s="13">
        <f>N172*VLOOKUP('Données projet'!$B$9,Paramètres!$A$1:$I$89,3,0)*VLOOKUP('Données projet'!$B$9,Paramètres!$A$1:$I$89,5,0)</f>
        <v>412.02199999999999</v>
      </c>
      <c r="P172" s="13">
        <f t="shared" si="141"/>
        <v>94.209724877926391</v>
      </c>
      <c r="Q172" s="20">
        <f t="shared" si="162"/>
        <v>881.686920829055</v>
      </c>
      <c r="R172" s="59">
        <f t="shared" si="109"/>
        <v>1175.0202541623883</v>
      </c>
      <c r="S172" s="59">
        <f ca="1">AVERAGE(OFFSET($R$3,0,0,'Données projet'!$E$9+1,1))-AVERAGE(OFFSET($H$3,0,0,'Données projet'!$E$9+1,1))</f>
        <v>504.81063008331739</v>
      </c>
      <c r="T172" s="59">
        <f t="shared" si="142"/>
        <v>441.82647565372287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16.794981722098996</v>
      </c>
      <c r="AA172" s="21">
        <f>EXP(-LN(2)/25)*AA171+(1-EXP(-LN(2)/25))/(LN(2)/25)*Calculateur!V172*Calculateur!X172*VLOOKUP('Données projet'!$B$9,Paramètres!$A$1:$I$89,3,0)*0.475*44/12</f>
        <v>1.2480597858396276</v>
      </c>
      <c r="AB172" s="21">
        <f>EXP(-LN(2)/2)*AB171+(1-EXP(-LN(2)/2))/(LN(2)/2)*V172*Y172*VLOOKUP('Données projet'!$B$9,Paramètres!$A$1:$I$89,3,0)*0.475*44/12</f>
        <v>6.2727083108627652E-23</v>
      </c>
      <c r="AC172" s="22">
        <f t="shared" si="163"/>
        <v>18.043041507938625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21.172319999999939</v>
      </c>
      <c r="AK172" s="13">
        <f t="shared" si="164"/>
        <v>6.8391332707776806</v>
      </c>
      <c r="AL172" s="20">
        <f t="shared" si="165"/>
        <v>48.786614446604354</v>
      </c>
      <c r="AM172" s="59">
        <f t="shared" si="113"/>
        <v>342.11994777993766</v>
      </c>
      <c r="AN172" s="59">
        <f ca="1">AVERAGE(OFFSET($AM$3,0,0,'Données projet'!$E$10+1,1))-AVERAGE(OFFSET($H$3,0,0,'Données projet'!$E$10+1,1))</f>
        <v>778.88878506193896</v>
      </c>
      <c r="AO172" s="59">
        <f t="shared" si="144"/>
        <v>279.2078283764684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326.84551053252386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326.84551053252386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689</v>
      </c>
      <c r="O173" s="13">
        <f>N173*VLOOKUP('Données projet'!$B$9,Paramètres!$A$1:$I$89,3,0)*VLOOKUP('Données projet'!$B$9,Paramètres!$A$1:$I$89,5,0)</f>
        <v>412.02199999999999</v>
      </c>
      <c r="P173" s="13">
        <f t="shared" si="141"/>
        <v>94.209724877926391</v>
      </c>
      <c r="Q173" s="20">
        <f t="shared" si="162"/>
        <v>881.686920829055</v>
      </c>
      <c r="R173" s="59">
        <f t="shared" si="109"/>
        <v>1175.0202541623883</v>
      </c>
      <c r="S173" s="59">
        <f ca="1">AVERAGE(OFFSET($R$3,0,0,'Données projet'!$E$9+1,1))-AVERAGE(OFFSET($H$3,0,0,'Données projet'!$E$9+1,1))</f>
        <v>504.81063008331739</v>
      </c>
      <c r="T173" s="59">
        <f t="shared" si="142"/>
        <v>441.82647565372287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16.465642374455982</v>
      </c>
      <c r="AA173" s="21">
        <f>EXP(-LN(2)/25)*AA172+(1-EXP(-LN(2)/25))/(LN(2)/25)*Calculateur!V173*Calculateur!X173*VLOOKUP('Données projet'!$B$9,Paramètres!$A$1:$I$89,3,0)*0.475*44/12</f>
        <v>1.2139315253632315</v>
      </c>
      <c r="AB173" s="21">
        <f>EXP(-LN(2)/2)*AB172+(1-EXP(-LN(2)/2))/(LN(2)/2)*V173*Y173*VLOOKUP('Données projet'!$B$9,Paramètres!$A$1:$I$89,3,0)*0.475*44/12</f>
        <v>4.4354745830162755E-23</v>
      </c>
      <c r="AC173" s="22">
        <f t="shared" si="163"/>
        <v>17.679573899819214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21.172319999999939</v>
      </c>
      <c r="AK173" s="13">
        <f t="shared" si="164"/>
        <v>6.8391332707776806</v>
      </c>
      <c r="AL173" s="20">
        <f t="shared" si="165"/>
        <v>48.786614446604354</v>
      </c>
      <c r="AM173" s="59">
        <f t="shared" si="113"/>
        <v>342.11994777993766</v>
      </c>
      <c r="AN173" s="59">
        <f ca="1">AVERAGE(OFFSET($AM$3,0,0,'Données projet'!$E$10+1,1))-AVERAGE(OFFSET($H$3,0,0,'Données projet'!$E$10+1,1))</f>
        <v>778.88878506193896</v>
      </c>
      <c r="AO173" s="59">
        <f t="shared" si="144"/>
        <v>279.2078283764684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320.43626942705771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320.43626942705771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689</v>
      </c>
      <c r="O174" s="13">
        <f>N174*VLOOKUP('Données projet'!$B$9,Paramètres!$A$1:$I$89,3,0)*VLOOKUP('Données projet'!$B$9,Paramètres!$A$1:$I$89,5,0)</f>
        <v>412.02199999999999</v>
      </c>
      <c r="P174" s="13">
        <f t="shared" si="141"/>
        <v>94.209724877926391</v>
      </c>
      <c r="Q174" s="20">
        <f t="shared" si="162"/>
        <v>881.686920829055</v>
      </c>
      <c r="R174" s="59">
        <f t="shared" si="109"/>
        <v>1175.0202541623883</v>
      </c>
      <c r="S174" s="59">
        <f ca="1">AVERAGE(OFFSET($R$3,0,0,'Données projet'!$E$9+1,1))-AVERAGE(OFFSET($H$3,0,0,'Données projet'!$E$9+1,1))</f>
        <v>504.81063008331739</v>
      </c>
      <c r="T174" s="59">
        <f t="shared" si="142"/>
        <v>441.82647565372287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16.142761170543078</v>
      </c>
      <c r="AA174" s="21">
        <f>EXP(-LN(2)/25)*AA173+(1-EXP(-LN(2)/25))/(LN(2)/25)*Calculateur!V174*Calculateur!X174*VLOOKUP('Données projet'!$B$9,Paramètres!$A$1:$I$89,3,0)*0.475*44/12</f>
        <v>1.1807365039642894</v>
      </c>
      <c r="AB174" s="21">
        <f>EXP(-LN(2)/2)*AB173+(1-EXP(-LN(2)/2))/(LN(2)/2)*V174*Y174*VLOOKUP('Données projet'!$B$9,Paramètres!$A$1:$I$89,3,0)*0.475*44/12</f>
        <v>3.1363541554313826E-23</v>
      </c>
      <c r="AC174" s="22">
        <f t="shared" si="163"/>
        <v>17.323497674507369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21.172319999999939</v>
      </c>
      <c r="AK174" s="13">
        <f t="shared" si="164"/>
        <v>6.8391332707776806</v>
      </c>
      <c r="AL174" s="20">
        <f t="shared" si="165"/>
        <v>48.786614446604354</v>
      </c>
      <c r="AM174" s="59">
        <f t="shared" si="113"/>
        <v>342.11994777993766</v>
      </c>
      <c r="AN174" s="59">
        <f ca="1">AVERAGE(OFFSET($AM$3,0,0,'Données projet'!$E$10+1,1))-AVERAGE(OFFSET($H$3,0,0,'Données projet'!$E$10+1,1))</f>
        <v>778.88878506193896</v>
      </c>
      <c r="AO174" s="59">
        <f t="shared" si="144"/>
        <v>279.2078283764684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314.15270963041871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314.15270963041871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689</v>
      </c>
      <c r="O175" s="13">
        <f>N175*VLOOKUP('Données projet'!$B$9,Paramètres!$A$1:$I$89,3,0)*VLOOKUP('Données projet'!$B$9,Paramètres!$A$1:$I$89,5,0)</f>
        <v>412.02199999999999</v>
      </c>
      <c r="P175" s="13">
        <f t="shared" si="141"/>
        <v>94.209724877926391</v>
      </c>
      <c r="Q175" s="20">
        <f t="shared" si="162"/>
        <v>881.686920829055</v>
      </c>
      <c r="R175" s="59">
        <f t="shared" si="109"/>
        <v>1175.0202541623883</v>
      </c>
      <c r="S175" s="59">
        <f ca="1">AVERAGE(OFFSET($R$3,0,0,'Données projet'!$E$9+1,1))-AVERAGE(OFFSET($H$3,0,0,'Données projet'!$E$9+1,1))</f>
        <v>504.81063008331739</v>
      </c>
      <c r="T175" s="59">
        <f t="shared" si="142"/>
        <v>441.82647565372287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15.826211470100819</v>
      </c>
      <c r="AA175" s="21">
        <f>EXP(-LN(2)/25)*AA174+(1-EXP(-LN(2)/25))/(LN(2)/25)*Calculateur!V175*Calculateur!X175*VLOOKUP('Données projet'!$B$9,Paramètres!$A$1:$I$89,3,0)*0.475*44/12</f>
        <v>1.1484492021711519</v>
      </c>
      <c r="AB175" s="21">
        <f>EXP(-LN(2)/2)*AB174+(1-EXP(-LN(2)/2))/(LN(2)/2)*V175*Y175*VLOOKUP('Données projet'!$B$9,Paramètres!$A$1:$I$89,3,0)*0.475*44/12</f>
        <v>2.2177372915081378E-23</v>
      </c>
      <c r="AC175" s="22">
        <f t="shared" si="163"/>
        <v>16.97466067227197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21.172319999999939</v>
      </c>
      <c r="AK175" s="13">
        <f t="shared" si="164"/>
        <v>6.8391332707776806</v>
      </c>
      <c r="AL175" s="20">
        <f t="shared" si="165"/>
        <v>48.786614446604354</v>
      </c>
      <c r="AM175" s="59">
        <f t="shared" si="113"/>
        <v>342.11994777993766</v>
      </c>
      <c r="AN175" s="59">
        <f ca="1">AVERAGE(OFFSET($AM$3,0,0,'Données projet'!$E$10+1,1))-AVERAGE(OFFSET($H$3,0,0,'Données projet'!$E$10+1,1))</f>
        <v>778.88878506193896</v>
      </c>
      <c r="AO175" s="59">
        <f t="shared" si="144"/>
        <v>279.2078283764684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307.99236660879876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307.99236660879876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689</v>
      </c>
      <c r="O176" s="13">
        <f>N176*VLOOKUP('Données projet'!$B$9,Paramètres!$A$1:$I$89,3,0)*VLOOKUP('Données projet'!$B$9,Paramètres!$A$1:$I$89,5,0)</f>
        <v>412.02199999999999</v>
      </c>
      <c r="P176" s="13">
        <f t="shared" si="141"/>
        <v>94.209724877926391</v>
      </c>
      <c r="Q176" s="20">
        <f t="shared" si="162"/>
        <v>881.686920829055</v>
      </c>
      <c r="R176" s="59">
        <f t="shared" si="109"/>
        <v>1175.0202541623883</v>
      </c>
      <c r="S176" s="59">
        <f ca="1">AVERAGE(OFFSET($R$3,0,0,'Données projet'!$E$9+1,1))-AVERAGE(OFFSET($H$3,0,0,'Données projet'!$E$9+1,1))</f>
        <v>504.81063008331739</v>
      </c>
      <c r="T176" s="59">
        <f t="shared" si="142"/>
        <v>441.82647565372287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15.51586911620798</v>
      </c>
      <c r="AA176" s="21">
        <f>EXP(-LN(2)/25)*AA175+(1-EXP(-LN(2)/25))/(LN(2)/25)*Calculateur!V176*Calculateur!X176*VLOOKUP('Données projet'!$B$9,Paramètres!$A$1:$I$89,3,0)*0.475*44/12</f>
        <v>1.117044798343463</v>
      </c>
      <c r="AB176" s="21">
        <f>EXP(-LN(2)/2)*AB175+(1-EXP(-LN(2)/2))/(LN(2)/2)*V176*Y176*VLOOKUP('Données projet'!$B$9,Paramètres!$A$1:$I$89,3,0)*0.475*44/12</f>
        <v>1.5681770777156913E-23</v>
      </c>
      <c r="AC176" s="22">
        <f t="shared" si="163"/>
        <v>16.632913914551445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21.172319999999939</v>
      </c>
      <c r="AK176" s="13">
        <f t="shared" si="164"/>
        <v>6.8391332707776806</v>
      </c>
      <c r="AL176" s="20">
        <f t="shared" si="165"/>
        <v>48.786614446604354</v>
      </c>
      <c r="AM176" s="59">
        <f t="shared" si="113"/>
        <v>342.11994777993766</v>
      </c>
      <c r="AN176" s="59">
        <f ca="1">AVERAGE(OFFSET($AM$3,0,0,'Données projet'!$E$10+1,1))-AVERAGE(OFFSET($H$3,0,0,'Données projet'!$E$10+1,1))</f>
        <v>778.88878506193896</v>
      </c>
      <c r="AO176" s="59">
        <f t="shared" si="144"/>
        <v>279.2078283764684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301.95282415639451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301.95282415639451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689</v>
      </c>
      <c r="O177" s="13">
        <f>N177*VLOOKUP('Données projet'!$B$9,Paramètres!$A$1:$I$89,3,0)*VLOOKUP('Données projet'!$B$9,Paramètres!$A$1:$I$89,5,0)</f>
        <v>412.02199999999999</v>
      </c>
      <c r="P177" s="13">
        <f t="shared" si="141"/>
        <v>94.209724877926391</v>
      </c>
      <c r="Q177" s="20">
        <f t="shared" si="162"/>
        <v>881.686920829055</v>
      </c>
      <c r="R177" s="59">
        <f t="shared" si="109"/>
        <v>1175.0202541623883</v>
      </c>
      <c r="S177" s="59">
        <f ca="1">AVERAGE(OFFSET($R$3,0,0,'Données projet'!$E$9+1,1))-AVERAGE(OFFSET($H$3,0,0,'Données projet'!$E$9+1,1))</f>
        <v>504.81063008331739</v>
      </c>
      <c r="T177" s="59">
        <f t="shared" si="142"/>
        <v>441.82647565372287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15.211612386584836</v>
      </c>
      <c r="AA177" s="21">
        <f>EXP(-LN(2)/25)*AA176+(1-EXP(-LN(2)/25))/(LN(2)/25)*Calculateur!V177*Calculateur!X177*VLOOKUP('Données projet'!$B$9,Paramètres!$A$1:$I$89,3,0)*0.475*44/12</f>
        <v>1.0864991495899281</v>
      </c>
      <c r="AB177" s="21">
        <f>EXP(-LN(2)/2)*AB176+(1-EXP(-LN(2)/2))/(LN(2)/2)*V177*Y177*VLOOKUP('Données projet'!$B$9,Paramètres!$A$1:$I$89,3,0)*0.475*44/12</f>
        <v>1.1088686457540689E-23</v>
      </c>
      <c r="AC177" s="22">
        <f t="shared" si="163"/>
        <v>16.298111536174765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21.172319999999939</v>
      </c>
      <c r="AK177" s="13">
        <f t="shared" si="164"/>
        <v>6.8391332707776806</v>
      </c>
      <c r="AL177" s="20">
        <f t="shared" si="165"/>
        <v>48.786614446604354</v>
      </c>
      <c r="AM177" s="59">
        <f t="shared" si="113"/>
        <v>342.11994777993766</v>
      </c>
      <c r="AN177" s="59">
        <f ca="1">AVERAGE(OFFSET($AM$3,0,0,'Données projet'!$E$10+1,1))-AVERAGE(OFFSET($H$3,0,0,'Données projet'!$E$10+1,1))</f>
        <v>778.88878506193896</v>
      </c>
      <c r="AO177" s="59">
        <f t="shared" si="144"/>
        <v>279.2078283764684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296.03171344772477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296.03171344772477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689</v>
      </c>
      <c r="O178" s="13">
        <f>N178*VLOOKUP('Données projet'!$B$9,Paramètres!$A$1:$I$89,3,0)*VLOOKUP('Données projet'!$B$9,Paramètres!$A$1:$I$89,5,0)</f>
        <v>412.02199999999999</v>
      </c>
      <c r="P178" s="13">
        <f t="shared" si="141"/>
        <v>94.209724877926391</v>
      </c>
      <c r="Q178" s="20">
        <f t="shared" si="162"/>
        <v>881.686920829055</v>
      </c>
      <c r="R178" s="59">
        <f t="shared" si="109"/>
        <v>1175.0202541623883</v>
      </c>
      <c r="S178" s="59">
        <f ca="1">AVERAGE(OFFSET($R$3,0,0,'Données projet'!$E$9+1,1))-AVERAGE(OFFSET($H$3,0,0,'Données projet'!$E$9+1,1))</f>
        <v>504.81063008331739</v>
      </c>
      <c r="T178" s="59">
        <f t="shared" si="142"/>
        <v>441.82647565372287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14.913321945851321</v>
      </c>
      <c r="AA178" s="21">
        <f>EXP(-LN(2)/25)*AA177+(1-EXP(-LN(2)/25))/(LN(2)/25)*Calculateur!V178*Calculateur!X178*VLOOKUP('Données projet'!$B$9,Paramètres!$A$1:$I$89,3,0)*0.475*44/12</f>
        <v>1.0567887732078844</v>
      </c>
      <c r="AB178" s="21">
        <f>EXP(-LN(2)/2)*AB177+(1-EXP(-LN(2)/2))/(LN(2)/2)*V178*Y178*VLOOKUP('Données projet'!$B$9,Paramètres!$A$1:$I$89,3,0)*0.475*44/12</f>
        <v>7.8408853885784565E-24</v>
      </c>
      <c r="AC178" s="22">
        <f t="shared" si="163"/>
        <v>15.970110719059205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21.172319999999939</v>
      </c>
      <c r="AK178" s="13">
        <f t="shared" si="164"/>
        <v>6.8391332707776806</v>
      </c>
      <c r="AL178" s="20">
        <f t="shared" si="165"/>
        <v>48.786614446604354</v>
      </c>
      <c r="AM178" s="59">
        <f t="shared" si="113"/>
        <v>342.11994777993766</v>
      </c>
      <c r="AN178" s="59">
        <f ca="1">AVERAGE(OFFSET($AM$3,0,0,'Données projet'!$E$10+1,1))-AVERAGE(OFFSET($H$3,0,0,'Données projet'!$E$10+1,1))</f>
        <v>778.88878506193896</v>
      </c>
      <c r="AO178" s="59">
        <f t="shared" si="144"/>
        <v>279.2078283764684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290.2267121085311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290.2267121085311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689</v>
      </c>
      <c r="O179" s="13">
        <f>N179*VLOOKUP('Données projet'!$B$9,Paramètres!$A$1:$I$89,3,0)*VLOOKUP('Données projet'!$B$9,Paramètres!$A$1:$I$89,5,0)</f>
        <v>412.02199999999999</v>
      </c>
      <c r="P179" s="13">
        <f t="shared" si="141"/>
        <v>94.209724877926391</v>
      </c>
      <c r="Q179" s="20">
        <f t="shared" si="162"/>
        <v>881.686920829055</v>
      </c>
      <c r="R179" s="59">
        <f t="shared" si="109"/>
        <v>1175.0202541623883</v>
      </c>
      <c r="S179" s="59">
        <f ca="1">AVERAGE(OFFSET($R$3,0,0,'Données projet'!$E$9+1,1))-AVERAGE(OFFSET($H$3,0,0,'Données projet'!$E$9+1,1))</f>
        <v>504.81063008331739</v>
      </c>
      <c r="T179" s="59">
        <f t="shared" si="142"/>
        <v>441.82647565372287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14.620880798721386</v>
      </c>
      <c r="AA179" s="21">
        <f>EXP(-LN(2)/25)*AA178+(1-EXP(-LN(2)/25))/(LN(2)/25)*Calculateur!V179*Calculateur!X179*VLOOKUP('Données projet'!$B$9,Paramètres!$A$1:$I$89,3,0)*0.475*44/12</f>
        <v>1.0278908286304085</v>
      </c>
      <c r="AB179" s="21">
        <f>EXP(-LN(2)/2)*AB178+(1-EXP(-LN(2)/2))/(LN(2)/2)*V179*Y179*VLOOKUP('Données projet'!$B$9,Paramètres!$A$1:$I$89,3,0)*0.475*44/12</f>
        <v>5.5443432287703444E-24</v>
      </c>
      <c r="AC179" s="22">
        <f t="shared" si="163"/>
        <v>15.648771627351794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21.172319999999939</v>
      </c>
      <c r="AK179" s="13">
        <f t="shared" si="164"/>
        <v>6.8391332707776806</v>
      </c>
      <c r="AL179" s="20">
        <f t="shared" si="165"/>
        <v>48.786614446604354</v>
      </c>
      <c r="AM179" s="59">
        <f t="shared" si="113"/>
        <v>342.11994777993766</v>
      </c>
      <c r="AN179" s="59">
        <f ca="1">AVERAGE(OFFSET($AM$3,0,0,'Données projet'!$E$10+1,1))-AVERAGE(OFFSET($H$3,0,0,'Données projet'!$E$10+1,1))</f>
        <v>778.88878506193896</v>
      </c>
      <c r="AO179" s="59">
        <f t="shared" si="144"/>
        <v>279.2078283764684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284.53554330489783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284.53554330489783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689</v>
      </c>
      <c r="O180" s="13">
        <f>N180*VLOOKUP('Données projet'!$B$9,Paramètres!$A$1:$I$89,3,0)*VLOOKUP('Données projet'!$B$9,Paramètres!$A$1:$I$89,5,0)</f>
        <v>412.02199999999999</v>
      </c>
      <c r="P180" s="13">
        <f t="shared" si="141"/>
        <v>94.209724877926391</v>
      </c>
      <c r="Q180" s="20">
        <f t="shared" si="162"/>
        <v>881.686920829055</v>
      </c>
      <c r="R180" s="59">
        <f t="shared" si="109"/>
        <v>1175.0202541623883</v>
      </c>
      <c r="S180" s="59">
        <f ca="1">AVERAGE(OFFSET($R$3,0,0,'Données projet'!$E$9+1,1))-AVERAGE(OFFSET($H$3,0,0,'Données projet'!$E$9+1,1))</f>
        <v>504.81063008331739</v>
      </c>
      <c r="T180" s="59">
        <f t="shared" si="142"/>
        <v>441.82647565372287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14.33417424411518</v>
      </c>
      <c r="AA180" s="21">
        <f>EXP(-LN(2)/25)*AA179+(1-EXP(-LN(2)/25))/(LN(2)/25)*Calculateur!V180*Calculateur!X180*VLOOKUP('Données projet'!$B$9,Paramètres!$A$1:$I$89,3,0)*0.475*44/12</f>
        <v>0.99978309986708058</v>
      </c>
      <c r="AB180" s="21">
        <f>EXP(-LN(2)/2)*AB179+(1-EXP(-LN(2)/2))/(LN(2)/2)*V180*Y180*VLOOKUP('Données projet'!$B$9,Paramètres!$A$1:$I$89,3,0)*0.475*44/12</f>
        <v>3.9204426942892283E-24</v>
      </c>
      <c r="AC180" s="22">
        <f t="shared" si="163"/>
        <v>15.333957343982261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21.172319999999939</v>
      </c>
      <c r="AK180" s="13">
        <f t="shared" si="164"/>
        <v>6.8391332707776806</v>
      </c>
      <c r="AL180" s="20">
        <f t="shared" si="165"/>
        <v>48.786614446604354</v>
      </c>
      <c r="AM180" s="59">
        <f t="shared" si="113"/>
        <v>342.11994777993766</v>
      </c>
      <c r="AN180" s="59">
        <f ca="1">AVERAGE(OFFSET($AM$3,0,0,'Données projet'!$E$10+1,1))-AVERAGE(OFFSET($H$3,0,0,'Données projet'!$E$10+1,1))</f>
        <v>778.88878506193896</v>
      </c>
      <c r="AO180" s="59">
        <f t="shared" si="144"/>
        <v>279.2078283764684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278.95597485023359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278.95597485023359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689</v>
      </c>
      <c r="O181" s="13">
        <f>N181*VLOOKUP('Données projet'!$B$9,Paramètres!$A$1:$I$89,3,0)*VLOOKUP('Données projet'!$B$9,Paramètres!$A$1:$I$89,5,0)</f>
        <v>412.02199999999999</v>
      </c>
      <c r="P181" s="13">
        <f t="shared" si="141"/>
        <v>94.209724877926391</v>
      </c>
      <c r="Q181" s="20">
        <f t="shared" si="162"/>
        <v>881.686920829055</v>
      </c>
      <c r="R181" s="59">
        <f t="shared" si="109"/>
        <v>1175.0202541623883</v>
      </c>
      <c r="S181" s="59">
        <f ca="1">AVERAGE(OFFSET($R$3,0,0,'Données projet'!$E$9+1,1))-AVERAGE(OFFSET($H$3,0,0,'Données projet'!$E$9+1,1))</f>
        <v>504.81063008331739</v>
      </c>
      <c r="T181" s="59">
        <f t="shared" si="142"/>
        <v>441.82647565372287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14.053089830171073</v>
      </c>
      <c r="AA181" s="21">
        <f>EXP(-LN(2)/25)*AA180+(1-EXP(-LN(2)/25))/(LN(2)/25)*Calculateur!V181*Calculateur!X181*VLOOKUP('Données projet'!$B$9,Paramètres!$A$1:$I$89,3,0)*0.475*44/12</f>
        <v>0.97244397842490704</v>
      </c>
      <c r="AB181" s="21">
        <f>EXP(-LN(2)/2)*AB180+(1-EXP(-LN(2)/2))/(LN(2)/2)*V181*Y181*VLOOKUP('Données projet'!$B$9,Paramètres!$A$1:$I$89,3,0)*0.475*44/12</f>
        <v>2.7721716143851722E-24</v>
      </c>
      <c r="AC181" s="22">
        <f t="shared" si="163"/>
        <v>15.025533808595981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21.172319999999939</v>
      </c>
      <c r="AK181" s="13">
        <f t="shared" si="164"/>
        <v>6.8391332707776806</v>
      </c>
      <c r="AL181" s="20">
        <f t="shared" si="165"/>
        <v>48.786614446604354</v>
      </c>
      <c r="AM181" s="59">
        <f t="shared" si="113"/>
        <v>342.11994777993766</v>
      </c>
      <c r="AN181" s="59">
        <f ca="1">AVERAGE(OFFSET($AM$3,0,0,'Données projet'!$E$10+1,1))-AVERAGE(OFFSET($H$3,0,0,'Données projet'!$E$10+1,1))</f>
        <v>778.88878506193896</v>
      </c>
      <c r="AO181" s="59">
        <f t="shared" si="144"/>
        <v>279.2078283764684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273.48581832976458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273.48581832976458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689</v>
      </c>
      <c r="O182" s="13">
        <f>N182*VLOOKUP('Données projet'!$B$9,Paramètres!$A$1:$I$89,3,0)*VLOOKUP('Données projet'!$B$9,Paramètres!$A$1:$I$89,5,0)</f>
        <v>412.02199999999999</v>
      </c>
      <c r="P182" s="13">
        <f t="shared" si="141"/>
        <v>94.209724877926391</v>
      </c>
      <c r="Q182" s="20">
        <f t="shared" si="162"/>
        <v>881.686920829055</v>
      </c>
      <c r="R182" s="59">
        <f t="shared" si="109"/>
        <v>1175.0202541623883</v>
      </c>
      <c r="S182" s="59">
        <f ca="1">AVERAGE(OFFSET($R$3,0,0,'Données projet'!$E$9+1,1))-AVERAGE(OFFSET($H$3,0,0,'Données projet'!$E$9+1,1))</f>
        <v>504.81063008331739</v>
      </c>
      <c r="T182" s="59">
        <f t="shared" si="142"/>
        <v>441.82647565372287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13.777517310139846</v>
      </c>
      <c r="AA182" s="21">
        <f>EXP(-LN(2)/25)*AA181+(1-EXP(-LN(2)/25))/(LN(2)/25)*Calculateur!V182*Calculateur!X182*VLOOKUP('Données projet'!$B$9,Paramètres!$A$1:$I$89,3,0)*0.475*44/12</f>
        <v>0.94585244669627166</v>
      </c>
      <c r="AB182" s="21">
        <f>EXP(-LN(2)/2)*AB181+(1-EXP(-LN(2)/2))/(LN(2)/2)*V182*Y182*VLOOKUP('Données projet'!$B$9,Paramètres!$A$1:$I$89,3,0)*0.475*44/12</f>
        <v>1.9602213471446141E-24</v>
      </c>
      <c r="AC182" s="22">
        <f t="shared" si="163"/>
        <v>14.723369756836117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21.172319999999939</v>
      </c>
      <c r="AK182" s="13">
        <f t="shared" si="164"/>
        <v>6.8391332707776806</v>
      </c>
      <c r="AL182" s="20">
        <f t="shared" si="165"/>
        <v>48.786614446604354</v>
      </c>
      <c r="AM182" s="59">
        <f t="shared" si="113"/>
        <v>342.11994777993766</v>
      </c>
      <c r="AN182" s="59">
        <f ca="1">AVERAGE(OFFSET($AM$3,0,0,'Données projet'!$E$10+1,1))-AVERAGE(OFFSET($H$3,0,0,'Données projet'!$E$10+1,1))</f>
        <v>778.88878506193896</v>
      </c>
      <c r="AO182" s="59">
        <f t="shared" si="144"/>
        <v>279.2078283764684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268.122928242196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268.122928242196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689</v>
      </c>
      <c r="O183" s="13">
        <f>N183*VLOOKUP('Données projet'!$B$9,Paramètres!$A$1:$I$89,3,0)*VLOOKUP('Données projet'!$B$9,Paramètres!$A$1:$I$89,5,0)</f>
        <v>412.02199999999999</v>
      </c>
      <c r="P183" s="13">
        <f t="shared" si="141"/>
        <v>94.209724877926391</v>
      </c>
      <c r="Q183" s="20">
        <f t="shared" si="162"/>
        <v>881.686920829055</v>
      </c>
      <c r="R183" s="59">
        <f t="shared" si="109"/>
        <v>1175.0202541623883</v>
      </c>
      <c r="S183" s="59">
        <f ca="1">AVERAGE(OFFSET($R$3,0,0,'Données projet'!$E$9+1,1))-AVERAGE(OFFSET($H$3,0,0,'Données projet'!$E$9+1,1))</f>
        <v>504.81063008331739</v>
      </c>
      <c r="T183" s="59">
        <f t="shared" si="142"/>
        <v>441.82647565372287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13.507348599143791</v>
      </c>
      <c r="AA183" s="21">
        <f>EXP(-LN(2)/25)*AA182+(1-EXP(-LN(2)/25))/(LN(2)/25)*Calculateur!V183*Calculateur!X183*VLOOKUP('Données projet'!$B$9,Paramètres!$A$1:$I$89,3,0)*0.475*44/12</f>
        <v>0.91998806180114368</v>
      </c>
      <c r="AB183" s="21">
        <f>EXP(-LN(2)/2)*AB182+(1-EXP(-LN(2)/2))/(LN(2)/2)*V183*Y183*VLOOKUP('Données projet'!$B$9,Paramètres!$A$1:$I$89,3,0)*0.475*44/12</f>
        <v>1.3860858071925861E-24</v>
      </c>
      <c r="AC183" s="22">
        <f t="shared" si="163"/>
        <v>14.427336660944935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21.172319999999939</v>
      </c>
      <c r="AK183" s="13">
        <f t="shared" si="164"/>
        <v>6.8391332707776806</v>
      </c>
      <c r="AL183" s="20">
        <f t="shared" si="165"/>
        <v>48.786614446604354</v>
      </c>
      <c r="AM183" s="59">
        <f t="shared" si="113"/>
        <v>342.11994777993766</v>
      </c>
      <c r="AN183" s="59">
        <f ca="1">AVERAGE(OFFSET($AM$3,0,0,'Données projet'!$E$10+1,1))-AVERAGE(OFFSET($H$3,0,0,'Données projet'!$E$10+1,1))</f>
        <v>778.88878506193896</v>
      </c>
      <c r="AO183" s="59">
        <f t="shared" si="144"/>
        <v>279.2078283764684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262.86520115820463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262.86520115820463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689</v>
      </c>
      <c r="O184" s="13">
        <f>N184*VLOOKUP('Données projet'!$B$9,Paramètres!$A$1:$I$89,3,0)*VLOOKUP('Données projet'!$B$9,Paramètres!$A$1:$I$89,5,0)</f>
        <v>412.02199999999999</v>
      </c>
      <c r="P184" s="13">
        <f t="shared" si="141"/>
        <v>94.209724877926391</v>
      </c>
      <c r="Q184" s="20">
        <f t="shared" si="162"/>
        <v>881.686920829055</v>
      </c>
      <c r="R184" s="59">
        <f t="shared" si="109"/>
        <v>1175.0202541623883</v>
      </c>
      <c r="S184" s="59">
        <f ca="1">AVERAGE(OFFSET($R$3,0,0,'Données projet'!$E$9+1,1))-AVERAGE(OFFSET($H$3,0,0,'Données projet'!$E$9+1,1))</f>
        <v>504.81063008331739</v>
      </c>
      <c r="T184" s="59">
        <f t="shared" si="142"/>
        <v>441.82647565372287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13.242477731783726</v>
      </c>
      <c r="AA184" s="21">
        <f>EXP(-LN(2)/25)*AA183+(1-EXP(-LN(2)/25))/(LN(2)/25)*Calculateur!V184*Calculateur!X184*VLOOKUP('Données projet'!$B$9,Paramètres!$A$1:$I$89,3,0)*0.475*44/12</f>
        <v>0.89483093987112194</v>
      </c>
      <c r="AB184" s="21">
        <f>EXP(-LN(2)/2)*AB183+(1-EXP(-LN(2)/2))/(LN(2)/2)*V184*Y184*VLOOKUP('Données projet'!$B$9,Paramètres!$A$1:$I$89,3,0)*0.475*44/12</f>
        <v>9.8011067357230706E-25</v>
      </c>
      <c r="AC184" s="22">
        <f t="shared" si="163"/>
        <v>14.137308671654848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21.172319999999939</v>
      </c>
      <c r="AK184" s="13">
        <f t="shared" si="164"/>
        <v>6.8391332707776806</v>
      </c>
      <c r="AL184" s="20">
        <f t="shared" si="165"/>
        <v>48.786614446604354</v>
      </c>
      <c r="AM184" s="59">
        <f t="shared" si="113"/>
        <v>342.11994777993766</v>
      </c>
      <c r="AN184" s="59">
        <f ca="1">AVERAGE(OFFSET($AM$3,0,0,'Données projet'!$E$10+1,1))-AVERAGE(OFFSET($H$3,0,0,'Données projet'!$E$10+1,1))</f>
        <v>778.88878506193896</v>
      </c>
      <c r="AO184" s="59">
        <f t="shared" si="144"/>
        <v>279.2078283764684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257.71057489543347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257.71057489543347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689</v>
      </c>
      <c r="O185" s="13">
        <f>N185*VLOOKUP('Données projet'!$B$9,Paramètres!$A$1:$I$89,3,0)*VLOOKUP('Données projet'!$B$9,Paramètres!$A$1:$I$89,5,0)</f>
        <v>412.02199999999999</v>
      </c>
      <c r="P185" s="13">
        <f t="shared" si="141"/>
        <v>94.209724877926391</v>
      </c>
      <c r="Q185" s="20">
        <f t="shared" si="162"/>
        <v>881.686920829055</v>
      </c>
      <c r="R185" s="59">
        <f t="shared" si="109"/>
        <v>1175.0202541623883</v>
      </c>
      <c r="S185" s="59">
        <f ca="1">AVERAGE(OFFSET($R$3,0,0,'Données projet'!$E$9+1,1))-AVERAGE(OFFSET($H$3,0,0,'Données projet'!$E$9+1,1))</f>
        <v>504.81063008331739</v>
      </c>
      <c r="T185" s="59">
        <f t="shared" si="142"/>
        <v>441.82647565372287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12.982800820577316</v>
      </c>
      <c r="AA185" s="21">
        <f>EXP(-LN(2)/25)*AA184+(1-EXP(-LN(2)/25))/(LN(2)/25)*Calculateur!V185*Calculateur!X185*VLOOKUP('Données projet'!$B$9,Paramètres!$A$1:$I$89,3,0)*0.475*44/12</f>
        <v>0.87036174076323214</v>
      </c>
      <c r="AB185" s="21">
        <f>EXP(-LN(2)/2)*AB184+(1-EXP(-LN(2)/2))/(LN(2)/2)*V185*Y185*VLOOKUP('Données projet'!$B$9,Paramètres!$A$1:$I$89,3,0)*0.475*44/12</f>
        <v>6.9304290359629305E-25</v>
      </c>
      <c r="AC185" s="22">
        <f t="shared" si="163"/>
        <v>13.853162561340548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21.172319999999939</v>
      </c>
      <c r="AK185" s="13">
        <f t="shared" si="164"/>
        <v>6.8391332707776806</v>
      </c>
      <c r="AL185" s="20">
        <f t="shared" si="165"/>
        <v>48.786614446604354</v>
      </c>
      <c r="AM185" s="59">
        <f t="shared" si="113"/>
        <v>342.11994777993766</v>
      </c>
      <c r="AN185" s="59">
        <f ca="1">AVERAGE(OFFSET($AM$3,0,0,'Données projet'!$E$10+1,1))-AVERAGE(OFFSET($H$3,0,0,'Données projet'!$E$10+1,1))</f>
        <v>778.88878506193896</v>
      </c>
      <c r="AO185" s="59">
        <f t="shared" si="144"/>
        <v>279.2078283764684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252.65702770966368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252.65702770966368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689</v>
      </c>
      <c r="O186" s="13">
        <f>N186*VLOOKUP('Données projet'!$B$9,Paramètres!$A$1:$I$89,3,0)*VLOOKUP('Données projet'!$B$9,Paramètres!$A$1:$I$89,5,0)</f>
        <v>412.02199999999999</v>
      </c>
      <c r="P186" s="13">
        <f t="shared" si="141"/>
        <v>94.209724877926391</v>
      </c>
      <c r="Q186" s="20">
        <f t="shared" si="162"/>
        <v>881.686920829055</v>
      </c>
      <c r="R186" s="59">
        <f t="shared" si="109"/>
        <v>1175.0202541623883</v>
      </c>
      <c r="S186" s="59">
        <f ca="1">AVERAGE(OFFSET($R$3,0,0,'Données projet'!$E$9+1,1))-AVERAGE(OFFSET($H$3,0,0,'Données projet'!$E$9+1,1))</f>
        <v>504.81063008331739</v>
      </c>
      <c r="T186" s="59">
        <f t="shared" si="142"/>
        <v>441.82647565372287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12.728216015212386</v>
      </c>
      <c r="AA186" s="21">
        <f>EXP(-LN(2)/25)*AA185+(1-EXP(-LN(2)/25))/(LN(2)/25)*Calculateur!V186*Calculateur!X186*VLOOKUP('Données projet'!$B$9,Paramètres!$A$1:$I$89,3,0)*0.475*44/12</f>
        <v>0.84656165319172683</v>
      </c>
      <c r="AB186" s="21">
        <f>EXP(-LN(2)/2)*AB185+(1-EXP(-LN(2)/2))/(LN(2)/2)*V186*Y186*VLOOKUP('Données projet'!$B$9,Paramètres!$A$1:$I$89,3,0)*0.475*44/12</f>
        <v>4.9005533678615353E-25</v>
      </c>
      <c r="AC186" s="22">
        <f t="shared" si="163"/>
        <v>13.574777668404113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21.172319999999939</v>
      </c>
      <c r="AK186" s="13">
        <f t="shared" si="164"/>
        <v>6.8391332707776806</v>
      </c>
      <c r="AL186" s="20">
        <f t="shared" si="165"/>
        <v>48.786614446604354</v>
      </c>
      <c r="AM186" s="59">
        <f t="shared" si="113"/>
        <v>342.11994777993766</v>
      </c>
      <c r="AN186" s="59">
        <f ca="1">AVERAGE(OFFSET($AM$3,0,0,'Données projet'!$E$10+1,1))-AVERAGE(OFFSET($H$3,0,0,'Données projet'!$E$10+1,1))</f>
        <v>778.88878506193896</v>
      </c>
      <c r="AO186" s="59">
        <f t="shared" si="144"/>
        <v>279.2078283764684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247.70257750184743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247.70257750184743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689</v>
      </c>
      <c r="O187" s="13">
        <f>N187*VLOOKUP('Données projet'!$B$9,Paramètres!$A$1:$I$89,3,0)*VLOOKUP('Données projet'!$B$9,Paramètres!$A$1:$I$89,5,0)</f>
        <v>412.02199999999999</v>
      </c>
      <c r="P187" s="13">
        <f t="shared" si="141"/>
        <v>94.209724877926391</v>
      </c>
      <c r="Q187" s="20">
        <f t="shared" si="162"/>
        <v>881.686920829055</v>
      </c>
      <c r="R187" s="59">
        <f t="shared" si="109"/>
        <v>1175.0202541623883</v>
      </c>
      <c r="S187" s="59">
        <f ca="1">AVERAGE(OFFSET($R$3,0,0,'Données projet'!$E$9+1,1))-AVERAGE(OFFSET($H$3,0,0,'Données projet'!$E$9+1,1))</f>
        <v>504.81063008331739</v>
      </c>
      <c r="T187" s="59">
        <f t="shared" si="142"/>
        <v>441.82647565372287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12.478623462599264</v>
      </c>
      <c r="AA187" s="21">
        <f>EXP(-LN(2)/25)*AA186+(1-EXP(-LN(2)/25))/(LN(2)/25)*Calculateur!V187*Calculateur!X187*VLOOKUP('Données projet'!$B$9,Paramètres!$A$1:$I$89,3,0)*0.475*44/12</f>
        <v>0.82341238026645658</v>
      </c>
      <c r="AB187" s="21">
        <f>EXP(-LN(2)/2)*AB186+(1-EXP(-LN(2)/2))/(LN(2)/2)*V187*Y187*VLOOKUP('Données projet'!$B$9,Paramètres!$A$1:$I$89,3,0)*0.475*44/12</f>
        <v>3.4652145179814653E-25</v>
      </c>
      <c r="AC187" s="22">
        <f t="shared" si="163"/>
        <v>13.30203584286572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21.172319999999939</v>
      </c>
      <c r="AK187" s="13">
        <f t="shared" si="164"/>
        <v>6.8391332707776806</v>
      </c>
      <c r="AL187" s="20">
        <f t="shared" si="165"/>
        <v>48.786614446604354</v>
      </c>
      <c r="AM187" s="59">
        <f t="shared" si="113"/>
        <v>342.11994777993766</v>
      </c>
      <c r="AN187" s="59">
        <f ca="1">AVERAGE(OFFSET($AM$3,0,0,'Données projet'!$E$10+1,1))-AVERAGE(OFFSET($H$3,0,0,'Données projet'!$E$10+1,1))</f>
        <v>778.88878506193896</v>
      </c>
      <c r="AO187" s="59">
        <f t="shared" si="144"/>
        <v>279.2078283764684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242.8452810406902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242.8452810406902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689</v>
      </c>
      <c r="O188" s="13">
        <f>N188*VLOOKUP('Données projet'!$B$9,Paramètres!$A$1:$I$89,3,0)*VLOOKUP('Données projet'!$B$9,Paramètres!$A$1:$I$89,5,0)</f>
        <v>412.02199999999999</v>
      </c>
      <c r="P188" s="13">
        <f t="shared" si="141"/>
        <v>94.209724877926391</v>
      </c>
      <c r="Q188" s="20">
        <f t="shared" si="162"/>
        <v>881.686920829055</v>
      </c>
      <c r="R188" s="59">
        <f t="shared" si="109"/>
        <v>1175.0202541623883</v>
      </c>
      <c r="S188" s="59">
        <f ca="1">AVERAGE(OFFSET($R$3,0,0,'Données projet'!$E$9+1,1))-AVERAGE(OFFSET($H$3,0,0,'Données projet'!$E$9+1,1))</f>
        <v>504.81063008331739</v>
      </c>
      <c r="T188" s="59">
        <f t="shared" si="142"/>
        <v>441.82647565372287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12.233925267706461</v>
      </c>
      <c r="AA188" s="21">
        <f>EXP(-LN(2)/25)*AA187+(1-EXP(-LN(2)/25))/(LN(2)/25)*Calculateur!V188*Calculateur!X188*VLOOKUP('Données projet'!$B$9,Paramètres!$A$1:$I$89,3,0)*0.475*44/12</f>
        <v>0.80089612542669519</v>
      </c>
      <c r="AB188" s="21">
        <f>EXP(-LN(2)/2)*AB187+(1-EXP(-LN(2)/2))/(LN(2)/2)*V188*Y188*VLOOKUP('Données projet'!$B$9,Paramètres!$A$1:$I$89,3,0)*0.475*44/12</f>
        <v>2.4502766839307677E-25</v>
      </c>
      <c r="AC188" s="22">
        <f t="shared" si="163"/>
        <v>13.034821393133155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21.172319999999939</v>
      </c>
      <c r="AK188" s="13">
        <f t="shared" si="164"/>
        <v>6.8391332707776806</v>
      </c>
      <c r="AL188" s="20">
        <f t="shared" si="165"/>
        <v>48.786614446604354</v>
      </c>
      <c r="AM188" s="59">
        <f t="shared" si="113"/>
        <v>342.11994777993766</v>
      </c>
      <c r="AN188" s="59">
        <f ca="1">AVERAGE(OFFSET($AM$3,0,0,'Données projet'!$E$10+1,1))-AVERAGE(OFFSET($H$3,0,0,'Données projet'!$E$10+1,1))</f>
        <v>778.88878506193896</v>
      </c>
      <c r="AO188" s="59">
        <f t="shared" si="144"/>
        <v>279.2078283764684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238.08323320047796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238.08323320047796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689</v>
      </c>
      <c r="O189" s="13">
        <f>N189*VLOOKUP('Données projet'!$B$9,Paramètres!$A$1:$I$89,3,0)*VLOOKUP('Données projet'!$B$9,Paramètres!$A$1:$I$89,5,0)</f>
        <v>412.02199999999999</v>
      </c>
      <c r="P189" s="13">
        <f t="shared" si="141"/>
        <v>94.209724877926391</v>
      </c>
      <c r="Q189" s="20">
        <f t="shared" si="162"/>
        <v>881.686920829055</v>
      </c>
      <c r="R189" s="59">
        <f t="shared" si="109"/>
        <v>1175.0202541623883</v>
      </c>
      <c r="S189" s="59">
        <f ca="1">AVERAGE(OFFSET($R$3,0,0,'Données projet'!$E$9+1,1))-AVERAGE(OFFSET($H$3,0,0,'Données projet'!$E$9+1,1))</f>
        <v>504.81063008331739</v>
      </c>
      <c r="T189" s="59">
        <f t="shared" si="142"/>
        <v>441.82647565372287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11.994025455164342</v>
      </c>
      <c r="AA189" s="21">
        <f>EXP(-LN(2)/25)*AA188+(1-EXP(-LN(2)/25))/(LN(2)/25)*Calculateur!V189*Calculateur!X189*VLOOKUP('Données projet'!$B$9,Paramètres!$A$1:$I$89,3,0)*0.475*44/12</f>
        <v>0.77899557875960546</v>
      </c>
      <c r="AB189" s="21">
        <f>EXP(-LN(2)/2)*AB188+(1-EXP(-LN(2)/2))/(LN(2)/2)*V189*Y189*VLOOKUP('Données projet'!$B$9,Paramètres!$A$1:$I$89,3,0)*0.475*44/12</f>
        <v>1.7326072589907326E-25</v>
      </c>
      <c r="AC189" s="22">
        <f t="shared" si="163"/>
        <v>12.773021033923948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21.172319999999939</v>
      </c>
      <c r="AK189" s="13">
        <f t="shared" si="164"/>
        <v>6.8391332707776806</v>
      </c>
      <c r="AL189" s="20">
        <f t="shared" si="165"/>
        <v>48.786614446604354</v>
      </c>
      <c r="AM189" s="59">
        <f t="shared" si="113"/>
        <v>342.11994777993766</v>
      </c>
      <c r="AN189" s="59">
        <f ca="1">AVERAGE(OFFSET($AM$3,0,0,'Données projet'!$E$10+1,1))-AVERAGE(OFFSET($H$3,0,0,'Données projet'!$E$10+1,1))</f>
        <v>778.88878506193896</v>
      </c>
      <c r="AO189" s="59">
        <f t="shared" si="144"/>
        <v>279.2078283764684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233.41456621384992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233.41456621384992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689</v>
      </c>
      <c r="O190" s="13">
        <f>N190*VLOOKUP('Données projet'!$B$9,Paramètres!$A$1:$I$89,3,0)*VLOOKUP('Données projet'!$B$9,Paramètres!$A$1:$I$89,5,0)</f>
        <v>412.02199999999999</v>
      </c>
      <c r="P190" s="13">
        <f t="shared" si="141"/>
        <v>94.209724877926391</v>
      </c>
      <c r="Q190" s="20">
        <f t="shared" si="162"/>
        <v>881.686920829055</v>
      </c>
      <c r="R190" s="59">
        <f t="shared" si="109"/>
        <v>1175.0202541623883</v>
      </c>
      <c r="S190" s="59">
        <f ca="1">AVERAGE(OFFSET($R$3,0,0,'Données projet'!$E$9+1,1))-AVERAGE(OFFSET($H$3,0,0,'Données projet'!$E$9+1,1))</f>
        <v>504.81063008331739</v>
      </c>
      <c r="T190" s="59">
        <f t="shared" si="142"/>
        <v>441.82647565372287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11.758829931621738</v>
      </c>
      <c r="AA190" s="21">
        <f>EXP(-LN(2)/25)*AA189+(1-EXP(-LN(2)/25))/(LN(2)/25)*Calculateur!V190*Calculateur!X190*VLOOKUP('Données projet'!$B$9,Paramètres!$A$1:$I$89,3,0)*0.475*44/12</f>
        <v>0.75769390369282696</v>
      </c>
      <c r="AB190" s="21">
        <f>EXP(-LN(2)/2)*AB189+(1-EXP(-LN(2)/2))/(LN(2)/2)*V190*Y190*VLOOKUP('Données projet'!$B$9,Paramètres!$A$1:$I$89,3,0)*0.475*44/12</f>
        <v>1.2251383419653838E-25</v>
      </c>
      <c r="AC190" s="22">
        <f t="shared" si="163"/>
        <v>12.516523835314565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21.172319999999939</v>
      </c>
      <c r="AK190" s="13">
        <f t="shared" si="164"/>
        <v>6.8391332707776806</v>
      </c>
      <c r="AL190" s="20">
        <f t="shared" si="165"/>
        <v>48.786614446604354</v>
      </c>
      <c r="AM190" s="59">
        <f t="shared" si="113"/>
        <v>342.11994777993766</v>
      </c>
      <c r="AN190" s="59">
        <f ca="1">AVERAGE(OFFSET($AM$3,0,0,'Données projet'!$E$10+1,1))-AVERAGE(OFFSET($H$3,0,0,'Données projet'!$E$10+1,1))</f>
        <v>778.88878506193896</v>
      </c>
      <c r="AO190" s="59">
        <f t="shared" si="144"/>
        <v>279.2078283764684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228.83744893922398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228.83744893922398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689</v>
      </c>
      <c r="O191" s="13">
        <f>N191*VLOOKUP('Données projet'!$B$9,Paramètres!$A$1:$I$89,3,0)*VLOOKUP('Données projet'!$B$9,Paramètres!$A$1:$I$89,5,0)</f>
        <v>412.02199999999999</v>
      </c>
      <c r="P191" s="13">
        <f t="shared" si="141"/>
        <v>94.209724877926391</v>
      </c>
      <c r="Q191" s="20">
        <f t="shared" si="162"/>
        <v>881.686920829055</v>
      </c>
      <c r="R191" s="59">
        <f t="shared" si="109"/>
        <v>1175.0202541623883</v>
      </c>
      <c r="S191" s="59">
        <f ca="1">AVERAGE(OFFSET($R$3,0,0,'Données projet'!$E$9+1,1))-AVERAGE(OFFSET($H$3,0,0,'Données projet'!$E$9+1,1))</f>
        <v>504.81063008331739</v>
      </c>
      <c r="T191" s="59">
        <f t="shared" si="142"/>
        <v>441.82647565372287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11.528246448840701</v>
      </c>
      <c r="AA191" s="21">
        <f>EXP(-LN(2)/25)*AA190+(1-EXP(-LN(2)/25))/(LN(2)/25)*Calculateur!V191*Calculateur!X191*VLOOKUP('Données projet'!$B$9,Paramètres!$A$1:$I$89,3,0)*0.475*44/12</f>
        <v>0.73697472405095599</v>
      </c>
      <c r="AB191" s="21">
        <f>EXP(-LN(2)/2)*AB190+(1-EXP(-LN(2)/2))/(LN(2)/2)*V191*Y191*VLOOKUP('Données projet'!$B$9,Paramètres!$A$1:$I$89,3,0)*0.475*44/12</f>
        <v>8.6630362949536631E-26</v>
      </c>
      <c r="AC191" s="22">
        <f t="shared" si="163"/>
        <v>12.265221172891657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21.172319999999939</v>
      </c>
      <c r="AK191" s="13">
        <f t="shared" si="164"/>
        <v>6.8391332707776806</v>
      </c>
      <c r="AL191" s="20">
        <f t="shared" si="165"/>
        <v>48.786614446604354</v>
      </c>
      <c r="AM191" s="59">
        <f t="shared" si="113"/>
        <v>342.11994777993766</v>
      </c>
      <c r="AN191" s="59">
        <f ca="1">AVERAGE(OFFSET($AM$3,0,0,'Données projet'!$E$10+1,1))-AVERAGE(OFFSET($H$3,0,0,'Données projet'!$E$10+1,1))</f>
        <v>778.88878506193896</v>
      </c>
      <c r="AO191" s="59">
        <f t="shared" si="144"/>
        <v>279.2078283764684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224.35008614258754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224.35008614258754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689</v>
      </c>
      <c r="O192" s="13">
        <f>N192*VLOOKUP('Données projet'!$B$9,Paramètres!$A$1:$I$89,3,0)*VLOOKUP('Données projet'!$B$9,Paramètres!$A$1:$I$89,5,0)</f>
        <v>412.02199999999999</v>
      </c>
      <c r="P192" s="13">
        <f t="shared" si="141"/>
        <v>94.209724877926391</v>
      </c>
      <c r="Q192" s="20">
        <f t="shared" si="162"/>
        <v>881.686920829055</v>
      </c>
      <c r="R192" s="59">
        <f t="shared" si="109"/>
        <v>1175.0202541623883</v>
      </c>
      <c r="S192" s="59">
        <f ca="1">AVERAGE(OFFSET($R$3,0,0,'Données projet'!$E$9+1,1))-AVERAGE(OFFSET($H$3,0,0,'Données projet'!$E$9+1,1))</f>
        <v>504.81063008331739</v>
      </c>
      <c r="T192" s="59">
        <f t="shared" si="142"/>
        <v>441.82647565372287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11.302184567514962</v>
      </c>
      <c r="AA192" s="21">
        <f>EXP(-LN(2)/25)*AA191+(1-EXP(-LN(2)/25))/(LN(2)/25)*Calculateur!V192*Calculateur!X192*VLOOKUP('Données projet'!$B$9,Paramètres!$A$1:$I$89,3,0)*0.475*44/12</f>
        <v>0.71682211146596619</v>
      </c>
      <c r="AB192" s="21">
        <f>EXP(-LN(2)/2)*AB191+(1-EXP(-LN(2)/2))/(LN(2)/2)*V192*Y192*VLOOKUP('Données projet'!$B$9,Paramètres!$A$1:$I$89,3,0)*0.475*44/12</f>
        <v>6.1256917098269191E-26</v>
      </c>
      <c r="AC192" s="22">
        <f t="shared" si="163"/>
        <v>12.019006678980928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21.172319999999939</v>
      </c>
      <c r="AK192" s="13">
        <f t="shared" si="164"/>
        <v>6.8391332707776806</v>
      </c>
      <c r="AL192" s="20">
        <f t="shared" si="165"/>
        <v>48.786614446604354</v>
      </c>
      <c r="AM192" s="59">
        <f t="shared" si="113"/>
        <v>342.11994777993766</v>
      </c>
      <c r="AN192" s="59">
        <f ca="1">AVERAGE(OFFSET($AM$3,0,0,'Données projet'!$E$10+1,1))-AVERAGE(OFFSET($H$3,0,0,'Données projet'!$E$10+1,1))</f>
        <v>778.88878506193896</v>
      </c>
      <c r="AO192" s="59">
        <f t="shared" si="144"/>
        <v>279.2078283764684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219.95071779337212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219.95071779337212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689</v>
      </c>
      <c r="O193" s="13">
        <f>N193*VLOOKUP('Données projet'!$B$9,Paramètres!$A$1:$I$89,3,0)*VLOOKUP('Données projet'!$B$9,Paramètres!$A$1:$I$89,5,0)</f>
        <v>412.02199999999999</v>
      </c>
      <c r="P193" s="13">
        <f t="shared" si="141"/>
        <v>94.209724877926391</v>
      </c>
      <c r="Q193" s="20">
        <f t="shared" si="162"/>
        <v>881.686920829055</v>
      </c>
      <c r="R193" s="59">
        <f t="shared" si="109"/>
        <v>1175.0202541623883</v>
      </c>
      <c r="S193" s="59">
        <f ca="1">AVERAGE(OFFSET($R$3,0,0,'Données projet'!$E$9+1,1))-AVERAGE(OFFSET($H$3,0,0,'Données projet'!$E$9+1,1))</f>
        <v>504.81063008331739</v>
      </c>
      <c r="T193" s="59">
        <f t="shared" si="142"/>
        <v>441.82647565372287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11.080555621797888</v>
      </c>
      <c r="AA193" s="21">
        <f>EXP(-LN(2)/25)*AA192+(1-EXP(-LN(2)/25))/(LN(2)/25)*Calculateur!V193*Calculateur!X193*VLOOKUP('Données projet'!$B$9,Paramètres!$A$1:$I$89,3,0)*0.475*44/12</f>
        <v>0.69722057313189278</v>
      </c>
      <c r="AB193" s="21">
        <f>EXP(-LN(2)/2)*AB192+(1-EXP(-LN(2)/2))/(LN(2)/2)*V193*Y193*VLOOKUP('Données projet'!$B$9,Paramètres!$A$1:$I$89,3,0)*0.475*44/12</f>
        <v>4.3315181474768316E-26</v>
      </c>
      <c r="AC193" s="22">
        <f t="shared" si="163"/>
        <v>11.777776194929782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21.172319999999939</v>
      </c>
      <c r="AK193" s="13">
        <f t="shared" si="164"/>
        <v>6.8391332707776806</v>
      </c>
      <c r="AL193" s="20">
        <f t="shared" si="165"/>
        <v>48.786614446604354</v>
      </c>
      <c r="AM193" s="59">
        <f t="shared" si="113"/>
        <v>342.11994777993766</v>
      </c>
      <c r="AN193" s="59">
        <f ca="1">AVERAGE(OFFSET($AM$3,0,0,'Données projet'!$E$10+1,1))-AVERAGE(OFFSET($H$3,0,0,'Données projet'!$E$10+1,1))</f>
        <v>778.88878506193896</v>
      </c>
      <c r="AO193" s="59">
        <f t="shared" si="144"/>
        <v>279.2078283764684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215.63761837413509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215.63761837413509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689</v>
      </c>
      <c r="O194" s="13">
        <f>N194*VLOOKUP('Données projet'!$B$9,Paramètres!$A$1:$I$89,3,0)*VLOOKUP('Données projet'!$B$9,Paramètres!$A$1:$I$89,5,0)</f>
        <v>412.02199999999999</v>
      </c>
      <c r="P194" s="13">
        <f t="shared" si="141"/>
        <v>94.209724877926391</v>
      </c>
      <c r="Q194" s="20">
        <f t="shared" si="162"/>
        <v>881.686920829055</v>
      </c>
      <c r="R194" s="59">
        <f t="shared" si="109"/>
        <v>1175.0202541623883</v>
      </c>
      <c r="S194" s="59">
        <f ca="1">AVERAGE(OFFSET($R$3,0,0,'Données projet'!$E$9+1,1))-AVERAGE(OFFSET($H$3,0,0,'Données projet'!$E$9+1,1))</f>
        <v>504.81063008331739</v>
      </c>
      <c r="T194" s="59">
        <f t="shared" si="142"/>
        <v>441.82647565372287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10.863272684526017</v>
      </c>
      <c r="AA194" s="21">
        <f>EXP(-LN(2)/25)*AA193+(1-EXP(-LN(2)/25))/(LN(2)/25)*Calculateur!V194*Calculateur!X194*VLOOKUP('Données projet'!$B$9,Paramètres!$A$1:$I$89,3,0)*0.475*44/12</f>
        <v>0.67815503989436476</v>
      </c>
      <c r="AB194" s="21">
        <f>EXP(-LN(2)/2)*AB193+(1-EXP(-LN(2)/2))/(LN(2)/2)*V194*Y194*VLOOKUP('Données projet'!$B$9,Paramètres!$A$1:$I$89,3,0)*0.475*44/12</f>
        <v>3.0628458549134596E-26</v>
      </c>
      <c r="AC194" s="22">
        <f t="shared" si="163"/>
        <v>11.541427724420382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21.172319999999939</v>
      </c>
      <c r="AK194" s="13">
        <f t="shared" si="164"/>
        <v>6.8391332707776806</v>
      </c>
      <c r="AL194" s="20">
        <f t="shared" si="165"/>
        <v>48.786614446604354</v>
      </c>
      <c r="AM194" s="59">
        <f t="shared" si="113"/>
        <v>342.11994777993766</v>
      </c>
      <c r="AN194" s="59">
        <f ca="1">AVERAGE(OFFSET($AM$3,0,0,'Données projet'!$E$10+1,1))-AVERAGE(OFFSET($H$3,0,0,'Données projet'!$E$10+1,1))</f>
        <v>778.88878506193896</v>
      </c>
      <c r="AO194" s="59">
        <f t="shared" si="144"/>
        <v>279.2078283764684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211.4090962037784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211.4090962037784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689</v>
      </c>
      <c r="O195" s="13">
        <f>N195*VLOOKUP('Données projet'!$B$9,Paramètres!$A$1:$I$89,3,0)*VLOOKUP('Données projet'!$B$9,Paramètres!$A$1:$I$89,5,0)</f>
        <v>412.02199999999999</v>
      </c>
      <c r="P195" s="13">
        <f t="shared" si="141"/>
        <v>94.209724877926391</v>
      </c>
      <c r="Q195" s="20">
        <f t="shared" si="162"/>
        <v>881.686920829055</v>
      </c>
      <c r="R195" s="59">
        <f t="shared" ref="R195:R203" si="191">Q195+(I195+J195)*44/12</f>
        <v>1175.0202541623883</v>
      </c>
      <c r="S195" s="59">
        <f ca="1">AVERAGE(OFFSET($R$3,0,0,'Données projet'!$E$9+1,1))-AVERAGE(OFFSET($H$3,0,0,'Données projet'!$E$9+1,1))</f>
        <v>504.81063008331739</v>
      </c>
      <c r="T195" s="59">
        <f t="shared" si="142"/>
        <v>441.82647565372287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10.650250533124542</v>
      </c>
      <c r="AA195" s="21">
        <f>EXP(-LN(2)/25)*AA194+(1-EXP(-LN(2)/25))/(LN(2)/25)*Calculateur!V195*Calculateur!X195*VLOOKUP('Données projet'!$B$9,Paramètres!$A$1:$I$89,3,0)*0.475*44/12</f>
        <v>0.6596108546658298</v>
      </c>
      <c r="AB195" s="21">
        <f>EXP(-LN(2)/2)*AB194+(1-EXP(-LN(2)/2))/(LN(2)/2)*V195*Y195*VLOOKUP('Données projet'!$B$9,Paramètres!$A$1:$I$89,3,0)*0.475*44/12</f>
        <v>2.1657590737384158E-26</v>
      </c>
      <c r="AC195" s="22">
        <f t="shared" si="163"/>
        <v>11.309861387790372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21.172319999999939</v>
      </c>
      <c r="AK195" s="13">
        <f t="shared" si="164"/>
        <v>6.8391332707776806</v>
      </c>
      <c r="AL195" s="20">
        <f t="shared" si="165"/>
        <v>48.786614446604354</v>
      </c>
      <c r="AM195" s="59">
        <f t="shared" si="113"/>
        <v>342.11994777993766</v>
      </c>
      <c r="AN195" s="59">
        <f ca="1">AVERAGE(OFFSET($AM$3,0,0,'Données projet'!$E$10+1,1))-AVERAGE(OFFSET($H$3,0,0,'Données projet'!$E$10+1,1))</f>
        <v>778.88878506193896</v>
      </c>
      <c r="AO195" s="59">
        <f t="shared" si="144"/>
        <v>279.2078283764684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207.26349277403855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207.26349277403855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689</v>
      </c>
      <c r="O196" s="13">
        <f>N196*VLOOKUP('Données projet'!$B$9,Paramètres!$A$1:$I$89,3,0)*VLOOKUP('Données projet'!$B$9,Paramètres!$A$1:$I$89,5,0)</f>
        <v>412.02199999999999</v>
      </c>
      <c r="P196" s="13">
        <f t="shared" si="141"/>
        <v>94.209724877926391</v>
      </c>
      <c r="Q196" s="20">
        <f t="shared" si="162"/>
        <v>881.686920829055</v>
      </c>
      <c r="R196" s="59">
        <f t="shared" si="191"/>
        <v>1175.0202541623883</v>
      </c>
      <c r="S196" s="59">
        <f ca="1">AVERAGE(OFFSET($R$3,0,0,'Données projet'!$E$9+1,1))-AVERAGE(OFFSET($H$3,0,0,'Données projet'!$E$9+1,1))</f>
        <v>504.81063008331739</v>
      </c>
      <c r="T196" s="59">
        <f t="shared" si="142"/>
        <v>441.82647565372287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10.441405616181367</v>
      </c>
      <c r="AA196" s="21">
        <f>EXP(-LN(2)/25)*AA195+(1-EXP(-LN(2)/25))/(LN(2)/25)*Calculateur!V196*Calculateur!X196*VLOOKUP('Données projet'!$B$9,Paramètres!$A$1:$I$89,3,0)*0.475*44/12</f>
        <v>0.64157376115756537</v>
      </c>
      <c r="AB196" s="21">
        <f>EXP(-LN(2)/2)*AB195+(1-EXP(-LN(2)/2))/(LN(2)/2)*V196*Y196*VLOOKUP('Données projet'!$B$9,Paramètres!$A$1:$I$89,3,0)*0.475*44/12</f>
        <v>1.5314229274567298E-26</v>
      </c>
      <c r="AC196" s="22">
        <f t="shared" si="163"/>
        <v>11.082979377338932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21.172319999999939</v>
      </c>
      <c r="AK196" s="13">
        <f t="shared" si="164"/>
        <v>6.8391332707776806</v>
      </c>
      <c r="AL196" s="20">
        <f t="shared" si="165"/>
        <v>48.786614446604354</v>
      </c>
      <c r="AM196" s="59">
        <f t="shared" ref="AM196:AM203" si="193">AL196+(AD196+AE196)*44/12</f>
        <v>342.11994777993766</v>
      </c>
      <c r="AN196" s="59">
        <f ca="1">AVERAGE(OFFSET($AM$3,0,0,'Données projet'!$E$10+1,1))-AVERAGE(OFFSET($H$3,0,0,'Données projet'!$E$10+1,1))</f>
        <v>778.88878506193896</v>
      </c>
      <c r="AO196" s="59">
        <f t="shared" si="144"/>
        <v>279.2078283764684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203.19918209898748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203.19918209898748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689</v>
      </c>
      <c r="O197" s="13">
        <f>N197*VLOOKUP('Données projet'!$B$9,Paramètres!$A$1:$I$89,3,0)*VLOOKUP('Données projet'!$B$9,Paramètres!$A$1:$I$89,5,0)</f>
        <v>412.02199999999999</v>
      </c>
      <c r="P197" s="13">
        <f t="shared" ref="P197:P203" si="203">EXP(-1.0587+0.8836*LN(O197)+0.284)</f>
        <v>94.209724877926391</v>
      </c>
      <c r="Q197" s="20">
        <f t="shared" si="162"/>
        <v>881.686920829055</v>
      </c>
      <c r="R197" s="59">
        <f t="shared" si="191"/>
        <v>1175.0202541623883</v>
      </c>
      <c r="S197" s="59">
        <f ca="1">AVERAGE(OFFSET($R$3,0,0,'Données projet'!$E$9+1,1))-AVERAGE(OFFSET($H$3,0,0,'Données projet'!$E$9+1,1))</f>
        <v>504.81063008331739</v>
      </c>
      <c r="T197" s="59">
        <f t="shared" ref="T197:T203" si="204">$T$3</f>
        <v>441.82647565372287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10.236656020676627</v>
      </c>
      <c r="AA197" s="21">
        <f>EXP(-LN(2)/25)*AA196+(1-EXP(-LN(2)/25))/(LN(2)/25)*Calculateur!V197*Calculateur!X197*VLOOKUP('Données projet'!$B$9,Paramètres!$A$1:$I$89,3,0)*0.475*44/12</f>
        <v>0.62402989291981403</v>
      </c>
      <c r="AB197" s="21">
        <f>EXP(-LN(2)/2)*AB196+(1-EXP(-LN(2)/2))/(LN(2)/2)*V197*Y197*VLOOKUP('Données projet'!$B$9,Paramètres!$A$1:$I$89,3,0)*0.475*44/12</f>
        <v>1.0828795368692079E-26</v>
      </c>
      <c r="AC197" s="22">
        <f t="shared" si="163"/>
        <v>10.860685913596441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21.172319999999939</v>
      </c>
      <c r="AK197" s="13">
        <f t="shared" si="164"/>
        <v>6.8391332707776806</v>
      </c>
      <c r="AL197" s="20">
        <f t="shared" si="165"/>
        <v>48.786614446604354</v>
      </c>
      <c r="AM197" s="59">
        <f t="shared" si="193"/>
        <v>342.11994777993766</v>
      </c>
      <c r="AN197" s="59">
        <f ca="1">AVERAGE(OFFSET($AM$3,0,0,'Données projet'!$E$10+1,1))-AVERAGE(OFFSET($H$3,0,0,'Données projet'!$E$10+1,1))</f>
        <v>778.88878506193896</v>
      </c>
      <c r="AO197" s="59">
        <f t="shared" ref="AO197:AO203" si="205">$AO$3</f>
        <v>279.2078283764684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199.21457007728944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199.21457007728944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689</v>
      </c>
      <c r="O198" s="13">
        <f>N198*VLOOKUP('Données projet'!$B$9,Paramètres!$A$1:$I$89,3,0)*VLOOKUP('Données projet'!$B$9,Paramètres!$A$1:$I$89,5,0)</f>
        <v>412.02199999999999</v>
      </c>
      <c r="P198" s="13">
        <f t="shared" si="203"/>
        <v>94.209724877926391</v>
      </c>
      <c r="Q198" s="20">
        <f t="shared" si="162"/>
        <v>881.686920829055</v>
      </c>
      <c r="R198" s="59">
        <f t="shared" si="191"/>
        <v>1175.0202541623883</v>
      </c>
      <c r="S198" s="59">
        <f ca="1">AVERAGE(OFFSET($R$3,0,0,'Données projet'!$E$9+1,1))-AVERAGE(OFFSET($H$3,0,0,'Données projet'!$E$9+1,1))</f>
        <v>504.81063008331739</v>
      </c>
      <c r="T198" s="59">
        <f t="shared" si="204"/>
        <v>441.82647565372287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10.035921439854812</v>
      </c>
      <c r="AA198" s="21">
        <f>EXP(-LN(2)/25)*AA197+(1-EXP(-LN(2)/25))/(LN(2)/25)*Calculateur!V198*Calculateur!X198*VLOOKUP('Données projet'!$B$9,Paramètres!$A$1:$I$89,3,0)*0.475*44/12</f>
        <v>0.60696576268161584</v>
      </c>
      <c r="AB198" s="21">
        <f>EXP(-LN(2)/2)*AB197+(1-EXP(-LN(2)/2))/(LN(2)/2)*V198*Y198*VLOOKUP('Données projet'!$B$9,Paramètres!$A$1:$I$89,3,0)*0.475*44/12</f>
        <v>7.6571146372836489E-27</v>
      </c>
      <c r="AC198" s="22">
        <f t="shared" si="163"/>
        <v>10.642887202536429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21.172319999999939</v>
      </c>
      <c r="AK198" s="13">
        <f t="shared" si="164"/>
        <v>6.8391332707776806</v>
      </c>
      <c r="AL198" s="20">
        <f t="shared" si="165"/>
        <v>48.786614446604354</v>
      </c>
      <c r="AM198" s="59">
        <f t="shared" si="193"/>
        <v>342.11994777993766</v>
      </c>
      <c r="AN198" s="59">
        <f ca="1">AVERAGE(OFFSET($AM$3,0,0,'Données projet'!$E$10+1,1))-AVERAGE(OFFSET($H$3,0,0,'Données projet'!$E$10+1,1))</f>
        <v>778.88878506193896</v>
      </c>
      <c r="AO198" s="59">
        <f t="shared" si="205"/>
        <v>279.2078283764684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195.30809386696353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195.30809386696353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689</v>
      </c>
      <c r="O199" s="13">
        <f>N199*VLOOKUP('Données projet'!$B$9,Paramètres!$A$1:$I$89,3,0)*VLOOKUP('Données projet'!$B$9,Paramètres!$A$1:$I$89,5,0)</f>
        <v>412.02199999999999</v>
      </c>
      <c r="P199" s="13">
        <f t="shared" si="203"/>
        <v>94.209724877926391</v>
      </c>
      <c r="Q199" s="20">
        <f t="shared" si="162"/>
        <v>881.686920829055</v>
      </c>
      <c r="R199" s="59">
        <f t="shared" si="191"/>
        <v>1175.0202541623883</v>
      </c>
      <c r="S199" s="59">
        <f ca="1">AVERAGE(OFFSET($R$3,0,0,'Données projet'!$E$9+1,1))-AVERAGE(OFFSET($H$3,0,0,'Données projet'!$E$9+1,1))</f>
        <v>504.81063008331739</v>
      </c>
      <c r="T199" s="59">
        <f t="shared" si="204"/>
        <v>441.82647565372287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9.8391231417269083</v>
      </c>
      <c r="AA199" s="21">
        <f>EXP(-LN(2)/25)*AA198+(1-EXP(-LN(2)/25))/(LN(2)/25)*Calculateur!V199*Calculateur!X199*VLOOKUP('Données projet'!$B$9,Paramètres!$A$1:$I$89,3,0)*0.475*44/12</f>
        <v>0.59036825198214482</v>
      </c>
      <c r="AB199" s="21">
        <f>EXP(-LN(2)/2)*AB198+(1-EXP(-LN(2)/2))/(LN(2)/2)*V199*Y199*VLOOKUP('Données projet'!$B$9,Paramètres!$A$1:$I$89,3,0)*0.475*44/12</f>
        <v>5.4143976843460395E-27</v>
      </c>
      <c r="AC199" s="22">
        <f t="shared" si="163"/>
        <v>10.429491393709053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21.172319999999939</v>
      </c>
      <c r="AK199" s="13">
        <f t="shared" si="164"/>
        <v>6.8391332707776806</v>
      </c>
      <c r="AL199" s="20">
        <f t="shared" si="165"/>
        <v>48.786614446604354</v>
      </c>
      <c r="AM199" s="59">
        <f t="shared" si="193"/>
        <v>342.11994777993766</v>
      </c>
      <c r="AN199" s="59">
        <f ca="1">AVERAGE(OFFSET($AM$3,0,0,'Données projet'!$E$10+1,1))-AVERAGE(OFFSET($H$3,0,0,'Données projet'!$E$10+1,1))</f>
        <v>778.88878506193896</v>
      </c>
      <c r="AO199" s="59">
        <f t="shared" si="205"/>
        <v>279.2078283764684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191.4782212724069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191.4782212724069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689</v>
      </c>
      <c r="O200" s="13">
        <f>N200*VLOOKUP('Données projet'!$B$9,Paramètres!$A$1:$I$89,3,0)*VLOOKUP('Données projet'!$B$9,Paramètres!$A$1:$I$89,5,0)</f>
        <v>412.02199999999999</v>
      </c>
      <c r="P200" s="13">
        <f t="shared" si="203"/>
        <v>94.209724877926391</v>
      </c>
      <c r="Q200" s="20">
        <f t="shared" si="162"/>
        <v>881.686920829055</v>
      </c>
      <c r="R200" s="59">
        <f t="shared" si="191"/>
        <v>1175.0202541623883</v>
      </c>
      <c r="S200" s="59">
        <f ca="1">AVERAGE(OFFSET($R$3,0,0,'Données projet'!$E$9+1,1))-AVERAGE(OFFSET($H$3,0,0,'Données projet'!$E$9+1,1))</f>
        <v>504.81063008331739</v>
      </c>
      <c r="T200" s="59">
        <f t="shared" si="204"/>
        <v>441.82647565372287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9.6461839381901839</v>
      </c>
      <c r="AA200" s="21">
        <f>EXP(-LN(2)/25)*AA199+(1-EXP(-LN(2)/25))/(LN(2)/25)*Calculateur!V200*Calculateur!X200*VLOOKUP('Données projet'!$B$9,Paramètres!$A$1:$I$89,3,0)*0.475*44/12</f>
        <v>0.57422460108557605</v>
      </c>
      <c r="AB200" s="21">
        <f>EXP(-LN(2)/2)*AB199+(1-EXP(-LN(2)/2))/(LN(2)/2)*V200*Y200*VLOOKUP('Données projet'!$B$9,Paramètres!$A$1:$I$89,3,0)*0.475*44/12</f>
        <v>3.8285573186418245E-27</v>
      </c>
      <c r="AC200" s="22">
        <f t="shared" si="163"/>
        <v>10.220408539275759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21.172319999999939</v>
      </c>
      <c r="AK200" s="13">
        <f t="shared" si="164"/>
        <v>6.8391332707776806</v>
      </c>
      <c r="AL200" s="20">
        <f t="shared" si="165"/>
        <v>48.786614446604354</v>
      </c>
      <c r="AM200" s="59">
        <f t="shared" si="193"/>
        <v>342.11994777993766</v>
      </c>
      <c r="AN200" s="59">
        <f ca="1">AVERAGE(OFFSET($AM$3,0,0,'Données projet'!$E$10+1,1))-AVERAGE(OFFSET($H$3,0,0,'Données projet'!$E$10+1,1))</f>
        <v>778.88878506193896</v>
      </c>
      <c r="AO200" s="59">
        <f t="shared" si="205"/>
        <v>279.2078283764684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187.7234501434379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187.7234501434379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689</v>
      </c>
      <c r="O201" s="13">
        <f>N201*VLOOKUP('Données projet'!$B$9,Paramètres!$A$1:$I$89,3,0)*VLOOKUP('Données projet'!$B$9,Paramètres!$A$1:$I$89,5,0)</f>
        <v>412.02199999999999</v>
      </c>
      <c r="P201" s="13">
        <f t="shared" si="203"/>
        <v>94.209724877926391</v>
      </c>
      <c r="Q201" s="20">
        <f t="shared" si="162"/>
        <v>881.686920829055</v>
      </c>
      <c r="R201" s="59">
        <f t="shared" si="191"/>
        <v>1175.0202541623883</v>
      </c>
      <c r="S201" s="59">
        <f ca="1">AVERAGE(OFFSET($R$3,0,0,'Données projet'!$E$9+1,1))-AVERAGE(OFFSET($H$3,0,0,'Données projet'!$E$9+1,1))</f>
        <v>504.81063008331739</v>
      </c>
      <c r="T201" s="59">
        <f t="shared" si="204"/>
        <v>441.82647565372287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9.4570281547535195</v>
      </c>
      <c r="AA201" s="21">
        <f>EXP(-LN(2)/25)*AA200+(1-EXP(-LN(2)/25))/(LN(2)/25)*Calculateur!V201*Calculateur!X201*VLOOKUP('Données projet'!$B$9,Paramètres!$A$1:$I$89,3,0)*0.475*44/12</f>
        <v>0.55852239917173163</v>
      </c>
      <c r="AB201" s="21">
        <f>EXP(-LN(2)/2)*AB200+(1-EXP(-LN(2)/2))/(LN(2)/2)*V201*Y201*VLOOKUP('Données projet'!$B$9,Paramètres!$A$1:$I$89,3,0)*0.475*44/12</f>
        <v>2.7071988421730197E-27</v>
      </c>
      <c r="AC201" s="22">
        <f t="shared" si="163"/>
        <v>10.015550553925252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21.172319999999939</v>
      </c>
      <c r="AK201" s="13">
        <f t="shared" si="164"/>
        <v>6.8391332707776806</v>
      </c>
      <c r="AL201" s="20">
        <f t="shared" si="165"/>
        <v>48.786614446604354</v>
      </c>
      <c r="AM201" s="59">
        <f t="shared" si="193"/>
        <v>342.11994777993766</v>
      </c>
      <c r="AN201" s="59">
        <f ca="1">AVERAGE(OFFSET($AM$3,0,0,'Données projet'!$E$10+1,1))-AVERAGE(OFFSET($H$3,0,0,'Données projet'!$E$10+1,1))</f>
        <v>778.88878506193896</v>
      </c>
      <c r="AO201" s="59">
        <f t="shared" si="205"/>
        <v>279.2078283764684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184.04230778612373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184.04230778612373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689</v>
      </c>
      <c r="O202" s="13">
        <f>N202*VLOOKUP('Données projet'!$B$9,Paramètres!$A$1:$I$89,3,0)*VLOOKUP('Données projet'!$B$9,Paramètres!$A$1:$I$89,5,0)</f>
        <v>412.02199999999999</v>
      </c>
      <c r="P202" s="13">
        <f t="shared" si="203"/>
        <v>94.209724877926391</v>
      </c>
      <c r="Q202" s="20">
        <f t="shared" si="162"/>
        <v>881.686920829055</v>
      </c>
      <c r="R202" s="59">
        <f t="shared" si="191"/>
        <v>1175.0202541623883</v>
      </c>
      <c r="S202" s="59">
        <f ca="1">AVERAGE(OFFSET($R$3,0,0,'Données projet'!$E$9+1,1))-AVERAGE(OFFSET($H$3,0,0,'Données projet'!$E$9+1,1))</f>
        <v>504.81063008331739</v>
      </c>
      <c r="T202" s="59">
        <f t="shared" si="204"/>
        <v>441.82647565372287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9.2715816008564129</v>
      </c>
      <c r="AA202" s="21">
        <f>EXP(-LN(2)/25)*AA201+(1-EXP(-LN(2)/25))/(LN(2)/25)*Calculateur!V202*Calculateur!X202*VLOOKUP('Données projet'!$B$9,Paramètres!$A$1:$I$89,3,0)*0.475*44/12</f>
        <v>0.54324957479496416</v>
      </c>
      <c r="AB202" s="21">
        <f>EXP(-LN(2)/2)*AB201+(1-EXP(-LN(2)/2))/(LN(2)/2)*V202*Y202*VLOOKUP('Données projet'!$B$9,Paramètres!$A$1:$I$89,3,0)*0.475*44/12</f>
        <v>1.9142786593209122E-27</v>
      </c>
      <c r="AC202" s="22">
        <f t="shared" si="163"/>
        <v>9.8148311756513777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21.172319999999939</v>
      </c>
      <c r="AK202" s="13">
        <f t="shared" si="164"/>
        <v>6.8391332707776806</v>
      </c>
      <c r="AL202" s="20">
        <f t="shared" si="165"/>
        <v>48.786614446604354</v>
      </c>
      <c r="AM202" s="59">
        <f t="shared" si="193"/>
        <v>342.11994777993766</v>
      </c>
      <c r="AN202" s="59">
        <f ca="1">AVERAGE(OFFSET($AM$3,0,0,'Données projet'!$E$10+1,1))-AVERAGE(OFFSET($H$3,0,0,'Données projet'!$E$10+1,1))</f>
        <v>778.88878506193896</v>
      </c>
      <c r="AO202" s="59">
        <f t="shared" si="205"/>
        <v>279.2078283764684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180.43335038516136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180.43335038516136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689</v>
      </c>
      <c r="O203" s="13">
        <f>N203*VLOOKUP('Données projet'!$B$9,Paramètres!$A$1:$I$89,3,0)*VLOOKUP('Données projet'!$B$9,Paramètres!$A$1:$I$89,5,0)</f>
        <v>412.02199999999999</v>
      </c>
      <c r="P203" s="13">
        <f t="shared" si="203"/>
        <v>94.209724877926391</v>
      </c>
      <c r="Q203" s="20">
        <f t="shared" si="162"/>
        <v>881.686920829055</v>
      </c>
      <c r="R203" s="59">
        <f t="shared" si="191"/>
        <v>1175.0202541623883</v>
      </c>
      <c r="S203" s="59">
        <f ca="1">AVERAGE(OFFSET($R$3,0,0,'Données projet'!$E$9+1,1))-AVERAGE(OFFSET($H$3,0,0,'Données projet'!$E$9+1,1))</f>
        <v>504.81063008331739</v>
      </c>
      <c r="T203" s="59">
        <f t="shared" si="204"/>
        <v>441.82647565372287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9.0897715407700002</v>
      </c>
      <c r="AA203" s="21">
        <f>EXP(-LN(2)/25)*AA202+(1-EXP(-LN(2)/25))/(LN(2)/25)*Calculateur!V203*Calculateur!X203*VLOOKUP('Données projet'!$B$9,Paramètres!$A$1:$I$89,3,0)*0.475*44/12</f>
        <v>0.52839438660394233</v>
      </c>
      <c r="AB203" s="21">
        <f>EXP(-LN(2)/2)*AB202+(1-EXP(-LN(2)/2))/(LN(2)/2)*V203*Y203*VLOOKUP('Données projet'!$B$9,Paramètres!$A$1:$I$89,3,0)*0.475*44/12</f>
        <v>1.3535994210865099E-27</v>
      </c>
      <c r="AC203" s="22">
        <f t="shared" si="163"/>
        <v>9.6181659273739424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21.172319999999939</v>
      </c>
      <c r="AK203" s="13">
        <f t="shared" si="164"/>
        <v>6.8391332707776806</v>
      </c>
      <c r="AL203" s="20">
        <f t="shared" si="165"/>
        <v>48.786614446604354</v>
      </c>
      <c r="AM203" s="59">
        <f t="shared" si="193"/>
        <v>342.11994777993766</v>
      </c>
      <c r="AN203" s="59">
        <f ca="1">AVERAGE(OFFSET($AM$3,0,0,'Données projet'!$E$10+1,1))-AVERAGE(OFFSET($H$3,0,0,'Données projet'!$E$10+1,1))</f>
        <v>778.88878506193896</v>
      </c>
      <c r="AO203" s="59">
        <f t="shared" si="205"/>
        <v>279.2078283764684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176.89516243758521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176.89516243758521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1.3680212568593273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1.1690615875970631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8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9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8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0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0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9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8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9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D19" sqref="D19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laricio</v>
      </c>
      <c r="B6" s="144">
        <f>'Données projet'!D9</f>
        <v>3.3113333332680002</v>
      </c>
      <c r="C6" s="145">
        <f ca="1">IF(OR('Données projet'!B9="",'Données projet'!C9="",'Données projet'!C9=0%),0,Calculateur!S3)</f>
        <v>504.81063008331739</v>
      </c>
      <c r="D6" s="145">
        <f>IF(OR('Données projet'!B9="",'Données projet'!C9="",'Données projet'!C9=0%),0,Calculateur!T3)</f>
        <v>441.82647565372287</v>
      </c>
      <c r="E6" s="145">
        <f ca="1">MIN(C6,D6)</f>
        <v>441.82647565372287</v>
      </c>
      <c r="F6" s="145">
        <f ca="1">E6*B6</f>
        <v>1463.034736352495</v>
      </c>
      <c r="G6" s="145">
        <f ca="1">F6*(100%-'Données projet'!$C$24)*(100%-'Données projet'!$C$25)*(100%-'Données projet'!$C$26)*(100%-'Données projet'!$C$27)</f>
        <v>1119.2215733096587</v>
      </c>
      <c r="H6" s="146">
        <f>IF(OR('Données projet'!B9="",'Données projet'!C9="",'Données projet'!C9=0%),0,AVERAGE(Calculateur!$AC$3:$AC$33)*B6)</f>
        <v>42.248785397093805</v>
      </c>
      <c r="I6" s="147">
        <f>H6*(100%-'Données projet'!$C$24)*(100%-'Données projet'!$C$25)*(100%-'Données projet'!$C$26)*(100%-'Données projet'!$C$27)</f>
        <v>32.320320828776758</v>
      </c>
      <c r="J6" s="148">
        <f>IF(OR('Données projet'!B9="",'Données projet'!C9="",'Données projet'!C9=0%),0,SUM(Calculateur!$V$3:$V$33)*VLOOKUP('Données projet'!$B$9,Paramètres!$A$1:$I$89,9,0)*B6)</f>
        <v>289.04628666096369</v>
      </c>
      <c r="K6" s="149">
        <f>J6*(100%-'Données projet'!$C$24)*(100%-'Données projet'!$C$25)*(100%-'Données projet'!$C$26)*(100%-'Données projet'!$C$27)</f>
        <v>221.12040929563722</v>
      </c>
      <c r="L6" s="150">
        <f ca="1">G6+I6+K6</f>
        <v>1372.6623034340728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0.56866666673199995</v>
      </c>
      <c r="C7" s="145">
        <f ca="1">IF(OR('Données projet'!B10="",'Données projet'!C10="",'Données projet'!C10=0%),0,Calculateur!AN3)</f>
        <v>778.88878506193896</v>
      </c>
      <c r="D7" s="145">
        <f>IF(OR('Données projet'!B10="",'Données projet'!C10="",'Données projet'!C10=0%),0,Calculateur!AO3)</f>
        <v>279.2078283764684</v>
      </c>
      <c r="E7" s="145">
        <f t="shared" ref="E7:E15" ca="1" si="0">MIN(C7,D7)</f>
        <v>279.2078283764684</v>
      </c>
      <c r="F7" s="145">
        <f t="shared" ref="F7:F15" ca="1" si="1">E7*B7</f>
        <v>158.7761850883266</v>
      </c>
      <c r="G7" s="145">
        <f ca="1">F7*(100%-'Données projet'!$C$24)*(100%-'Données projet'!$C$25)*(100%-'Données projet'!$C$26)*(100%-'Données projet'!$C$27)</f>
        <v>121.46378159256984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121.46378159256984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1621.8109214408216</v>
      </c>
      <c r="G16" s="164">
        <f t="shared" ca="1" si="3"/>
        <v>1240.6853549022285</v>
      </c>
      <c r="H16" s="165">
        <f t="shared" si="3"/>
        <v>42.248785397093805</v>
      </c>
      <c r="I16" s="165">
        <f t="shared" si="3"/>
        <v>32.320320828776758</v>
      </c>
      <c r="J16" s="166">
        <f t="shared" si="3"/>
        <v>289.04628666096369</v>
      </c>
      <c r="K16" s="166">
        <f t="shared" si="3"/>
        <v>221.12040929563722</v>
      </c>
      <c r="L16" s="167">
        <f t="shared" ca="1" si="3"/>
        <v>1494.1260850266426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J23" sqref="J2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315</v>
      </c>
      <c r="I4" s="265"/>
      <c r="K4" s="307" t="s">
        <v>253</v>
      </c>
      <c r="L4" s="308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laricio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-783.40577619699354</v>
      </c>
      <c r="U10" s="176">
        <f>'Données projet'!D9</f>
        <v>3.3113333332680002</v>
      </c>
      <c r="V10" s="175">
        <f>U10*T10</f>
        <v>-2594.1176601957955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-2467.33</v>
      </c>
      <c r="U11" s="176">
        <f>'Données projet'!D10</f>
        <v>0.56866666673199995</v>
      </c>
      <c r="V11" s="175">
        <f t="shared" ref="V11" si="0">U11*T11</f>
        <v>-1403.0883268278653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laricio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0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0"/>
      <c r="H16" s="188"/>
      <c r="I16" s="189"/>
      <c r="J16" s="200"/>
      <c r="K16" s="206"/>
      <c r="L16" s="307" t="s">
        <v>254</v>
      </c>
      <c r="M16" s="308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1850.5</v>
      </c>
      <c r="F17" s="228"/>
      <c r="G17" s="310"/>
      <c r="J17" s="200"/>
      <c r="K17" s="206"/>
      <c r="L17" s="267" t="s">
        <v>289</v>
      </c>
      <c r="M17" s="269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0"/>
      <c r="J18" s="200"/>
      <c r="K18" s="206"/>
      <c r="L18" s="267" t="s">
        <v>255</v>
      </c>
      <c r="M18" s="269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0"/>
      <c r="H19" s="210" t="s">
        <v>178</v>
      </c>
      <c r="I19" s="210" t="s">
        <v>287</v>
      </c>
      <c r="J19" s="91"/>
      <c r="K19" s="171"/>
      <c r="L19" s="307" t="s">
        <v>288</v>
      </c>
      <c r="M19" s="308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0"/>
      <c r="H20" s="188">
        <v>0</v>
      </c>
      <c r="I20" s="189">
        <v>2362.39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324.74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324.74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14</v>
      </c>
      <c r="C23" s="191">
        <v>15</v>
      </c>
      <c r="D23" s="180">
        <f>B23*C23</f>
        <v>210</v>
      </c>
      <c r="E23" s="191"/>
      <c r="F23" s="228"/>
      <c r="H23" s="188">
        <v>3</v>
      </c>
      <c r="I23" s="189">
        <v>324.74</v>
      </c>
      <c r="K23" s="206"/>
      <c r="L23" s="309" t="s">
        <v>260</v>
      </c>
      <c r="M23" s="309"/>
      <c r="N23" s="309"/>
      <c r="O23" s="23"/>
      <c r="P23" s="23"/>
      <c r="Q23" s="232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-16626.950082599884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63</v>
      </c>
      <c r="C24" s="191">
        <v>15</v>
      </c>
      <c r="D24" s="180">
        <f t="shared" ref="D24:D42" si="2">B24*C24</f>
        <v>945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63</v>
      </c>
      <c r="C25" s="191">
        <v>15</v>
      </c>
      <c r="D25" s="180">
        <f t="shared" si="2"/>
        <v>945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6">
        <f ca="1">T23-T24</f>
        <v>-16626.950082599884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63</v>
      </c>
      <c r="C26" s="191">
        <v>15</v>
      </c>
      <c r="D26" s="180">
        <f t="shared" si="2"/>
        <v>945</v>
      </c>
      <c r="E26" s="191"/>
      <c r="F26" s="231"/>
      <c r="G26" s="227"/>
      <c r="H26" s="188"/>
      <c r="I26" s="189"/>
      <c r="K26" s="206"/>
      <c r="L26" s="293" t="s">
        <v>258</v>
      </c>
      <c r="M26" s="294"/>
      <c r="N26" s="294"/>
      <c r="O26" s="294"/>
      <c r="P26" s="295"/>
      <c r="Q26" s="232"/>
      <c r="R26" s="23"/>
      <c r="S26" s="184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63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6"/>
      <c r="M27" s="297"/>
      <c r="N27" s="297"/>
      <c r="O27" s="297"/>
      <c r="P27" s="298"/>
      <c r="Q27" s="232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63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60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53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45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39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34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31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30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29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2467.33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2024-02-06T14:35:24Z</dcterms:modified>
</cp:coreProperties>
</file>