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JJ Laurent\Boisement JJL_Fiennes (62)\Dossier d_instruction\"/>
    </mc:Choice>
  </mc:AlternateContent>
  <xr:revisionPtr revIDLastSave="0" documentId="13_ncr:1_{696FBB92-F257-45F2-8CDF-C5CF665A4AEE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Y154" i="2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R164" i="2"/>
  <c r="ED163" i="2"/>
  <c r="EY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D189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D194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DI200" i="2"/>
  <c r="HG201" i="2"/>
  <c r="ED200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FZ6" i="2"/>
  <c r="FS202" i="2"/>
  <c r="EW202" i="2"/>
  <c r="EY201" i="2"/>
  <c r="ED201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D60" i="2" a="1"/>
  <c r="FD60" i="2" s="1"/>
  <c r="FD131" i="2" a="1"/>
  <c r="FD131" i="2" s="1"/>
  <c r="FD107" i="2" a="1"/>
  <c r="FD107" i="2" s="1"/>
  <c r="FD187" i="2" a="1"/>
  <c r="FD187" i="2" s="1"/>
  <c r="BC55" i="2" a="1"/>
  <c r="BC55" i="2" s="1"/>
  <c r="BC32" i="2" a="1"/>
  <c r="BC32" i="2" s="1"/>
  <c r="DN63" i="2" a="1"/>
  <c r="DN63" i="2" s="1"/>
  <c r="EI38" i="2" a="1"/>
  <c r="EI38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AX200" i="2"/>
  <c r="FD44" i="2" l="1" a="1"/>
  <c r="FD44" i="2" s="1"/>
  <c r="FD167" i="2" a="1"/>
  <c r="FD167" i="2" s="1"/>
  <c r="FD188" i="2" a="1"/>
  <c r="FD188" i="2" s="1"/>
  <c r="FD194" i="2" a="1"/>
  <c r="FD194" i="2" s="1"/>
  <c r="FD43" i="2" a="1"/>
  <c r="FD43" i="2" s="1"/>
  <c r="FD59" i="2" a="1"/>
  <c r="FD59" i="2" s="1"/>
  <c r="FD19" i="2" a="1"/>
  <c r="FD19" i="2" s="1"/>
  <c r="FD64" i="2" a="1"/>
  <c r="FD64" i="2" s="1"/>
  <c r="FD144" i="2" a="1"/>
  <c r="FD144" i="2" s="1"/>
  <c r="FD160" i="2" a="1"/>
  <c r="FD160" i="2" s="1"/>
  <c r="FD189" i="2" a="1"/>
  <c r="FD189" i="2" s="1"/>
  <c r="FD21" i="2" a="1"/>
  <c r="FD21" i="2" s="1"/>
  <c r="FD137" i="2" a="1"/>
  <c r="FD137" i="2" s="1"/>
  <c r="FD14" i="2" a="1"/>
  <c r="FD14" i="2" s="1"/>
  <c r="FD159" i="2" a="1"/>
  <c r="FD159" i="2" s="1"/>
  <c r="FD48" i="2" a="1"/>
  <c r="FD48" i="2" s="1"/>
  <c r="GT11" i="2" a="1"/>
  <c r="GT11" i="2" s="1"/>
  <c r="HJ202" i="2"/>
  <c r="EI150" i="2" a="1"/>
  <c r="EI150" i="2" s="1"/>
  <c r="GT51" i="2" a="1"/>
  <c r="GT51" i="2" s="1"/>
  <c r="GT198" i="2" a="1"/>
  <c r="GT198" i="2" s="1"/>
  <c r="GT174" i="2" a="1"/>
  <c r="GT174" i="2" s="1"/>
  <c r="GT21" i="2" a="1"/>
  <c r="GT21" i="2" s="1"/>
  <c r="GT102" i="2" a="1"/>
  <c r="GT102" i="2" s="1"/>
  <c r="GT68" i="2" a="1"/>
  <c r="GT68" i="2" s="1"/>
  <c r="GT12" i="2" a="1"/>
  <c r="GT12" i="2" s="1"/>
  <c r="GT147" i="2" a="1"/>
  <c r="GT147" i="2" s="1"/>
  <c r="GT181" i="2" a="1"/>
  <c r="GT181" i="2" s="1"/>
  <c r="GT190" i="2" a="1"/>
  <c r="GT190" i="2" s="1"/>
  <c r="GT38" i="2" a="1"/>
  <c r="GT38" i="2" s="1"/>
  <c r="GT152" i="2" a="1"/>
  <c r="GT152" i="2" s="1"/>
  <c r="GT115" i="2" a="1"/>
  <c r="GT115" i="2" s="1"/>
  <c r="GT191" i="2" a="1"/>
  <c r="GT191" i="2" s="1"/>
  <c r="GT126" i="2" a="1"/>
  <c r="GT126" i="2" s="1"/>
  <c r="GT33" i="2" a="1"/>
  <c r="GT33" i="2" s="1"/>
  <c r="GT15" i="2" a="1"/>
  <c r="GT15" i="2" s="1"/>
  <c r="GT74" i="2" a="1"/>
  <c r="GT74" i="2" s="1"/>
  <c r="GT133" i="2" a="1"/>
  <c r="GT133" i="2" s="1"/>
  <c r="GT138" i="2" a="1"/>
  <c r="GT138" i="2" s="1"/>
  <c r="GT178" i="2" a="1"/>
  <c r="GT178" i="2" s="1"/>
  <c r="GT121" i="2" a="1"/>
  <c r="GT121" i="2" s="1"/>
  <c r="GT107" i="2" a="1"/>
  <c r="GT107" i="2" s="1"/>
  <c r="GT189" i="2" a="1"/>
  <c r="GT189" i="2" s="1"/>
  <c r="GT122" i="2" a="1"/>
  <c r="GT122" i="2" s="1"/>
  <c r="FY167" i="2" a="1"/>
  <c r="FY167" i="2" s="1"/>
  <c r="FY80" i="2" a="1"/>
  <c r="FY80" i="2" s="1"/>
  <c r="FY30" i="2" a="1"/>
  <c r="FY30" i="2" s="1"/>
  <c r="FY58" i="2" a="1"/>
  <c r="FY58" i="2" s="1"/>
  <c r="FY121" i="2" a="1"/>
  <c r="FY121" i="2" s="1"/>
  <c r="FY82" i="2" a="1"/>
  <c r="FY82" i="2" s="1"/>
  <c r="FY115" i="2" a="1"/>
  <c r="FY115" i="2" s="1"/>
  <c r="FY86" i="2" a="1"/>
  <c r="FY86" i="2" s="1"/>
  <c r="FY142" i="2" a="1"/>
  <c r="FY142" i="2" s="1"/>
  <c r="FY104" i="2" a="1"/>
  <c r="FY104" i="2" s="1"/>
  <c r="FY34" i="2" a="1"/>
  <c r="FY34" i="2" s="1"/>
  <c r="FY24" i="2" a="1"/>
  <c r="FY24" i="2" s="1"/>
  <c r="FY42" i="2" a="1"/>
  <c r="FY42" i="2" s="1"/>
  <c r="FY196" i="2" a="1"/>
  <c r="FY196" i="2" s="1"/>
  <c r="FY182" i="2" a="1"/>
  <c r="FY182" i="2" s="1"/>
  <c r="FY169" i="2" a="1"/>
  <c r="FY169" i="2" s="1"/>
  <c r="FY62" i="2" a="1"/>
  <c r="FY62" i="2" s="1"/>
  <c r="FY99" i="2" a="1"/>
  <c r="FY99" i="2" s="1"/>
  <c r="FY72" i="2" a="1"/>
  <c r="FY72" i="2" s="1"/>
  <c r="FY172" i="2" a="1"/>
  <c r="FY172" i="2" s="1"/>
  <c r="FY149" i="2" a="1"/>
  <c r="FY149" i="2" s="1"/>
  <c r="FY124" i="2" a="1"/>
  <c r="FY124" i="2" s="1"/>
  <c r="FY164" i="2" a="1"/>
  <c r="FY164" i="2" s="1"/>
  <c r="FY28" i="2" a="1"/>
  <c r="FY28" i="2" s="1"/>
  <c r="FY78" i="2" a="1"/>
  <c r="FY78" i="2" s="1"/>
  <c r="FY111" i="2" a="1"/>
  <c r="FY111" i="2" s="1"/>
  <c r="FY73" i="2" a="1"/>
  <c r="FY73" i="2" s="1"/>
  <c r="FY22" i="2" a="1"/>
  <c r="FY22" i="2" s="1"/>
  <c r="FY190" i="2" a="1"/>
  <c r="FY190" i="2" s="1"/>
  <c r="FY178" i="2" a="1"/>
  <c r="FY178" i="2" s="1"/>
  <c r="FY69" i="2" a="1"/>
  <c r="FY69" i="2" s="1"/>
  <c r="FY55" i="2" a="1"/>
  <c r="FY55" i="2" s="1"/>
  <c r="FY126" i="2" a="1"/>
  <c r="FY126" i="2" s="1"/>
  <c r="FY188" i="2" a="1"/>
  <c r="FY188" i="2" s="1"/>
  <c r="FY116" i="2" a="1"/>
  <c r="FY116" i="2" s="1"/>
  <c r="FY159" i="2" a="1"/>
  <c r="FY159" i="2" s="1"/>
  <c r="FY174" i="2" a="1"/>
  <c r="FY174" i="2" s="1"/>
  <c r="FY152" i="2" a="1"/>
  <c r="FY152" i="2" s="1"/>
  <c r="FY18" i="2" a="1"/>
  <c r="FY18" i="2" s="1"/>
  <c r="FY92" i="2" a="1"/>
  <c r="FY92" i="2" s="1"/>
  <c r="FY186" i="2" a="1"/>
  <c r="FY186" i="2" s="1"/>
  <c r="FY173" i="2" a="1"/>
  <c r="FY173" i="2" s="1"/>
  <c r="FY66" i="2" a="1"/>
  <c r="FY66" i="2" s="1"/>
  <c r="FY71" i="2" a="1"/>
  <c r="FY71" i="2" s="1"/>
  <c r="FY140" i="2" a="1"/>
  <c r="FY140" i="2" s="1"/>
  <c r="FY35" i="2" a="1"/>
  <c r="FY35" i="2" s="1"/>
  <c r="FY143" i="2" a="1"/>
  <c r="FY143" i="2" s="1"/>
  <c r="FY191" i="2" a="1"/>
  <c r="FY191" i="2" s="1"/>
  <c r="FY110" i="2" a="1"/>
  <c r="FY110" i="2" s="1"/>
  <c r="FY153" i="2" a="1"/>
  <c r="FY153" i="2" s="1"/>
  <c r="FY102" i="2" a="1"/>
  <c r="FY102" i="2" s="1"/>
  <c r="FY133" i="2" a="1"/>
  <c r="FY133" i="2" s="1"/>
  <c r="FY32" i="2" a="1"/>
  <c r="FY32" i="2" s="1"/>
  <c r="FY120" i="2" a="1"/>
  <c r="FY120" i="2" s="1"/>
  <c r="FY165" i="2" a="1"/>
  <c r="FY165" i="2" s="1"/>
  <c r="FY146" i="2" a="1"/>
  <c r="FY146" i="2" s="1"/>
  <c r="FY57" i="2" a="1"/>
  <c r="FY57" i="2" s="1"/>
  <c r="FY47" i="2" a="1"/>
  <c r="FY47" i="2" s="1"/>
  <c r="FY29" i="2" a="1"/>
  <c r="FY29" i="2" s="1"/>
  <c r="FY90" i="2" a="1"/>
  <c r="FY90" i="2" s="1"/>
  <c r="FY54" i="2" a="1"/>
  <c r="FY54" i="2" s="1"/>
  <c r="FY50" i="2" a="1"/>
  <c r="FY50" i="2" s="1"/>
  <c r="FY109" i="2" a="1"/>
  <c r="FY109" i="2" s="1"/>
  <c r="FY79" i="2" a="1"/>
  <c r="FY79" i="2" s="1"/>
  <c r="AH163" i="2" a="1"/>
  <c r="AH163" i="2" s="1"/>
  <c r="AH62" i="2" a="1"/>
  <c r="AH62" i="2" s="1"/>
  <c r="CS72" i="2" a="1"/>
  <c r="CS72" i="2" s="1"/>
  <c r="AH19" i="2" a="1"/>
  <c r="AH19" i="2" s="1"/>
  <c r="CS129" i="2" a="1"/>
  <c r="CS129" i="2" s="1"/>
  <c r="HH203" i="2"/>
  <c r="GT184" i="2" a="1"/>
  <c r="GT184" i="2" s="1"/>
  <c r="EI170" i="2" a="1"/>
  <c r="EI170" i="2" s="1"/>
  <c r="EI166" i="2" a="1"/>
  <c r="EI166" i="2" s="1"/>
  <c r="EI20" i="2" a="1"/>
  <c r="EI20" i="2" s="1"/>
  <c r="EI57" i="2" a="1"/>
  <c r="EI57" i="2" s="1"/>
  <c r="EI142" i="2" a="1"/>
  <c r="EI142" i="2" s="1"/>
  <c r="EI36" i="2" a="1"/>
  <c r="EI36" i="2" s="1"/>
  <c r="EI195" i="2" a="1"/>
  <c r="EI195" i="2" s="1"/>
  <c r="EI178" i="2" a="1"/>
  <c r="EI178" i="2" s="1"/>
  <c r="EI29" i="2" a="1"/>
  <c r="EI29" i="2" s="1"/>
  <c r="EI198" i="2" a="1"/>
  <c r="EI198" i="2" s="1"/>
  <c r="EI16" i="2" a="1"/>
  <c r="EI16" i="2" s="1"/>
  <c r="EI139" i="2" a="1"/>
  <c r="EI139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Y202" i="2"/>
  <c r="EI35" i="2" a="1"/>
  <c r="EI35" i="2" s="1"/>
  <c r="EI34" i="2" a="1"/>
  <c r="EI34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CS137" i="2" a="1"/>
  <c r="CS137" i="2" s="1"/>
  <c r="CS105" i="2" a="1"/>
  <c r="CS105" i="2" s="1"/>
  <c r="DN124" i="2" a="1"/>
  <c r="DN124" i="2" s="1"/>
  <c r="DN56" i="2" a="1"/>
  <c r="DN56" i="2" s="1"/>
  <c r="CS185" i="2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ED203" i="2"/>
  <c r="DI203" i="2"/>
  <c r="EY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82" i="2" l="1"/>
  <c r="GZ28" i="2"/>
  <c r="GZ130" i="2"/>
  <c r="GZ113" i="2"/>
  <c r="GZ26" i="2"/>
  <c r="GZ43" i="2"/>
  <c r="GZ12" i="2"/>
  <c r="GZ151" i="2"/>
  <c r="GZ77" i="2"/>
  <c r="GZ169" i="2"/>
  <c r="GZ52" i="2"/>
  <c r="GZ53" i="2"/>
  <c r="GZ123" i="2"/>
  <c r="GZ50" i="2"/>
  <c r="GZ164" i="2"/>
  <c r="GZ92" i="2"/>
  <c r="GZ69" i="2"/>
  <c r="GZ198" i="2"/>
  <c r="GZ85" i="2"/>
  <c r="GZ190" i="2"/>
  <c r="GZ10" i="2"/>
  <c r="GZ160" i="2"/>
  <c r="GZ185" i="2"/>
  <c r="GZ63" i="2"/>
  <c r="GZ175" i="2"/>
  <c r="GZ170" i="2"/>
  <c r="GZ31" i="2"/>
  <c r="GZ7" i="2"/>
  <c r="GZ36" i="2"/>
  <c r="GZ87" i="2"/>
  <c r="GZ100" i="2"/>
  <c r="GZ66" i="2"/>
  <c r="GZ163" i="2"/>
  <c r="GZ99" i="2"/>
  <c r="GZ137" i="2"/>
  <c r="GZ174" i="2"/>
  <c r="GZ48" i="2"/>
  <c r="GZ179" i="2"/>
  <c r="GZ5" i="2"/>
  <c r="GZ192" i="2"/>
  <c r="GZ54" i="2"/>
  <c r="GZ124" i="2"/>
  <c r="GZ156" i="2"/>
  <c r="GZ23" i="2"/>
  <c r="GZ97" i="2"/>
  <c r="GZ178" i="2"/>
  <c r="GZ177" i="2"/>
  <c r="GZ45" i="2"/>
  <c r="GZ171" i="2"/>
  <c r="GZ67" i="2"/>
  <c r="GZ162" i="2"/>
  <c r="GZ80" i="2"/>
  <c r="GZ70" i="2"/>
  <c r="GZ193" i="2"/>
  <c r="GZ134" i="2"/>
  <c r="GZ138" i="2"/>
  <c r="GZ98" i="2"/>
  <c r="GZ126" i="2"/>
  <c r="GZ57" i="2"/>
  <c r="GZ81" i="2"/>
  <c r="GZ158" i="2"/>
  <c r="GZ154" i="2"/>
  <c r="GZ189" i="2"/>
  <c r="GZ91" i="2"/>
  <c r="GZ144" i="2"/>
  <c r="GZ73" i="2"/>
  <c r="GZ11" i="2"/>
  <c r="GZ117" i="2"/>
  <c r="GZ84" i="2"/>
  <c r="GZ9" i="2"/>
  <c r="GZ30" i="2"/>
  <c r="GZ168" i="2"/>
  <c r="GZ167" i="2"/>
  <c r="GZ122" i="2"/>
  <c r="GZ82" i="2"/>
  <c r="GZ56" i="2"/>
  <c r="GZ19" i="2"/>
  <c r="GZ159" i="2"/>
  <c r="GZ150" i="2"/>
  <c r="GZ116" i="2"/>
  <c r="GZ71" i="2"/>
  <c r="GZ47" i="2"/>
  <c r="GZ191" i="2"/>
  <c r="GZ129" i="2"/>
  <c r="GZ101" i="2"/>
  <c r="GZ132" i="2"/>
  <c r="GZ105" i="2"/>
  <c r="GZ121" i="2"/>
  <c r="GZ161" i="2"/>
  <c r="GZ200" i="2"/>
  <c r="GZ165" i="2"/>
  <c r="GZ128" i="2"/>
  <c r="GZ131" i="2"/>
  <c r="GZ119" i="2"/>
  <c r="GZ96" i="2"/>
  <c r="GZ27" i="2"/>
  <c r="GZ110" i="2"/>
  <c r="GZ14" i="2"/>
  <c r="GZ18" i="2"/>
  <c r="GZ89" i="2"/>
  <c r="GZ13" i="2"/>
  <c r="GZ8" i="2"/>
  <c r="GZ35" i="2"/>
  <c r="GZ44" i="2"/>
  <c r="GZ86" i="2"/>
  <c r="GZ188" i="2"/>
  <c r="GZ127" i="2"/>
  <c r="GZ152" i="2"/>
  <c r="GZ95" i="2"/>
  <c r="GZ17" i="2"/>
  <c r="GZ203" i="2"/>
  <c r="GZ40" i="2"/>
  <c r="GZ83" i="2"/>
  <c r="GZ147" i="2"/>
  <c r="GZ114" i="2"/>
  <c r="GZ108" i="2"/>
  <c r="GZ146" i="2"/>
  <c r="GZ125" i="2"/>
  <c r="GZ6" i="2"/>
  <c r="GZ24" i="2"/>
  <c r="GZ61" i="2"/>
  <c r="GZ139" i="2"/>
  <c r="GZ102" i="2"/>
  <c r="GZ75" i="2"/>
  <c r="GZ20" i="2"/>
  <c r="GZ59" i="2"/>
  <c r="GZ58" i="2"/>
  <c r="GZ118" i="2"/>
  <c r="GZ184" i="2"/>
  <c r="GZ90" i="2"/>
  <c r="GZ72" i="2"/>
  <c r="GZ103" i="2"/>
  <c r="GZ133" i="2"/>
  <c r="GZ64" i="2"/>
  <c r="GZ199" i="2"/>
  <c r="GZ4" i="2"/>
  <c r="GZ186" i="2"/>
  <c r="GZ143" i="2"/>
  <c r="GZ157" i="2"/>
  <c r="GZ34" i="2"/>
  <c r="GZ183" i="2"/>
  <c r="GZ202" i="2"/>
  <c r="GZ38" i="2"/>
  <c r="GZ140" i="2"/>
  <c r="GZ42" i="2"/>
  <c r="GZ195" i="2"/>
  <c r="GZ68" i="2"/>
  <c r="GZ74" i="2"/>
  <c r="GZ106" i="2"/>
  <c r="GZ107" i="2"/>
  <c r="GZ155" i="2"/>
  <c r="GZ22" i="2"/>
  <c r="GZ46" i="2"/>
  <c r="GZ16" i="2"/>
  <c r="GZ88" i="2"/>
  <c r="GZ149" i="2"/>
  <c r="GZ136" i="2"/>
  <c r="GZ142" i="2"/>
  <c r="GZ135" i="2"/>
  <c r="GZ78" i="2"/>
  <c r="GZ37" i="2"/>
  <c r="GZ25" i="2"/>
  <c r="GZ196" i="2"/>
  <c r="GZ120" i="2"/>
  <c r="GZ176" i="2"/>
  <c r="GZ32" i="2"/>
  <c r="GZ201" i="2"/>
  <c r="GZ76" i="2"/>
  <c r="GZ172" i="2"/>
  <c r="GZ148" i="2"/>
  <c r="GZ15" i="2"/>
  <c r="GZ65" i="2"/>
  <c r="GZ41" i="2"/>
  <c r="GZ112" i="2"/>
  <c r="GZ181" i="2"/>
  <c r="GZ33" i="2"/>
  <c r="GZ145" i="2"/>
  <c r="GZ39" i="2"/>
  <c r="GZ104" i="2"/>
  <c r="GZ62" i="2"/>
  <c r="GZ197" i="2"/>
  <c r="GZ166" i="2"/>
  <c r="GZ29" i="2"/>
  <c r="GZ21" i="2"/>
  <c r="GZ111" i="2"/>
  <c r="GZ173" i="2"/>
  <c r="GZ141" i="2"/>
  <c r="GZ153" i="2"/>
  <c r="GZ94" i="2"/>
  <c r="GZ79" i="2"/>
  <c r="GZ109" i="2"/>
  <c r="GZ49" i="2"/>
  <c r="GZ93" i="2"/>
  <c r="GZ60" i="2"/>
  <c r="GZ55" i="2"/>
  <c r="GZ180" i="2"/>
  <c r="GZ187" i="2"/>
  <c r="GZ51" i="2"/>
  <c r="GZ194" i="2"/>
  <c r="GZ115" i="2"/>
  <c r="GZ3" i="2"/>
  <c r="C15" i="4" s="1"/>
  <c r="E15" i="4" s="1"/>
  <c r="F15" i="4" s="1"/>
  <c r="G15" i="4" s="1"/>
  <c r="L15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114" i="2" l="1"/>
  <c r="GE119" i="2"/>
  <c r="GE91" i="2"/>
  <c r="GE74" i="2"/>
  <c r="GE61" i="2"/>
  <c r="GE199" i="2"/>
  <c r="GE30" i="2"/>
  <c r="GE44" i="2"/>
  <c r="GE116" i="2"/>
  <c r="GE67" i="2"/>
  <c r="GE48" i="2"/>
  <c r="GE134" i="2"/>
  <c r="GE181" i="2"/>
  <c r="GE202" i="2"/>
  <c r="GE108" i="2"/>
  <c r="GE15" i="2"/>
  <c r="GE68" i="2"/>
  <c r="GE177" i="2"/>
  <c r="GE203" i="2"/>
  <c r="GE19" i="2"/>
  <c r="GE113" i="2"/>
  <c r="GE192" i="2"/>
  <c r="GE151" i="2"/>
  <c r="GE10" i="2"/>
  <c r="GE125" i="2"/>
  <c r="GE39" i="2"/>
  <c r="GE97" i="2"/>
  <c r="GE54" i="2"/>
  <c r="GE35" i="2"/>
  <c r="GE196" i="2"/>
  <c r="GE172" i="2"/>
  <c r="GE112" i="2"/>
  <c r="GE72" i="2"/>
  <c r="GE81" i="2"/>
  <c r="GE139" i="2"/>
  <c r="GE140" i="2"/>
  <c r="GE90" i="2"/>
  <c r="GE59" i="2"/>
  <c r="GE41" i="2"/>
  <c r="GE145" i="2"/>
  <c r="GE173" i="2"/>
  <c r="GE193" i="2"/>
  <c r="GE53" i="2"/>
  <c r="GE4" i="2"/>
  <c r="GE197" i="2"/>
  <c r="GE96" i="2"/>
  <c r="GE64" i="2"/>
  <c r="GE169" i="2"/>
  <c r="GE26" i="2"/>
  <c r="GE126" i="2"/>
  <c r="GE36" i="2"/>
  <c r="GE180" i="2"/>
  <c r="GE147" i="2"/>
  <c r="GE56" i="2"/>
  <c r="GE27" i="2"/>
  <c r="GE95" i="2"/>
  <c r="GE63" i="2"/>
  <c r="GE73" i="2"/>
  <c r="GE31" i="2"/>
  <c r="GE161" i="2"/>
  <c r="GE83" i="2"/>
  <c r="GE11" i="2"/>
  <c r="GE106" i="2"/>
  <c r="GE122" i="2"/>
  <c r="GE144" i="2"/>
  <c r="GE162" i="2"/>
  <c r="GE168" i="2"/>
  <c r="GE131" i="2"/>
  <c r="GE155" i="2"/>
  <c r="GE32" i="2"/>
  <c r="GE7" i="2"/>
  <c r="GE104" i="2"/>
  <c r="GE98" i="2"/>
  <c r="GE109" i="2"/>
  <c r="GE191" i="2"/>
  <c r="GE152" i="2"/>
  <c r="GE85" i="2"/>
  <c r="GE79" i="2"/>
  <c r="GE118" i="2"/>
  <c r="GE117" i="2"/>
  <c r="GE128" i="2"/>
  <c r="GE158" i="2"/>
  <c r="GE50" i="2"/>
  <c r="GE133" i="2"/>
  <c r="GE198" i="2"/>
  <c r="GE182" i="2"/>
  <c r="GE159" i="2"/>
  <c r="GE156" i="2"/>
  <c r="GE174" i="2"/>
  <c r="GE8" i="2"/>
  <c r="GE75" i="2"/>
  <c r="GE115" i="2"/>
  <c r="GE13" i="2"/>
  <c r="GE132" i="2"/>
  <c r="GE93" i="2"/>
  <c r="GE164" i="2"/>
  <c r="GE138" i="2"/>
  <c r="GE66" i="2"/>
  <c r="GE149" i="2"/>
  <c r="GE5" i="2"/>
  <c r="GE55" i="2"/>
  <c r="GE24" i="2"/>
  <c r="GE121" i="2"/>
  <c r="GE178" i="2"/>
  <c r="GE40" i="2"/>
  <c r="GE137" i="2"/>
  <c r="GE160" i="2"/>
  <c r="GE9" i="2"/>
  <c r="GE43" i="2"/>
  <c r="GE22" i="2"/>
  <c r="GE62" i="2"/>
  <c r="GE52" i="2"/>
  <c r="GE57" i="2"/>
  <c r="GE187" i="2"/>
  <c r="GE47" i="2"/>
  <c r="GE77" i="2"/>
  <c r="GE6" i="2"/>
  <c r="GE12" i="2"/>
  <c r="GE127" i="2"/>
  <c r="GE146" i="2"/>
  <c r="GE166" i="2"/>
  <c r="GE120" i="2"/>
  <c r="GE185" i="2"/>
  <c r="GE105" i="2"/>
  <c r="GE33" i="2"/>
  <c r="GE135" i="2"/>
  <c r="GE186" i="2"/>
  <c r="GE100" i="2"/>
  <c r="GE87" i="2"/>
  <c r="GE200" i="2"/>
  <c r="GE107" i="2"/>
  <c r="GE14" i="2"/>
  <c r="GE176" i="2"/>
  <c r="GE70" i="2"/>
  <c r="GE92" i="2"/>
  <c r="GE148" i="2"/>
  <c r="GE189" i="2"/>
  <c r="GE17" i="2"/>
  <c r="GE195" i="2"/>
  <c r="GE175" i="2"/>
  <c r="GE103" i="2"/>
  <c r="GE29" i="2"/>
  <c r="GE21" i="2"/>
  <c r="GE142" i="2"/>
  <c r="GE167" i="2"/>
  <c r="GE123" i="2"/>
  <c r="GE141" i="2"/>
  <c r="GE111" i="2"/>
  <c r="GE101" i="2"/>
  <c r="GE170" i="2"/>
  <c r="GE46" i="2"/>
  <c r="GE124" i="2"/>
  <c r="GE86" i="2"/>
  <c r="GE78" i="2"/>
  <c r="GE143" i="2"/>
  <c r="GE110" i="2"/>
  <c r="GE194" i="2"/>
  <c r="GE171" i="2"/>
  <c r="GE42" i="2"/>
  <c r="GE154" i="2"/>
  <c r="GE179" i="2"/>
  <c r="GE163" i="2"/>
  <c r="GE82" i="2"/>
  <c r="GE37" i="2"/>
  <c r="GE102" i="2"/>
  <c r="GE16" i="2"/>
  <c r="GE80" i="2"/>
  <c r="GE89" i="2"/>
  <c r="GE18" i="2"/>
  <c r="GE201" i="2"/>
  <c r="GE25" i="2"/>
  <c r="GE165" i="2"/>
  <c r="GE129" i="2"/>
  <c r="GE38" i="2"/>
  <c r="GE188" i="2"/>
  <c r="GE58" i="2"/>
  <c r="GE184" i="2"/>
  <c r="GE94" i="2"/>
  <c r="GE60" i="2"/>
  <c r="GE51" i="2"/>
  <c r="GE69" i="2"/>
  <c r="GE84" i="2"/>
  <c r="GE157" i="2"/>
  <c r="GE183" i="2"/>
  <c r="GE76" i="2"/>
  <c r="GE190" i="2"/>
  <c r="GE3" i="2"/>
  <c r="C14" i="4" s="1"/>
  <c r="E14" i="4" s="1"/>
  <c r="F14" i="4" s="1"/>
  <c r="G14" i="4" s="1"/>
  <c r="L14" i="4" s="1"/>
  <c r="GE71" i="2"/>
  <c r="GE49" i="2"/>
  <c r="GE20" i="2"/>
  <c r="GE130" i="2"/>
  <c r="GE45" i="2"/>
  <c r="GE136" i="2"/>
  <c r="GE28" i="2"/>
  <c r="GE99" i="2"/>
  <c r="GE153" i="2"/>
  <c r="GE34" i="2"/>
  <c r="GE65" i="2"/>
  <c r="GE88" i="2"/>
  <c r="GE23" i="2"/>
  <c r="GE150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J53" i="2" l="1"/>
  <c r="FJ92" i="2"/>
  <c r="FJ8" i="2"/>
  <c r="FJ11" i="2"/>
  <c r="FJ19" i="2"/>
  <c r="FJ164" i="2"/>
  <c r="FJ5" i="2"/>
  <c r="FJ136" i="2"/>
  <c r="FJ28" i="2"/>
  <c r="FJ46" i="2"/>
  <c r="FJ31" i="2"/>
  <c r="FJ188" i="2"/>
  <c r="FJ140" i="2"/>
  <c r="FJ192" i="2"/>
  <c r="FJ18" i="2"/>
  <c r="FJ51" i="2"/>
  <c r="FJ93" i="2"/>
  <c r="FJ161" i="2"/>
  <c r="FJ43" i="2"/>
  <c r="FJ114" i="2"/>
  <c r="FJ96" i="2"/>
  <c r="FJ76" i="2"/>
  <c r="FJ168" i="2"/>
  <c r="FJ63" i="2"/>
  <c r="FJ17" i="2"/>
  <c r="FJ158" i="2"/>
  <c r="FJ68" i="2"/>
  <c r="FJ182" i="2"/>
  <c r="FJ60" i="2"/>
  <c r="FJ149" i="2"/>
  <c r="FJ3" i="2"/>
  <c r="C13" i="4" s="1"/>
  <c r="E13" i="4" s="1"/>
  <c r="F13" i="4" s="1"/>
  <c r="G13" i="4" s="1"/>
  <c r="L13" i="4" s="1"/>
  <c r="FJ89" i="2"/>
  <c r="FJ34" i="2"/>
  <c r="FJ61" i="2"/>
  <c r="FJ14" i="2"/>
  <c r="FJ124" i="2"/>
  <c r="FJ62" i="2"/>
  <c r="FJ90" i="2"/>
  <c r="FJ12" i="2"/>
  <c r="FJ171" i="2"/>
  <c r="FJ39" i="2"/>
  <c r="FJ170" i="2"/>
  <c r="FJ133" i="2"/>
  <c r="FJ169" i="2"/>
  <c r="FJ64" i="2"/>
  <c r="FJ65" i="2"/>
  <c r="FJ4" i="2"/>
  <c r="FJ97" i="2"/>
  <c r="FJ111" i="2"/>
  <c r="FJ99" i="2"/>
  <c r="FJ166" i="2"/>
  <c r="FJ54" i="2"/>
  <c r="FJ113" i="2"/>
  <c r="FJ179" i="2"/>
  <c r="FJ95" i="2"/>
  <c r="FJ194" i="2"/>
  <c r="FJ42" i="2"/>
  <c r="FJ119" i="2"/>
  <c r="FJ36" i="2"/>
  <c r="FJ123" i="2"/>
  <c r="FJ148" i="2"/>
  <c r="FJ146" i="2"/>
  <c r="FJ67" i="2"/>
  <c r="FJ180" i="2"/>
  <c r="FJ199" i="2"/>
  <c r="FJ94" i="2"/>
  <c r="FJ150" i="2"/>
  <c r="FJ134" i="2"/>
  <c r="FJ101" i="2"/>
  <c r="FJ83" i="2"/>
  <c r="FJ87" i="2"/>
  <c r="FJ115" i="2"/>
  <c r="FJ26" i="2"/>
  <c r="FJ129" i="2"/>
  <c r="FJ186" i="2"/>
  <c r="FJ52" i="2"/>
  <c r="FJ7" i="2"/>
  <c r="FJ13" i="2"/>
  <c r="FJ144" i="2"/>
  <c r="FJ38" i="2"/>
  <c r="FJ9" i="2"/>
  <c r="FJ162" i="2"/>
  <c r="FJ173" i="2"/>
  <c r="FJ118" i="2"/>
  <c r="FJ156" i="2"/>
  <c r="FJ153" i="2"/>
  <c r="FJ154" i="2"/>
  <c r="FJ185" i="2"/>
  <c r="FJ20" i="2"/>
  <c r="FJ56" i="2"/>
  <c r="FJ79" i="2"/>
  <c r="FJ22" i="2"/>
  <c r="FJ130" i="2"/>
  <c r="FJ145" i="2"/>
  <c r="FJ80" i="2"/>
  <c r="FJ127" i="2"/>
  <c r="FJ74" i="2"/>
  <c r="FJ155" i="2"/>
  <c r="FJ25" i="2"/>
  <c r="FJ128" i="2"/>
  <c r="FJ75" i="2"/>
  <c r="FJ184" i="2"/>
  <c r="FJ151" i="2"/>
  <c r="FJ69" i="2"/>
  <c r="FJ10" i="2"/>
  <c r="FJ48" i="2"/>
  <c r="FJ16" i="2"/>
  <c r="FJ125" i="2"/>
  <c r="FJ91" i="2"/>
  <c r="FJ33" i="2"/>
  <c r="FJ141" i="2"/>
  <c r="FJ41" i="2"/>
  <c r="FJ198" i="2"/>
  <c r="FJ32" i="2"/>
  <c r="FJ73" i="2"/>
  <c r="FJ35" i="2"/>
  <c r="FJ77" i="2"/>
  <c r="FJ86" i="2"/>
  <c r="FJ200" i="2"/>
  <c r="FJ159" i="2"/>
  <c r="FJ40" i="2"/>
  <c r="FJ137" i="2"/>
  <c r="FJ201" i="2"/>
  <c r="FJ197" i="2"/>
  <c r="FJ139" i="2"/>
  <c r="FJ187" i="2"/>
  <c r="FJ190" i="2"/>
  <c r="FJ142" i="2"/>
  <c r="FJ167" i="2"/>
  <c r="FJ196" i="2"/>
  <c r="FJ78" i="2"/>
  <c r="FJ55" i="2"/>
  <c r="FJ15" i="2"/>
  <c r="FJ147" i="2"/>
  <c r="FJ189" i="2"/>
  <c r="FJ116" i="2"/>
  <c r="FJ102" i="2"/>
  <c r="FJ29" i="2"/>
  <c r="FJ30" i="2"/>
  <c r="FJ109" i="2"/>
  <c r="FJ175" i="2"/>
  <c r="FJ45" i="2"/>
  <c r="FJ72" i="2"/>
  <c r="FJ172" i="2"/>
  <c r="FJ126" i="2"/>
  <c r="FJ81" i="2"/>
  <c r="FJ108" i="2"/>
  <c r="FJ70" i="2"/>
  <c r="FJ157" i="2"/>
  <c r="FJ191" i="2"/>
  <c r="FJ163" i="2"/>
  <c r="FJ181" i="2"/>
  <c r="FJ100" i="2"/>
  <c r="FJ58" i="2"/>
  <c r="FJ165" i="2"/>
  <c r="FJ104" i="2"/>
  <c r="FJ59" i="2"/>
  <c r="FJ47" i="2"/>
  <c r="FJ23" i="2"/>
  <c r="FJ203" i="2"/>
  <c r="FJ178" i="2"/>
  <c r="FJ88" i="2"/>
  <c r="FJ202" i="2"/>
  <c r="FJ103" i="2"/>
  <c r="FJ122" i="2"/>
  <c r="FJ27" i="2"/>
  <c r="FJ66" i="2"/>
  <c r="FJ112" i="2"/>
  <c r="FJ106" i="2"/>
  <c r="FJ105" i="2"/>
  <c r="FJ120" i="2"/>
  <c r="FJ176" i="2"/>
  <c r="FJ138" i="2"/>
  <c r="FJ44" i="2"/>
  <c r="FJ49" i="2"/>
  <c r="FJ152" i="2"/>
  <c r="FJ131" i="2"/>
  <c r="FJ98" i="2"/>
  <c r="FJ71" i="2"/>
  <c r="FJ117" i="2"/>
  <c r="FJ24" i="2"/>
  <c r="FJ82" i="2"/>
  <c r="FJ183" i="2"/>
  <c r="FJ174" i="2"/>
  <c r="FJ84" i="2"/>
  <c r="FJ195" i="2"/>
  <c r="FJ143" i="2"/>
  <c r="FJ107" i="2"/>
  <c r="FJ135" i="2"/>
  <c r="FJ50" i="2"/>
  <c r="FJ37" i="2"/>
  <c r="FJ21" i="2"/>
  <c r="FJ85" i="2"/>
  <c r="FJ160" i="2"/>
  <c r="FJ121" i="2"/>
  <c r="FJ193" i="2"/>
  <c r="FJ177" i="2"/>
  <c r="FJ57" i="2"/>
  <c r="FJ110" i="2"/>
  <c r="FJ6" i="2"/>
  <c r="FJ132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<sst xmlns="http://schemas.openxmlformats.org/spreadsheetml/2006/main" count="1192" uniqueCount="329">
  <si>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</si>
  <si>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</si>
  <si>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</si>
  <si>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</si>
  <si>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</si>
  <si>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</si>
  <si>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</si>
  <si>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</si>
  <si>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</si>
  <si>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</si>
  <si>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</si>
  <si>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</si>
  <si>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</si>
  <si>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</si>
  <si>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</si>
  <si>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</si>
  <si>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</si>
  <si>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</si>
  <si>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</si>
  <si>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</si>
  <si>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</si>
  <si>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</si>
  <si>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</si>
  <si>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</si>
  <si>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</si>
  <si>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</si>
  <si>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</si>
  <si>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</si>
  <si>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</si>
  <si>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</si>
  <si>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</si>
  <si>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</si>
  <si>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</si>
  <si>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</si>
  <si>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</si>
  <si>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</si>
  <si>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</si>
  <si>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</si>
  <si>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</si>
  <si>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</si>
  <si>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</si>
  <si>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</si>
  <si>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</si>
  <si>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</si>
  <si>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</si>
  <si>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</si>
  <si>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</si>
  <si>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</si>
  <si>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</si>
  <si>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</si>
  <si>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</si>
  <si>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</si>
  <si>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</si>
  <si>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</si>
  <si>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</si>
  <si>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</si>
  <si>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</si>
  <si>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</si>
  <si>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</si>
  <si>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</si>
  <si>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</si>
  <si>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</si>
  <si>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</si>
  <si>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</si>
  <si>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</si>
  <si>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</si>
  <si>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</si>
  <si>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</si>
  <si>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</si>
  <si>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</si>
  <si>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</si>
  <si>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</si>
  <si>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</si>
  <si>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</si>
  <si>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</si>
  <si>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</si>
  <si>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</si>
  <si>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</si>
  <si>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</si>
  <si>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</si>
  <si>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</si>
  <si>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</si>
  <si>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</si>
  <si>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</si>
  <si>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</si>
  <si>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</si>
  <si>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</si>
  <si>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</si>
  <si>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</si>
  <si>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</si>
  <si>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</si>
  <si>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</si>
  <si>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</si>
  <si>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</si>
  <si>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</si>
  <si>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</si>
  <si>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</si>
  <si>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</si>
  <si>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</si>
  <si>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</si>
  <si>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</si>
  <si>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</si>
  <si>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</si>
  <si>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</si>
  <si>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</si>
  <si>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</si>
  <si>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</si>
  <si>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</si>
  <si>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</si>
  <si>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</si>
  <si>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</si>
  <si>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</si>
  <si>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</si>
  <si>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</si>
  <si>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</si>
  <si>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</si>
  <si>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</si>
  <si>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</si>
  <si>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</si>
  <si>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</si>
  <si>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</si>
  <si>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</si>
  <si>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</si>
  <si>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</si>
  <si>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</si>
  <si>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</si>
  <si>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</si>
  <si>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</si>
  <si>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</si>
  <si>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</si>
  <si>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</si>
  <si>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</si>
  <si>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</si>
  <si>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</si>
  <si>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</si>
  <si>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</si>
  <si>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</si>
  <si>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</si>
  <si>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</si>
  <si>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</si>
  <si>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</si>
  <si>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</si>
  <si>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</si>
  <si>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</si>
  <si>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</si>
  <si>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</si>
  <si>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</si>
  <si>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</si>
  <si>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</si>
  <si>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</si>
  <si>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</si>
  <si>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</si>
  <si>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</si>
  <si>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</si>
  <si>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</si>
  <si>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</si>
  <si>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</si>
  <si>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</si>
  <si>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</si>
  <si>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</si>
  <si>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</si>
  <si>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</si>
  <si>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</si>
  <si>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</si>
  <si>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</si>
  <si>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</si>
  <si>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</si>
  <si>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</si>
  <si>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</si>
  <si>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</si>
  <si>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</si>
  <si>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</si>
  <si>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</si>
  <si>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</si>
  <si>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</si>
  <si>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</si>
  <si>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</si>
  <si>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</si>
  <si>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</si>
  <si>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</si>
  <si>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</si>
  <si>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</si>
  <si>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</si>
  <si>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</si>
  <si>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</si>
  <si>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</si>
  <si>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</si>
  <si>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</si>
  <si>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</si>
  <si>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</si>
  <si>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</si>
  <si>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</si>
  <si>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</si>
  <si>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</si>
  <si>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</si>
  <si>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</si>
  <si>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</si>
  <si>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</si>
  <si>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</si>
  <si>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</si>
  <si>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</si>
  <si>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</si>
  <si>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</si>
  <si>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</si>
  <si>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</si>
  <si>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</si>
  <si>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</si>
  <si>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</si>
  <si>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</si>
  <si>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</si>
  <si>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</si>
  <si>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</si>
  <si>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</si>
  <si>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</si>
  <si>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</si>
  <si>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</si>
  <si>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</si>
  <si>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</si>
  <si>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</si>
  <si>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</si>
  <si>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</si>
  <si>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</si>
  <si>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</si>
  <si>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</si>
  <si>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</si>
  <si>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</si>
  <si>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</si>
  <si>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</si>
  <si>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</si>
  <si>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</si>
  <si>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</si>
  <si>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</si>
  <si>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</si>
  <si>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</si>
  <si>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</si>
  <si>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</si>
  <si>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</si>
  <si>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</si>
  <si>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</si>
  <si>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</si>
  <si>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</si>
  <si>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</si>
  <si>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</si>
  <si>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</si>
  <si>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</si>
  <si>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</si>
  <si>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</si>
  <si>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</si>
  <si>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</si>
  <si>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</si>
  <si>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</si>
  <si>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</si>
  <si>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</si>
  <si>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</si>
  <si>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</si>
  <si>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</si>
  <si>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</si>
  <si>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</si>
  <si>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</si>
  <si>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</si>
  <si>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</si>
  <si>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</si>
  <si>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</si>
  <si>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</si>
  <si>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</si>
  <si>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</si>
  <si>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</si>
  <si>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</si>
  <si>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</si>
  <si>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</si>
  <si>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</si>
  <si>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</si>
  <si>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</si>
  <si>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</si>
  <si>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</si>
  <si>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</si>
  <si>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</si>
  <si>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</si>
  <si>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</si>
  <si>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</si>
  <si>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</si>
  <si>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</si>
  <si>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</si>
  <si>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</si>
  <si>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</si>
  <si>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</si>
  <si>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</si>
  <si>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</si>
  <si>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</si>
  <si>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</si>
  <si>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</si>
  <si>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</si>
  <si>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</si>
  <si>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</si>
  <si>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</si>
  <si>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</si>
  <si>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</si>
  <si>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</si>
  <si>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</si>
  <si>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</si>
  <si>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</si>
  <si>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</si>
  <si>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</si>
  <si>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</si>
  <si>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</si>
  <si>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</si>
  <si>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</si>
  <si>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</si>
  <si>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</si>
  <si>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</si>
  <si>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</si>
  <si>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</si>
  <si>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</si>
  <si>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</si>
  <si>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</si>
  <si>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</si>
  <si>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</si>
  <si>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</si>
  <si>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</si>
  <si>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</si>
  <si>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</si>
  <si>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</si>
  <si>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</si>
  <si>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</si>
  <si>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</si>
  <si>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</si>
  <si>
    <t>Regroupe merisiers et noyer hybrides</t>
  </si>
  <si>
    <t>Correspondance peuplier Vesten --&gt; Robusta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</si>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</sst>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9" fillId="14" borderId="1" xfId="0" applyFont="1" applyFill="1" applyBorder="1" applyAlignment="1" applyProtection="1">
      <alignment horizontal="center"/>
      <protection locked="0"/>
    </xf>
    <xf numFmtId="0" fontId="36" fillId="0" borderId="0" xfId="0" applyFont="1" applyAlignment="1" applyProtection="1">
      <alignment vertical="center"/>
      <protection locked="0" hidden="1"/>
    </xf>
    <xf numFmtId="16" fontId="0" fillId="0" borderId="0" xfId="0" applyNumberFormat="1" applyProtection="1">
      <protection locked="0" hidden="1"/>
    </xf>
    <xf numFmtId="0" fontId="33" fillId="21" borderId="55" xfId="0" applyFont="1" applyFill="1" applyBorder="1" applyAlignment="1" applyProtection="1">
      <alignment horizontal="center"/>
      <protection locked="0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1.8655160624969183</c:v>
                </c:pt>
                <c:pt idx="2">
                  <c:v>2.3400079019128084</c:v>
                </c:pt>
                <c:pt idx="3">
                  <c:v>2.9356638793251029</c:v>
                </c:pt>
                <c:pt idx="4">
                  <c:v>3.6835391889477465</c:v>
                </c:pt>
                <c:pt idx="5">
                  <c:v>40.806334398732353</c:v>
                </c:pt>
                <c:pt idx="6">
                  <c:v>76.796784952067128</c:v>
                </c:pt>
                <c:pt idx="7">
                  <c:v>112.34277890505491</c:v>
                </c:pt>
                <c:pt idx="8">
                  <c:v>147.60928449875405</c:v>
                </c:pt>
                <c:pt idx="9">
                  <c:v>182.67330313315111</c:v>
                </c:pt>
                <c:pt idx="10">
                  <c:v>220.74591090512891</c:v>
                </c:pt>
                <c:pt idx="11">
                  <c:v>258.66741146946623</c:v>
                </c:pt>
                <c:pt idx="12">
                  <c:v>296.46309594729252</c:v>
                </c:pt>
                <c:pt idx="13">
                  <c:v>334.15125832724289</c:v>
                </c:pt>
                <c:pt idx="14">
                  <c:v>371.74572172205148</c:v>
                </c:pt>
                <c:pt idx="15">
                  <c:v>373.31029229250993</c:v>
                </c:pt>
                <c:pt idx="16">
                  <c:v>374.87471992741865</c:v>
                </c:pt>
                <c:pt idx="17">
                  <c:v>376.43900530854927</c:v>
                </c:pt>
                <c:pt idx="18">
                  <c:v>378.00314911153492</c:v>
                </c:pt>
                <c:pt idx="19">
                  <c:v>379.56715200595107</c:v>
                </c:pt>
                <c:pt idx="20">
                  <c:v>383.47654710735918</c:v>
                </c:pt>
                <c:pt idx="21">
                  <c:v>387.38507587052453</c:v>
                </c:pt>
                <c:pt idx="22">
                  <c:v>391.29274828132793</c:v>
                </c:pt>
                <c:pt idx="23">
                  <c:v>395.19957410967271</c:v>
                </c:pt>
                <c:pt idx="24">
                  <c:v>399.10556291629297</c:v>
                </c:pt>
                <c:pt idx="25">
                  <c:v>1.9036642323616162E-12</c:v>
                </c:pt>
                <c:pt idx="26">
                  <c:v>1.9036642323616162E-12</c:v>
                </c:pt>
                <c:pt idx="27">
                  <c:v>1.9036642323616162E-12</c:v>
                </c:pt>
                <c:pt idx="28">
                  <c:v>1.9036642323616162E-12</c:v>
                </c:pt>
                <c:pt idx="29">
                  <c:v>1.9036642323616162E-12</c:v>
                </c:pt>
                <c:pt idx="30">
                  <c:v>1.9036642323616162E-12</c:v>
                </c:pt>
                <c:pt idx="31">
                  <c:v>1.9036642323616162E-12</c:v>
                </c:pt>
                <c:pt idx="32">
                  <c:v>1.9036642323616162E-12</c:v>
                </c:pt>
                <c:pt idx="33">
                  <c:v>1.9036642323616162E-12</c:v>
                </c:pt>
                <c:pt idx="34">
                  <c:v>1.9036642323616162E-12</c:v>
                </c:pt>
                <c:pt idx="35">
                  <c:v>1.9036642323616162E-12</c:v>
                </c:pt>
                <c:pt idx="36">
                  <c:v>1.9036642323616162E-12</c:v>
                </c:pt>
                <c:pt idx="37">
                  <c:v>1.9036642323616162E-12</c:v>
                </c:pt>
                <c:pt idx="38">
                  <c:v>1.9036642323616162E-12</c:v>
                </c:pt>
                <c:pt idx="39">
                  <c:v>1.9036642323616162E-12</c:v>
                </c:pt>
                <c:pt idx="40">
                  <c:v>1.9036642323616162E-12</c:v>
                </c:pt>
                <c:pt idx="41">
                  <c:v>1.9036642323616162E-12</c:v>
                </c:pt>
                <c:pt idx="42">
                  <c:v>1.9036642323616162E-12</c:v>
                </c:pt>
                <c:pt idx="43">
                  <c:v>1.9036642323616162E-12</c:v>
                </c:pt>
                <c:pt idx="44">
                  <c:v>1.9036642323616162E-12</c:v>
                </c:pt>
                <c:pt idx="45">
                  <c:v>1.9036642323616162E-12</c:v>
                </c:pt>
                <c:pt idx="46">
                  <c:v>1.9036642323616162E-12</c:v>
                </c:pt>
                <c:pt idx="47">
                  <c:v>1.9036642323616162E-12</c:v>
                </c:pt>
                <c:pt idx="48">
                  <c:v>1.9036642323616162E-12</c:v>
                </c:pt>
                <c:pt idx="49">
                  <c:v>1.9036642323616162E-12</c:v>
                </c:pt>
                <c:pt idx="50">
                  <c:v>1.9036642323616162E-12</c:v>
                </c:pt>
                <c:pt idx="51">
                  <c:v>1.9036642323616162E-12</c:v>
                </c:pt>
                <c:pt idx="52">
                  <c:v>1.9036642323616162E-12</c:v>
                </c:pt>
                <c:pt idx="53">
                  <c:v>1.9036642323616162E-12</c:v>
                </c:pt>
                <c:pt idx="54">
                  <c:v>1.9036642323616162E-12</c:v>
                </c:pt>
                <c:pt idx="55">
                  <c:v>1.9036642323616162E-12</c:v>
                </c:pt>
                <c:pt idx="56">
                  <c:v>1.9036642323616162E-12</c:v>
                </c:pt>
                <c:pt idx="57">
                  <c:v>1.9036642323616162E-12</c:v>
                </c:pt>
                <c:pt idx="58">
                  <c:v>1.9036642323616162E-12</c:v>
                </c:pt>
                <c:pt idx="59">
                  <c:v>1.9036642323616162E-12</c:v>
                </c:pt>
                <c:pt idx="60">
                  <c:v>1.9036642323616162E-12</c:v>
                </c:pt>
                <c:pt idx="61">
                  <c:v>1.9036642323616162E-12</c:v>
                </c:pt>
                <c:pt idx="62">
                  <c:v>1.9036642323616162E-12</c:v>
                </c:pt>
                <c:pt idx="63">
                  <c:v>1.9036642323616162E-12</c:v>
                </c:pt>
                <c:pt idx="64">
                  <c:v>1.9036642323616162E-12</c:v>
                </c:pt>
                <c:pt idx="65">
                  <c:v>1.9036642323616162E-12</c:v>
                </c:pt>
                <c:pt idx="66">
                  <c:v>1.9036642323616162E-12</c:v>
                </c:pt>
                <c:pt idx="67">
                  <c:v>1.9036642323616162E-12</c:v>
                </c:pt>
                <c:pt idx="68">
                  <c:v>1.9036642323616162E-12</c:v>
                </c:pt>
                <c:pt idx="69">
                  <c:v>1.9036642323616162E-12</c:v>
                </c:pt>
                <c:pt idx="70">
                  <c:v>1.9036642323616162E-12</c:v>
                </c:pt>
                <c:pt idx="71">
                  <c:v>1.9036642323616162E-12</c:v>
                </c:pt>
                <c:pt idx="72">
                  <c:v>1.9036642323616162E-12</c:v>
                </c:pt>
                <c:pt idx="73">
                  <c:v>1.9036642323616162E-12</c:v>
                </c:pt>
                <c:pt idx="74">
                  <c:v>1.9036642323616162E-12</c:v>
                </c:pt>
                <c:pt idx="75">
                  <c:v>1.9036642323616162E-12</c:v>
                </c:pt>
                <c:pt idx="76">
                  <c:v>1.9036642323616162E-12</c:v>
                </c:pt>
                <c:pt idx="77">
                  <c:v>1.9036642323616162E-12</c:v>
                </c:pt>
                <c:pt idx="78">
                  <c:v>1.9036642323616162E-12</c:v>
                </c:pt>
                <c:pt idx="79">
                  <c:v>1.9036642323616162E-12</c:v>
                </c:pt>
                <c:pt idx="80">
                  <c:v>1.9036642323616162E-12</c:v>
                </c:pt>
                <c:pt idx="81">
                  <c:v>1.9036642323616162E-12</c:v>
                </c:pt>
                <c:pt idx="82">
                  <c:v>1.9036642323616162E-12</c:v>
                </c:pt>
                <c:pt idx="83">
                  <c:v>1.9036642323616162E-12</c:v>
                </c:pt>
                <c:pt idx="84">
                  <c:v>1.9036642323616162E-12</c:v>
                </c:pt>
                <c:pt idx="85">
                  <c:v>1.9036642323616162E-12</c:v>
                </c:pt>
                <c:pt idx="86">
                  <c:v>1.9036642323616162E-12</c:v>
                </c:pt>
                <c:pt idx="87">
                  <c:v>1.9036642323616162E-12</c:v>
                </c:pt>
                <c:pt idx="88">
                  <c:v>1.9036642323616162E-12</c:v>
                </c:pt>
                <c:pt idx="89">
                  <c:v>1.9036642323616162E-12</c:v>
                </c:pt>
                <c:pt idx="90">
                  <c:v>1.9036642323616162E-12</c:v>
                </c:pt>
                <c:pt idx="91">
                  <c:v>1.9036642323616162E-12</c:v>
                </c:pt>
                <c:pt idx="92">
                  <c:v>1.9036642323616162E-12</c:v>
                </c:pt>
                <c:pt idx="93">
                  <c:v>1.9036642323616162E-12</c:v>
                </c:pt>
                <c:pt idx="94">
                  <c:v>1.9036642323616162E-12</c:v>
                </c:pt>
                <c:pt idx="95">
                  <c:v>1.9036642323616162E-12</c:v>
                </c:pt>
                <c:pt idx="96">
                  <c:v>1.9036642323616162E-12</c:v>
                </c:pt>
                <c:pt idx="97">
                  <c:v>1.9036642323616162E-12</c:v>
                </c:pt>
                <c:pt idx="98">
                  <c:v>1.9036642323616162E-12</c:v>
                </c:pt>
                <c:pt idx="99">
                  <c:v>1.9036642323616162E-12</c:v>
                </c:pt>
                <c:pt idx="100">
                  <c:v>1.9036642323616162E-12</c:v>
                </c:pt>
                <c:pt idx="101">
                  <c:v>1.9036642323616162E-12</c:v>
                </c:pt>
                <c:pt idx="102">
                  <c:v>1.9036642323616162E-12</c:v>
                </c:pt>
                <c:pt idx="103">
                  <c:v>1.9036642323616162E-12</c:v>
                </c:pt>
                <c:pt idx="104">
                  <c:v>1.9036642323616162E-12</c:v>
                </c:pt>
                <c:pt idx="105">
                  <c:v>1.9036642323616162E-12</c:v>
                </c:pt>
                <c:pt idx="106">
                  <c:v>1.9036642323616162E-12</c:v>
                </c:pt>
                <c:pt idx="107">
                  <c:v>1.9036642323616162E-12</c:v>
                </c:pt>
                <c:pt idx="108">
                  <c:v>1.9036642323616162E-12</c:v>
                </c:pt>
                <c:pt idx="109">
                  <c:v>1.9036642323616162E-12</c:v>
                </c:pt>
                <c:pt idx="110">
                  <c:v>1.9036642323616162E-12</c:v>
                </c:pt>
                <c:pt idx="111">
                  <c:v>1.9036642323616162E-12</c:v>
                </c:pt>
                <c:pt idx="112">
                  <c:v>1.9036642323616162E-12</c:v>
                </c:pt>
                <c:pt idx="113">
                  <c:v>1.9036642323616162E-12</c:v>
                </c:pt>
                <c:pt idx="114">
                  <c:v>1.9036642323616162E-12</c:v>
                </c:pt>
                <c:pt idx="115">
                  <c:v>1.9036642323616162E-12</c:v>
                </c:pt>
                <c:pt idx="116">
                  <c:v>1.9036642323616162E-12</c:v>
                </c:pt>
                <c:pt idx="117">
                  <c:v>1.9036642323616162E-12</c:v>
                </c:pt>
                <c:pt idx="118">
                  <c:v>1.9036642323616162E-12</c:v>
                </c:pt>
                <c:pt idx="119">
                  <c:v>1.9036642323616162E-12</c:v>
                </c:pt>
                <c:pt idx="120">
                  <c:v>1.9036642323616162E-12</c:v>
                </c:pt>
                <c:pt idx="121">
                  <c:v>1.9036642323616162E-12</c:v>
                </c:pt>
                <c:pt idx="122">
                  <c:v>1.9036642323616162E-12</c:v>
                </c:pt>
                <c:pt idx="123">
                  <c:v>1.9036642323616162E-12</c:v>
                </c:pt>
                <c:pt idx="124">
                  <c:v>1.9036642323616162E-12</c:v>
                </c:pt>
                <c:pt idx="125">
                  <c:v>1.9036642323616162E-12</c:v>
                </c:pt>
                <c:pt idx="126">
                  <c:v>1.9036642323616162E-12</c:v>
                </c:pt>
                <c:pt idx="127">
                  <c:v>1.9036642323616162E-12</c:v>
                </c:pt>
                <c:pt idx="128">
                  <c:v>1.9036642323616162E-12</c:v>
                </c:pt>
                <c:pt idx="129">
                  <c:v>1.9036642323616162E-12</c:v>
                </c:pt>
                <c:pt idx="130">
                  <c:v>1.9036642323616162E-12</c:v>
                </c:pt>
                <c:pt idx="131">
                  <c:v>1.9036642323616162E-12</c:v>
                </c:pt>
                <c:pt idx="132">
                  <c:v>1.9036642323616162E-12</c:v>
                </c:pt>
                <c:pt idx="133">
                  <c:v>1.9036642323616162E-12</c:v>
                </c:pt>
                <c:pt idx="134">
                  <c:v>1.9036642323616162E-12</c:v>
                </c:pt>
                <c:pt idx="135">
                  <c:v>1.9036642323616162E-12</c:v>
                </c:pt>
                <c:pt idx="136">
                  <c:v>1.9036642323616162E-12</c:v>
                </c:pt>
                <c:pt idx="137">
                  <c:v>1.9036642323616162E-12</c:v>
                </c:pt>
                <c:pt idx="138">
                  <c:v>1.9036642323616162E-12</c:v>
                </c:pt>
                <c:pt idx="139">
                  <c:v>1.9036642323616162E-12</c:v>
                </c:pt>
                <c:pt idx="140">
                  <c:v>1.9036642323616162E-12</c:v>
                </c:pt>
                <c:pt idx="141">
                  <c:v>1.9036642323616162E-12</c:v>
                </c:pt>
                <c:pt idx="142">
                  <c:v>1.9036642323616162E-12</c:v>
                </c:pt>
                <c:pt idx="143">
                  <c:v>1.9036642323616162E-12</c:v>
                </c:pt>
                <c:pt idx="144">
                  <c:v>1.9036642323616162E-12</c:v>
                </c:pt>
                <c:pt idx="145">
                  <c:v>1.9036642323616162E-12</c:v>
                </c:pt>
                <c:pt idx="146">
                  <c:v>1.9036642323616162E-12</c:v>
                </c:pt>
                <c:pt idx="147">
                  <c:v>1.9036642323616162E-12</c:v>
                </c:pt>
                <c:pt idx="148">
                  <c:v>1.9036642323616162E-12</c:v>
                </c:pt>
                <c:pt idx="149">
                  <c:v>1.9036642323616162E-12</c:v>
                </c:pt>
                <c:pt idx="150">
                  <c:v>1.9036642323616162E-12</c:v>
                </c:pt>
                <c:pt idx="151">
                  <c:v>1.9036642323616162E-12</c:v>
                </c:pt>
                <c:pt idx="152">
                  <c:v>1.9036642323616162E-12</c:v>
                </c:pt>
                <c:pt idx="153">
                  <c:v>1.9036642323616162E-12</c:v>
                </c:pt>
                <c:pt idx="154">
                  <c:v>1.9036642323616162E-12</c:v>
                </c:pt>
                <c:pt idx="155">
                  <c:v>1.9036642323616162E-12</c:v>
                </c:pt>
                <c:pt idx="156">
                  <c:v>1.9036642323616162E-12</c:v>
                </c:pt>
                <c:pt idx="157">
                  <c:v>1.9036642323616162E-12</c:v>
                </c:pt>
                <c:pt idx="158">
                  <c:v>1.9036642323616162E-12</c:v>
                </c:pt>
                <c:pt idx="159">
                  <c:v>1.9036642323616162E-12</c:v>
                </c:pt>
                <c:pt idx="160">
                  <c:v>1.9036642323616162E-12</c:v>
                </c:pt>
                <c:pt idx="161">
                  <c:v>1.9036642323616162E-12</c:v>
                </c:pt>
                <c:pt idx="162">
                  <c:v>1.9036642323616162E-12</c:v>
                </c:pt>
                <c:pt idx="163">
                  <c:v>1.9036642323616162E-12</c:v>
                </c:pt>
                <c:pt idx="164">
                  <c:v>1.9036642323616162E-12</c:v>
                </c:pt>
                <c:pt idx="165">
                  <c:v>1.9036642323616162E-12</c:v>
                </c:pt>
                <c:pt idx="166">
                  <c:v>1.9036642323616162E-12</c:v>
                </c:pt>
                <c:pt idx="167">
                  <c:v>1.9036642323616162E-12</c:v>
                </c:pt>
                <c:pt idx="168">
                  <c:v>1.9036642323616162E-12</c:v>
                </c:pt>
                <c:pt idx="169">
                  <c:v>1.9036642323616162E-12</c:v>
                </c:pt>
                <c:pt idx="170">
                  <c:v>1.9036642323616162E-12</c:v>
                </c:pt>
                <c:pt idx="171">
                  <c:v>1.9036642323616162E-12</c:v>
                </c:pt>
                <c:pt idx="172">
                  <c:v>1.9036642323616162E-12</c:v>
                </c:pt>
                <c:pt idx="173">
                  <c:v>1.9036642323616162E-12</c:v>
                </c:pt>
                <c:pt idx="174">
                  <c:v>1.9036642323616162E-12</c:v>
                </c:pt>
                <c:pt idx="175">
                  <c:v>1.9036642323616162E-12</c:v>
                </c:pt>
                <c:pt idx="176">
                  <c:v>1.9036642323616162E-12</c:v>
                </c:pt>
                <c:pt idx="177">
                  <c:v>1.9036642323616162E-12</c:v>
                </c:pt>
                <c:pt idx="178">
                  <c:v>1.9036642323616162E-12</c:v>
                </c:pt>
                <c:pt idx="179">
                  <c:v>1.9036642323616162E-12</c:v>
                </c:pt>
                <c:pt idx="180">
                  <c:v>1.9036642323616162E-12</c:v>
                </c:pt>
                <c:pt idx="181">
                  <c:v>1.9036642323616162E-12</c:v>
                </c:pt>
                <c:pt idx="182">
                  <c:v>1.9036642323616162E-12</c:v>
                </c:pt>
                <c:pt idx="183">
                  <c:v>1.9036642323616162E-12</c:v>
                </c:pt>
                <c:pt idx="184">
                  <c:v>1.9036642323616162E-12</c:v>
                </c:pt>
                <c:pt idx="185">
                  <c:v>1.9036642323616162E-12</c:v>
                </c:pt>
                <c:pt idx="186">
                  <c:v>1.9036642323616162E-12</c:v>
                </c:pt>
                <c:pt idx="187">
                  <c:v>1.9036642323616162E-12</c:v>
                </c:pt>
                <c:pt idx="188">
                  <c:v>1.9036642323616162E-12</c:v>
                </c:pt>
                <c:pt idx="189">
                  <c:v>1.9036642323616162E-12</c:v>
                </c:pt>
                <c:pt idx="190">
                  <c:v>1.9036642323616162E-12</c:v>
                </c:pt>
                <c:pt idx="191">
                  <c:v>1.9036642323616162E-12</c:v>
                </c:pt>
                <c:pt idx="192">
                  <c:v>1.9036642323616162E-12</c:v>
                </c:pt>
                <c:pt idx="193">
                  <c:v>1.9036642323616162E-12</c:v>
                </c:pt>
                <c:pt idx="194">
                  <c:v>1.9036642323616162E-12</c:v>
                </c:pt>
                <c:pt idx="195">
                  <c:v>1.9036642323616162E-12</c:v>
                </c:pt>
                <c:pt idx="196">
                  <c:v>1.9036642323616162E-12</c:v>
                </c:pt>
                <c:pt idx="197">
                  <c:v>1.9036642323616162E-12</c:v>
                </c:pt>
                <c:pt idx="198">
                  <c:v>1.9036642323616162E-12</c:v>
                </c:pt>
                <c:pt idx="199">
                  <c:v>1.9036642323616162E-12</c:v>
                </c:pt>
                <c:pt idx="200">
                  <c:v>1.9036642323616162E-12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723.64971039145041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740.9585963345786</c:v>
                </c:pt>
                <c:pt idx="112">
                  <c:v>751.77245897300418</c:v>
                </c:pt>
                <c:pt idx="113">
                  <c:v>762.58316126167256</c:v>
                </c:pt>
                <c:pt idx="114">
                  <c:v>773.39075429462173</c:v>
                </c:pt>
                <c:pt idx="115">
                  <c:v>784.19528762222524</c:v>
                </c:pt>
                <c:pt idx="116">
                  <c:v>744.56357158364483</c:v>
                </c:pt>
                <c:pt idx="117">
                  <c:v>744.56357158364483</c:v>
                </c:pt>
                <c:pt idx="118">
                  <c:v>744.56357158364483</c:v>
                </c:pt>
                <c:pt idx="119">
                  <c:v>744.56357158364483</c:v>
                </c:pt>
                <c:pt idx="120">
                  <c:v>744.56357158364483</c:v>
                </c:pt>
                <c:pt idx="121">
                  <c:v>744.56357158364483</c:v>
                </c:pt>
                <c:pt idx="122">
                  <c:v>744.56357158364483</c:v>
                </c:pt>
                <c:pt idx="123">
                  <c:v>744.56357158364483</c:v>
                </c:pt>
                <c:pt idx="124">
                  <c:v>744.56357158364483</c:v>
                </c:pt>
                <c:pt idx="125">
                  <c:v>744.56357158364483</c:v>
                </c:pt>
                <c:pt idx="126">
                  <c:v>744.56357158364483</c:v>
                </c:pt>
                <c:pt idx="127">
                  <c:v>744.56357158364483</c:v>
                </c:pt>
                <c:pt idx="128">
                  <c:v>744.56357158364483</c:v>
                </c:pt>
                <c:pt idx="129">
                  <c:v>744.56357158364483</c:v>
                </c:pt>
                <c:pt idx="130">
                  <c:v>744.56357158364483</c:v>
                </c:pt>
                <c:pt idx="131">
                  <c:v>744.56357158364483</c:v>
                </c:pt>
                <c:pt idx="132">
                  <c:v>744.56357158364483</c:v>
                </c:pt>
                <c:pt idx="133">
                  <c:v>744.56357158364483</c:v>
                </c:pt>
                <c:pt idx="134">
                  <c:v>744.56357158364483</c:v>
                </c:pt>
                <c:pt idx="135">
                  <c:v>744.56357158364483</c:v>
                </c:pt>
                <c:pt idx="136">
                  <c:v>744.56357158364483</c:v>
                </c:pt>
                <c:pt idx="137">
                  <c:v>744.56357158364483</c:v>
                </c:pt>
                <c:pt idx="138">
                  <c:v>744.56357158364483</c:v>
                </c:pt>
                <c:pt idx="139">
                  <c:v>744.56357158364483</c:v>
                </c:pt>
                <c:pt idx="140">
                  <c:v>744.56357158364483</c:v>
                </c:pt>
                <c:pt idx="141">
                  <c:v>744.56357158364483</c:v>
                </c:pt>
                <c:pt idx="142">
                  <c:v>744.56357158364483</c:v>
                </c:pt>
                <c:pt idx="143">
                  <c:v>744.56357158364483</c:v>
                </c:pt>
                <c:pt idx="144">
                  <c:v>744.56357158364483</c:v>
                </c:pt>
                <c:pt idx="145">
                  <c:v>744.56357158364483</c:v>
                </c:pt>
                <c:pt idx="146">
                  <c:v>744.56357158364483</c:v>
                </c:pt>
                <c:pt idx="147">
                  <c:v>744.56357158364483</c:v>
                </c:pt>
                <c:pt idx="148">
                  <c:v>744.56357158364483</c:v>
                </c:pt>
                <c:pt idx="149">
                  <c:v>744.56357158364483</c:v>
                </c:pt>
                <c:pt idx="150">
                  <c:v>744.56357158364483</c:v>
                </c:pt>
                <c:pt idx="151">
                  <c:v>744.56357158364483</c:v>
                </c:pt>
                <c:pt idx="152">
                  <c:v>744.56357158364483</c:v>
                </c:pt>
                <c:pt idx="153">
                  <c:v>744.56357158364483</c:v>
                </c:pt>
                <c:pt idx="154">
                  <c:v>744.56357158364483</c:v>
                </c:pt>
                <c:pt idx="155">
                  <c:v>744.56357158364483</c:v>
                </c:pt>
                <c:pt idx="156">
                  <c:v>744.56357158364483</c:v>
                </c:pt>
                <c:pt idx="157">
                  <c:v>744.56357158364483</c:v>
                </c:pt>
                <c:pt idx="158">
                  <c:v>744.56357158364483</c:v>
                </c:pt>
                <c:pt idx="159">
                  <c:v>744.56357158364483</c:v>
                </c:pt>
                <c:pt idx="160">
                  <c:v>744.56357158364483</c:v>
                </c:pt>
                <c:pt idx="161">
                  <c:v>744.56357158364483</c:v>
                </c:pt>
                <c:pt idx="162">
                  <c:v>744.56357158364483</c:v>
                </c:pt>
                <c:pt idx="163">
                  <c:v>744.56357158364483</c:v>
                </c:pt>
                <c:pt idx="164">
                  <c:v>744.56357158364483</c:v>
                </c:pt>
                <c:pt idx="165">
                  <c:v>744.56357158364483</c:v>
                </c:pt>
                <c:pt idx="166">
                  <c:v>744.56357158364483</c:v>
                </c:pt>
                <c:pt idx="167">
                  <c:v>744.56357158364483</c:v>
                </c:pt>
                <c:pt idx="168">
                  <c:v>744.56357158364483</c:v>
                </c:pt>
                <c:pt idx="169">
                  <c:v>744.56357158364483</c:v>
                </c:pt>
                <c:pt idx="170">
                  <c:v>744.56357158364483</c:v>
                </c:pt>
                <c:pt idx="171">
                  <c:v>744.56357158364483</c:v>
                </c:pt>
                <c:pt idx="172">
                  <c:v>744.56357158364483</c:v>
                </c:pt>
                <c:pt idx="173">
                  <c:v>744.56357158364483</c:v>
                </c:pt>
                <c:pt idx="174">
                  <c:v>744.56357158364483</c:v>
                </c:pt>
                <c:pt idx="175">
                  <c:v>744.56357158364483</c:v>
                </c:pt>
                <c:pt idx="176">
                  <c:v>744.56357158364483</c:v>
                </c:pt>
                <c:pt idx="177">
                  <c:v>744.56357158364483</c:v>
                </c:pt>
                <c:pt idx="178">
                  <c:v>744.56357158364483</c:v>
                </c:pt>
                <c:pt idx="179">
                  <c:v>744.56357158364483</c:v>
                </c:pt>
                <c:pt idx="180">
                  <c:v>744.56357158364483</c:v>
                </c:pt>
                <c:pt idx="181">
                  <c:v>744.56357158364483</c:v>
                </c:pt>
                <c:pt idx="182">
                  <c:v>744.56357158364483</c:v>
                </c:pt>
                <c:pt idx="183">
                  <c:v>744.56357158364483</c:v>
                </c:pt>
                <c:pt idx="184">
                  <c:v>744.56357158364483</c:v>
                </c:pt>
                <c:pt idx="185">
                  <c:v>744.56357158364483</c:v>
                </c:pt>
                <c:pt idx="186">
                  <c:v>744.56357158364483</c:v>
                </c:pt>
                <c:pt idx="187">
                  <c:v>744.56357158364483</c:v>
                </c:pt>
                <c:pt idx="188">
                  <c:v>744.56357158364483</c:v>
                </c:pt>
                <c:pt idx="189">
                  <c:v>744.56357158364483</c:v>
                </c:pt>
                <c:pt idx="190">
                  <c:v>744.56357158364483</c:v>
                </c:pt>
                <c:pt idx="191">
                  <c:v>744.56357158364483</c:v>
                </c:pt>
                <c:pt idx="192">
                  <c:v>744.56357158364483</c:v>
                </c:pt>
                <c:pt idx="193">
                  <c:v>744.56357158364483</c:v>
                </c:pt>
                <c:pt idx="194">
                  <c:v>744.56357158364483</c:v>
                </c:pt>
                <c:pt idx="195">
                  <c:v>744.56357158364483</c:v>
                </c:pt>
                <c:pt idx="196">
                  <c:v>744.56357158364483</c:v>
                </c:pt>
                <c:pt idx="197">
                  <c:v>744.56357158364483</c:v>
                </c:pt>
                <c:pt idx="198">
                  <c:v>744.56357158364483</c:v>
                </c:pt>
                <c:pt idx="199">
                  <c:v>744.56357158364483</c:v>
                </c:pt>
                <c:pt idx="200">
                  <c:v>744.56357158364483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351.01904297525971</c:v>
                </c:pt>
                <c:pt idx="47">
                  <c:v>365.09703181844549</c:v>
                </c:pt>
                <c:pt idx="48">
                  <c:v>379.16316689919205</c:v>
                </c:pt>
                <c:pt idx="49">
                  <c:v>393.21794989343471</c:v>
                </c:pt>
                <c:pt idx="50">
                  <c:v>407.26184368889881</c:v>
                </c:pt>
                <c:pt idx="51">
                  <c:v>407.26184368889881</c:v>
                </c:pt>
                <c:pt idx="52">
                  <c:v>407.26184368889881</c:v>
                </c:pt>
                <c:pt idx="53">
                  <c:v>407.26184368889881</c:v>
                </c:pt>
                <c:pt idx="54">
                  <c:v>407.26184368889881</c:v>
                </c:pt>
                <c:pt idx="55">
                  <c:v>407.26184368889881</c:v>
                </c:pt>
                <c:pt idx="56">
                  <c:v>407.26184368889881</c:v>
                </c:pt>
                <c:pt idx="57">
                  <c:v>407.26184368889881</c:v>
                </c:pt>
                <c:pt idx="58">
                  <c:v>407.26184368889881</c:v>
                </c:pt>
                <c:pt idx="59">
                  <c:v>407.26184368889881</c:v>
                </c:pt>
                <c:pt idx="60">
                  <c:v>407.26184368889881</c:v>
                </c:pt>
                <c:pt idx="61">
                  <c:v>407.26184368889881</c:v>
                </c:pt>
                <c:pt idx="62">
                  <c:v>407.26184368889881</c:v>
                </c:pt>
                <c:pt idx="63">
                  <c:v>407.26184368889881</c:v>
                </c:pt>
                <c:pt idx="64">
                  <c:v>407.26184368889881</c:v>
                </c:pt>
                <c:pt idx="65">
                  <c:v>407.26184368889881</c:v>
                </c:pt>
                <c:pt idx="66">
                  <c:v>407.26184368889881</c:v>
                </c:pt>
                <c:pt idx="67">
                  <c:v>407.26184368889881</c:v>
                </c:pt>
                <c:pt idx="68">
                  <c:v>407.26184368889881</c:v>
                </c:pt>
                <c:pt idx="69">
                  <c:v>407.26184368889881</c:v>
                </c:pt>
                <c:pt idx="70">
                  <c:v>407.26184368889881</c:v>
                </c:pt>
                <c:pt idx="71">
                  <c:v>407.26184368889881</c:v>
                </c:pt>
                <c:pt idx="72">
                  <c:v>407.26184368889881</c:v>
                </c:pt>
                <c:pt idx="73">
                  <c:v>407.26184368889881</c:v>
                </c:pt>
                <c:pt idx="74">
                  <c:v>407.26184368889881</c:v>
                </c:pt>
                <c:pt idx="75">
                  <c:v>407.26184368889881</c:v>
                </c:pt>
                <c:pt idx="76">
                  <c:v>407.26184368889881</c:v>
                </c:pt>
                <c:pt idx="77">
                  <c:v>407.26184368889881</c:v>
                </c:pt>
                <c:pt idx="78">
                  <c:v>407.26184368889881</c:v>
                </c:pt>
                <c:pt idx="79">
                  <c:v>407.26184368889881</c:v>
                </c:pt>
                <c:pt idx="80">
                  <c:v>407.26184368889881</c:v>
                </c:pt>
                <c:pt idx="81">
                  <c:v>407.26184368889881</c:v>
                </c:pt>
                <c:pt idx="82">
                  <c:v>407.26184368889881</c:v>
                </c:pt>
                <c:pt idx="83">
                  <c:v>407.26184368889881</c:v>
                </c:pt>
                <c:pt idx="84">
                  <c:v>407.26184368889881</c:v>
                </c:pt>
                <c:pt idx="85">
                  <c:v>407.26184368889881</c:v>
                </c:pt>
                <c:pt idx="86">
                  <c:v>407.26184368889881</c:v>
                </c:pt>
                <c:pt idx="87">
                  <c:v>407.26184368889881</c:v>
                </c:pt>
                <c:pt idx="88">
                  <c:v>407.26184368889881</c:v>
                </c:pt>
                <c:pt idx="89">
                  <c:v>407.26184368889881</c:v>
                </c:pt>
                <c:pt idx="90">
                  <c:v>407.26184368889881</c:v>
                </c:pt>
                <c:pt idx="91">
                  <c:v>407.26184368889881</c:v>
                </c:pt>
                <c:pt idx="92">
                  <c:v>407.26184368889881</c:v>
                </c:pt>
                <c:pt idx="93">
                  <c:v>407.26184368889881</c:v>
                </c:pt>
                <c:pt idx="94">
                  <c:v>407.26184368889881</c:v>
                </c:pt>
                <c:pt idx="95">
                  <c:v>407.26184368889881</c:v>
                </c:pt>
                <c:pt idx="96">
                  <c:v>407.26184368889881</c:v>
                </c:pt>
                <c:pt idx="97">
                  <c:v>407.26184368889881</c:v>
                </c:pt>
                <c:pt idx="98">
                  <c:v>407.26184368889881</c:v>
                </c:pt>
                <c:pt idx="99">
                  <c:v>407.26184368889881</c:v>
                </c:pt>
                <c:pt idx="100">
                  <c:v>407.26184368889881</c:v>
                </c:pt>
                <c:pt idx="101">
                  <c:v>407.26184368889881</c:v>
                </c:pt>
                <c:pt idx="102">
                  <c:v>407.26184368889881</c:v>
                </c:pt>
                <c:pt idx="103">
                  <c:v>407.26184368889881</c:v>
                </c:pt>
                <c:pt idx="104">
                  <c:v>407.26184368889881</c:v>
                </c:pt>
                <c:pt idx="105">
                  <c:v>407.26184368889881</c:v>
                </c:pt>
                <c:pt idx="106">
                  <c:v>407.26184368889881</c:v>
                </c:pt>
                <c:pt idx="107">
                  <c:v>407.26184368889881</c:v>
                </c:pt>
                <c:pt idx="108">
                  <c:v>407.26184368889881</c:v>
                </c:pt>
                <c:pt idx="109">
                  <c:v>407.26184368889881</c:v>
                </c:pt>
                <c:pt idx="110">
                  <c:v>407.26184368889881</c:v>
                </c:pt>
                <c:pt idx="111">
                  <c:v>407.26184368889881</c:v>
                </c:pt>
                <c:pt idx="112">
                  <c:v>407.26184368889881</c:v>
                </c:pt>
                <c:pt idx="113">
                  <c:v>407.26184368889881</c:v>
                </c:pt>
                <c:pt idx="114">
                  <c:v>407.26184368889881</c:v>
                </c:pt>
                <c:pt idx="115">
                  <c:v>407.26184368889881</c:v>
                </c:pt>
                <c:pt idx="116">
                  <c:v>407.26184368889881</c:v>
                </c:pt>
                <c:pt idx="117">
                  <c:v>407.26184368889881</c:v>
                </c:pt>
                <c:pt idx="118">
                  <c:v>407.26184368889881</c:v>
                </c:pt>
                <c:pt idx="119">
                  <c:v>407.26184368889881</c:v>
                </c:pt>
                <c:pt idx="120">
                  <c:v>407.26184368889881</c:v>
                </c:pt>
                <c:pt idx="121">
                  <c:v>407.26184368889881</c:v>
                </c:pt>
                <c:pt idx="122">
                  <c:v>407.26184368889881</c:v>
                </c:pt>
                <c:pt idx="123">
                  <c:v>407.26184368889881</c:v>
                </c:pt>
                <c:pt idx="124">
                  <c:v>407.26184368889881</c:v>
                </c:pt>
                <c:pt idx="125">
                  <c:v>407.26184368889881</c:v>
                </c:pt>
                <c:pt idx="126">
                  <c:v>407.26184368889881</c:v>
                </c:pt>
                <c:pt idx="127">
                  <c:v>407.26184368889881</c:v>
                </c:pt>
                <c:pt idx="128">
                  <c:v>407.26184368889881</c:v>
                </c:pt>
                <c:pt idx="129">
                  <c:v>407.26184368889881</c:v>
                </c:pt>
                <c:pt idx="130">
                  <c:v>407.26184368889881</c:v>
                </c:pt>
                <c:pt idx="131">
                  <c:v>407.26184368889881</c:v>
                </c:pt>
                <c:pt idx="132">
                  <c:v>407.26184368889881</c:v>
                </c:pt>
                <c:pt idx="133">
                  <c:v>407.26184368889881</c:v>
                </c:pt>
                <c:pt idx="134">
                  <c:v>407.26184368889881</c:v>
                </c:pt>
                <c:pt idx="135">
                  <c:v>407.26184368889881</c:v>
                </c:pt>
                <c:pt idx="136">
                  <c:v>407.26184368889881</c:v>
                </c:pt>
                <c:pt idx="137">
                  <c:v>407.26184368889881</c:v>
                </c:pt>
                <c:pt idx="138">
                  <c:v>407.26184368889881</c:v>
                </c:pt>
                <c:pt idx="139">
                  <c:v>407.26184368889881</c:v>
                </c:pt>
                <c:pt idx="140">
                  <c:v>407.26184368889881</c:v>
                </c:pt>
                <c:pt idx="141">
                  <c:v>407.26184368889881</c:v>
                </c:pt>
                <c:pt idx="142">
                  <c:v>407.26184368889881</c:v>
                </c:pt>
                <c:pt idx="143">
                  <c:v>407.26184368889881</c:v>
                </c:pt>
                <c:pt idx="144">
                  <c:v>407.26184368889881</c:v>
                </c:pt>
                <c:pt idx="145">
                  <c:v>407.26184368889881</c:v>
                </c:pt>
                <c:pt idx="146">
                  <c:v>407.26184368889881</c:v>
                </c:pt>
                <c:pt idx="147">
                  <c:v>407.26184368889881</c:v>
                </c:pt>
                <c:pt idx="148">
                  <c:v>407.26184368889881</c:v>
                </c:pt>
                <c:pt idx="149">
                  <c:v>407.26184368889881</c:v>
                </c:pt>
                <c:pt idx="150">
                  <c:v>407.26184368889881</c:v>
                </c:pt>
                <c:pt idx="151">
                  <c:v>407.26184368889881</c:v>
                </c:pt>
                <c:pt idx="152">
                  <c:v>407.26184368889881</c:v>
                </c:pt>
                <c:pt idx="153">
                  <c:v>407.26184368889881</c:v>
                </c:pt>
                <c:pt idx="154">
                  <c:v>407.26184368889881</c:v>
                </c:pt>
                <c:pt idx="155">
                  <c:v>407.26184368889881</c:v>
                </c:pt>
                <c:pt idx="156">
                  <c:v>407.26184368889881</c:v>
                </c:pt>
                <c:pt idx="157">
                  <c:v>407.26184368889881</c:v>
                </c:pt>
                <c:pt idx="158">
                  <c:v>407.26184368889881</c:v>
                </c:pt>
                <c:pt idx="159">
                  <c:v>407.26184368889881</c:v>
                </c:pt>
                <c:pt idx="160">
                  <c:v>407.26184368889881</c:v>
                </c:pt>
                <c:pt idx="161">
                  <c:v>407.26184368889881</c:v>
                </c:pt>
                <c:pt idx="162">
                  <c:v>407.26184368889881</c:v>
                </c:pt>
                <c:pt idx="163">
                  <c:v>407.26184368889881</c:v>
                </c:pt>
                <c:pt idx="164">
                  <c:v>407.26184368889881</c:v>
                </c:pt>
                <c:pt idx="165">
                  <c:v>407.26184368889881</c:v>
                </c:pt>
                <c:pt idx="166">
                  <c:v>407.26184368889881</c:v>
                </c:pt>
                <c:pt idx="167">
                  <c:v>407.26184368889881</c:v>
                </c:pt>
                <c:pt idx="168">
                  <c:v>407.26184368889881</c:v>
                </c:pt>
                <c:pt idx="169">
                  <c:v>407.26184368889881</c:v>
                </c:pt>
                <c:pt idx="170">
                  <c:v>407.26184368889881</c:v>
                </c:pt>
                <c:pt idx="171">
                  <c:v>407.26184368889881</c:v>
                </c:pt>
                <c:pt idx="172">
                  <c:v>407.26184368889881</c:v>
                </c:pt>
                <c:pt idx="173">
                  <c:v>407.26184368889881</c:v>
                </c:pt>
                <c:pt idx="174">
                  <c:v>407.26184368889881</c:v>
                </c:pt>
                <c:pt idx="175">
                  <c:v>407.26184368889881</c:v>
                </c:pt>
                <c:pt idx="176">
                  <c:v>407.26184368889881</c:v>
                </c:pt>
                <c:pt idx="177">
                  <c:v>407.26184368889881</c:v>
                </c:pt>
                <c:pt idx="178">
                  <c:v>407.26184368889881</c:v>
                </c:pt>
                <c:pt idx="179">
                  <c:v>407.26184368889881</c:v>
                </c:pt>
                <c:pt idx="180">
                  <c:v>407.26184368889881</c:v>
                </c:pt>
                <c:pt idx="181">
                  <c:v>407.26184368889881</c:v>
                </c:pt>
                <c:pt idx="182">
                  <c:v>407.26184368889881</c:v>
                </c:pt>
                <c:pt idx="183">
                  <c:v>407.26184368889881</c:v>
                </c:pt>
                <c:pt idx="184">
                  <c:v>407.26184368889881</c:v>
                </c:pt>
                <c:pt idx="185">
                  <c:v>407.26184368889881</c:v>
                </c:pt>
                <c:pt idx="186">
                  <c:v>407.26184368889881</c:v>
                </c:pt>
                <c:pt idx="187">
                  <c:v>407.26184368889881</c:v>
                </c:pt>
                <c:pt idx="188">
                  <c:v>407.26184368889881</c:v>
                </c:pt>
                <c:pt idx="189">
                  <c:v>407.26184368889881</c:v>
                </c:pt>
                <c:pt idx="190">
                  <c:v>407.26184368889881</c:v>
                </c:pt>
                <c:pt idx="191">
                  <c:v>407.26184368889881</c:v>
                </c:pt>
                <c:pt idx="192">
                  <c:v>407.26184368889881</c:v>
                </c:pt>
                <c:pt idx="193">
                  <c:v>407.26184368889881</c:v>
                </c:pt>
                <c:pt idx="194">
                  <c:v>407.26184368889881</c:v>
                </c:pt>
                <c:pt idx="195">
                  <c:v>407.26184368889881</c:v>
                </c:pt>
                <c:pt idx="196">
                  <c:v>407.26184368889881</c:v>
                </c:pt>
                <c:pt idx="197">
                  <c:v>407.26184368889881</c:v>
                </c:pt>
                <c:pt idx="198">
                  <c:v>407.26184368889881</c:v>
                </c:pt>
                <c:pt idx="199">
                  <c:v>407.26184368889881</c:v>
                </c:pt>
                <c:pt idx="200">
                  <c:v>407.26184368889881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472.17159422788467</c:v>
                </c:pt>
                <c:pt idx="72">
                  <c:v>472.17159422788467</c:v>
                </c:pt>
                <c:pt idx="73">
                  <c:v>472.17159422788467</c:v>
                </c:pt>
                <c:pt idx="74">
                  <c:v>472.17159422788467</c:v>
                </c:pt>
                <c:pt idx="75">
                  <c:v>472.17159422788467</c:v>
                </c:pt>
                <c:pt idx="76">
                  <c:v>472.17159422788467</c:v>
                </c:pt>
                <c:pt idx="77">
                  <c:v>472.17159422788467</c:v>
                </c:pt>
                <c:pt idx="78">
                  <c:v>472.17159422788467</c:v>
                </c:pt>
                <c:pt idx="79">
                  <c:v>472.17159422788467</c:v>
                </c:pt>
                <c:pt idx="80">
                  <c:v>472.17159422788467</c:v>
                </c:pt>
                <c:pt idx="81">
                  <c:v>472.17159422788467</c:v>
                </c:pt>
                <c:pt idx="82">
                  <c:v>472.17159422788467</c:v>
                </c:pt>
                <c:pt idx="83">
                  <c:v>472.17159422788467</c:v>
                </c:pt>
                <c:pt idx="84">
                  <c:v>472.17159422788467</c:v>
                </c:pt>
                <c:pt idx="85">
                  <c:v>472.17159422788467</c:v>
                </c:pt>
                <c:pt idx="86">
                  <c:v>472.17159422788467</c:v>
                </c:pt>
                <c:pt idx="87">
                  <c:v>472.17159422788467</c:v>
                </c:pt>
                <c:pt idx="88">
                  <c:v>472.17159422788467</c:v>
                </c:pt>
                <c:pt idx="89">
                  <c:v>472.17159422788467</c:v>
                </c:pt>
                <c:pt idx="90">
                  <c:v>472.17159422788467</c:v>
                </c:pt>
                <c:pt idx="91">
                  <c:v>472.17159422788467</c:v>
                </c:pt>
                <c:pt idx="92">
                  <c:v>472.17159422788467</c:v>
                </c:pt>
                <c:pt idx="93">
                  <c:v>472.17159422788467</c:v>
                </c:pt>
                <c:pt idx="94">
                  <c:v>472.17159422788467</c:v>
                </c:pt>
                <c:pt idx="95">
                  <c:v>472.17159422788467</c:v>
                </c:pt>
                <c:pt idx="96">
                  <c:v>472.17159422788467</c:v>
                </c:pt>
                <c:pt idx="97">
                  <c:v>472.17159422788467</c:v>
                </c:pt>
                <c:pt idx="98">
                  <c:v>472.17159422788467</c:v>
                </c:pt>
                <c:pt idx="99">
                  <c:v>472.17159422788467</c:v>
                </c:pt>
                <c:pt idx="100">
                  <c:v>472.17159422788467</c:v>
                </c:pt>
                <c:pt idx="101">
                  <c:v>472.17159422788467</c:v>
                </c:pt>
                <c:pt idx="102">
                  <c:v>472.17159422788467</c:v>
                </c:pt>
                <c:pt idx="103">
                  <c:v>472.17159422788467</c:v>
                </c:pt>
                <c:pt idx="104">
                  <c:v>472.17159422788467</c:v>
                </c:pt>
                <c:pt idx="105">
                  <c:v>472.17159422788467</c:v>
                </c:pt>
                <c:pt idx="106">
                  <c:v>472.17159422788467</c:v>
                </c:pt>
                <c:pt idx="107">
                  <c:v>472.17159422788467</c:v>
                </c:pt>
                <c:pt idx="108">
                  <c:v>472.17159422788467</c:v>
                </c:pt>
                <c:pt idx="109">
                  <c:v>472.17159422788467</c:v>
                </c:pt>
                <c:pt idx="110">
                  <c:v>472.17159422788467</c:v>
                </c:pt>
                <c:pt idx="111">
                  <c:v>472.17159422788467</c:v>
                </c:pt>
                <c:pt idx="112">
                  <c:v>472.17159422788467</c:v>
                </c:pt>
                <c:pt idx="113">
                  <c:v>472.17159422788467</c:v>
                </c:pt>
                <c:pt idx="114">
                  <c:v>472.17159422788467</c:v>
                </c:pt>
                <c:pt idx="115">
                  <c:v>472.17159422788467</c:v>
                </c:pt>
                <c:pt idx="116">
                  <c:v>472.17159422788467</c:v>
                </c:pt>
                <c:pt idx="117">
                  <c:v>472.17159422788467</c:v>
                </c:pt>
                <c:pt idx="118">
                  <c:v>472.17159422788467</c:v>
                </c:pt>
                <c:pt idx="119">
                  <c:v>472.17159422788467</c:v>
                </c:pt>
                <c:pt idx="120">
                  <c:v>472.17159422788467</c:v>
                </c:pt>
                <c:pt idx="121">
                  <c:v>472.17159422788467</c:v>
                </c:pt>
                <c:pt idx="122">
                  <c:v>472.17159422788467</c:v>
                </c:pt>
                <c:pt idx="123">
                  <c:v>472.17159422788467</c:v>
                </c:pt>
                <c:pt idx="124">
                  <c:v>472.17159422788467</c:v>
                </c:pt>
                <c:pt idx="125">
                  <c:v>472.17159422788467</c:v>
                </c:pt>
                <c:pt idx="126">
                  <c:v>472.17159422788467</c:v>
                </c:pt>
                <c:pt idx="127">
                  <c:v>472.17159422788467</c:v>
                </c:pt>
                <c:pt idx="128">
                  <c:v>472.17159422788467</c:v>
                </c:pt>
                <c:pt idx="129">
                  <c:v>472.17159422788467</c:v>
                </c:pt>
                <c:pt idx="130">
                  <c:v>472.17159422788467</c:v>
                </c:pt>
                <c:pt idx="131">
                  <c:v>472.17159422788467</c:v>
                </c:pt>
                <c:pt idx="132">
                  <c:v>472.17159422788467</c:v>
                </c:pt>
                <c:pt idx="133">
                  <c:v>472.17159422788467</c:v>
                </c:pt>
                <c:pt idx="134">
                  <c:v>472.17159422788467</c:v>
                </c:pt>
                <c:pt idx="135">
                  <c:v>472.17159422788467</c:v>
                </c:pt>
                <c:pt idx="136">
                  <c:v>472.17159422788467</c:v>
                </c:pt>
                <c:pt idx="137">
                  <c:v>472.17159422788467</c:v>
                </c:pt>
                <c:pt idx="138">
                  <c:v>472.17159422788467</c:v>
                </c:pt>
                <c:pt idx="139">
                  <c:v>472.17159422788467</c:v>
                </c:pt>
                <c:pt idx="140">
                  <c:v>472.17159422788467</c:v>
                </c:pt>
                <c:pt idx="141">
                  <c:v>472.17159422788467</c:v>
                </c:pt>
                <c:pt idx="142">
                  <c:v>472.17159422788467</c:v>
                </c:pt>
                <c:pt idx="143">
                  <c:v>472.17159422788467</c:v>
                </c:pt>
                <c:pt idx="144">
                  <c:v>472.17159422788467</c:v>
                </c:pt>
                <c:pt idx="145">
                  <c:v>472.17159422788467</c:v>
                </c:pt>
                <c:pt idx="146">
                  <c:v>472.17159422788467</c:v>
                </c:pt>
                <c:pt idx="147">
                  <c:v>472.17159422788467</c:v>
                </c:pt>
                <c:pt idx="148">
                  <c:v>472.17159422788467</c:v>
                </c:pt>
                <c:pt idx="149">
                  <c:v>472.17159422788467</c:v>
                </c:pt>
                <c:pt idx="150">
                  <c:v>472.17159422788467</c:v>
                </c:pt>
                <c:pt idx="151">
                  <c:v>472.17159422788467</c:v>
                </c:pt>
                <c:pt idx="152">
                  <c:v>472.17159422788467</c:v>
                </c:pt>
                <c:pt idx="153">
                  <c:v>472.17159422788467</c:v>
                </c:pt>
                <c:pt idx="154">
                  <c:v>472.17159422788467</c:v>
                </c:pt>
                <c:pt idx="155">
                  <c:v>472.17159422788467</c:v>
                </c:pt>
                <c:pt idx="156">
                  <c:v>472.17159422788467</c:v>
                </c:pt>
                <c:pt idx="157">
                  <c:v>472.17159422788467</c:v>
                </c:pt>
                <c:pt idx="158">
                  <c:v>472.17159422788467</c:v>
                </c:pt>
                <c:pt idx="159">
                  <c:v>472.17159422788467</c:v>
                </c:pt>
                <c:pt idx="160">
                  <c:v>472.17159422788467</c:v>
                </c:pt>
                <c:pt idx="161">
                  <c:v>472.17159422788467</c:v>
                </c:pt>
                <c:pt idx="162">
                  <c:v>472.17159422788467</c:v>
                </c:pt>
                <c:pt idx="163">
                  <c:v>472.17159422788467</c:v>
                </c:pt>
                <c:pt idx="164">
                  <c:v>472.17159422788467</c:v>
                </c:pt>
                <c:pt idx="165">
                  <c:v>472.17159422788467</c:v>
                </c:pt>
                <c:pt idx="166">
                  <c:v>472.17159422788467</c:v>
                </c:pt>
                <c:pt idx="167">
                  <c:v>472.17159422788467</c:v>
                </c:pt>
                <c:pt idx="168">
                  <c:v>472.17159422788467</c:v>
                </c:pt>
                <c:pt idx="169">
                  <c:v>472.17159422788467</c:v>
                </c:pt>
                <c:pt idx="170">
                  <c:v>472.17159422788467</c:v>
                </c:pt>
                <c:pt idx="171">
                  <c:v>472.17159422788467</c:v>
                </c:pt>
                <c:pt idx="172">
                  <c:v>472.17159422788467</c:v>
                </c:pt>
                <c:pt idx="173">
                  <c:v>472.17159422788467</c:v>
                </c:pt>
                <c:pt idx="174">
                  <c:v>472.17159422788467</c:v>
                </c:pt>
                <c:pt idx="175">
                  <c:v>472.17159422788467</c:v>
                </c:pt>
                <c:pt idx="176">
                  <c:v>472.17159422788467</c:v>
                </c:pt>
                <c:pt idx="177">
                  <c:v>472.17159422788467</c:v>
                </c:pt>
                <c:pt idx="178">
                  <c:v>472.17159422788467</c:v>
                </c:pt>
                <c:pt idx="179">
                  <c:v>472.17159422788467</c:v>
                </c:pt>
                <c:pt idx="180">
                  <c:v>472.17159422788467</c:v>
                </c:pt>
                <c:pt idx="181">
                  <c:v>472.17159422788467</c:v>
                </c:pt>
                <c:pt idx="182">
                  <c:v>472.17159422788467</c:v>
                </c:pt>
                <c:pt idx="183">
                  <c:v>472.17159422788467</c:v>
                </c:pt>
                <c:pt idx="184">
                  <c:v>472.17159422788467</c:v>
                </c:pt>
                <c:pt idx="185">
                  <c:v>472.17159422788467</c:v>
                </c:pt>
                <c:pt idx="186">
                  <c:v>472.17159422788467</c:v>
                </c:pt>
                <c:pt idx="187">
                  <c:v>472.17159422788467</c:v>
                </c:pt>
                <c:pt idx="188">
                  <c:v>472.17159422788467</c:v>
                </c:pt>
                <c:pt idx="189">
                  <c:v>472.17159422788467</c:v>
                </c:pt>
                <c:pt idx="190">
                  <c:v>472.17159422788467</c:v>
                </c:pt>
                <c:pt idx="191">
                  <c:v>472.17159422788467</c:v>
                </c:pt>
                <c:pt idx="192">
                  <c:v>472.17159422788467</c:v>
                </c:pt>
                <c:pt idx="193">
                  <c:v>472.17159422788467</c:v>
                </c:pt>
                <c:pt idx="194">
                  <c:v>472.17159422788467</c:v>
                </c:pt>
                <c:pt idx="195">
                  <c:v>472.17159422788467</c:v>
                </c:pt>
                <c:pt idx="196">
                  <c:v>472.17159422788467</c:v>
                </c:pt>
                <c:pt idx="197">
                  <c:v>472.17159422788467</c:v>
                </c:pt>
                <c:pt idx="198">
                  <c:v>472.17159422788467</c:v>
                </c:pt>
                <c:pt idx="199">
                  <c:v>472.17159422788467</c:v>
                </c:pt>
                <c:pt idx="200">
                  <c:v>472.17159422788467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587.88248808694345</c:v>
                </c:pt>
                <c:pt idx="82">
                  <c:v>587.88248808694345</c:v>
                </c:pt>
                <c:pt idx="83">
                  <c:v>587.88248808694345</c:v>
                </c:pt>
                <c:pt idx="84">
                  <c:v>587.88248808694345</c:v>
                </c:pt>
                <c:pt idx="85">
                  <c:v>587.88248808694345</c:v>
                </c:pt>
                <c:pt idx="86">
                  <c:v>587.88248808694345</c:v>
                </c:pt>
                <c:pt idx="87">
                  <c:v>587.88248808694345</c:v>
                </c:pt>
                <c:pt idx="88">
                  <c:v>587.88248808694345</c:v>
                </c:pt>
                <c:pt idx="89">
                  <c:v>587.88248808694345</c:v>
                </c:pt>
                <c:pt idx="90">
                  <c:v>587.88248808694345</c:v>
                </c:pt>
                <c:pt idx="91">
                  <c:v>587.88248808694345</c:v>
                </c:pt>
                <c:pt idx="92">
                  <c:v>587.88248808694345</c:v>
                </c:pt>
                <c:pt idx="93">
                  <c:v>587.88248808694345</c:v>
                </c:pt>
                <c:pt idx="94">
                  <c:v>587.88248808694345</c:v>
                </c:pt>
                <c:pt idx="95">
                  <c:v>587.88248808694345</c:v>
                </c:pt>
                <c:pt idx="96">
                  <c:v>587.88248808694345</c:v>
                </c:pt>
                <c:pt idx="97">
                  <c:v>587.88248808694345</c:v>
                </c:pt>
                <c:pt idx="98">
                  <c:v>587.88248808694345</c:v>
                </c:pt>
                <c:pt idx="99">
                  <c:v>587.88248808694345</c:v>
                </c:pt>
                <c:pt idx="100">
                  <c:v>587.88248808694345</c:v>
                </c:pt>
                <c:pt idx="101">
                  <c:v>587.88248808694345</c:v>
                </c:pt>
                <c:pt idx="102">
                  <c:v>587.88248808694345</c:v>
                </c:pt>
                <c:pt idx="103">
                  <c:v>587.88248808694345</c:v>
                </c:pt>
                <c:pt idx="104">
                  <c:v>587.88248808694345</c:v>
                </c:pt>
                <c:pt idx="105">
                  <c:v>587.88248808694345</c:v>
                </c:pt>
                <c:pt idx="106">
                  <c:v>587.88248808694345</c:v>
                </c:pt>
                <c:pt idx="107">
                  <c:v>587.88248808694345</c:v>
                </c:pt>
                <c:pt idx="108">
                  <c:v>587.88248808694345</c:v>
                </c:pt>
                <c:pt idx="109">
                  <c:v>587.88248808694345</c:v>
                </c:pt>
                <c:pt idx="110">
                  <c:v>587.88248808694345</c:v>
                </c:pt>
                <c:pt idx="111">
                  <c:v>587.88248808694345</c:v>
                </c:pt>
                <c:pt idx="112">
                  <c:v>587.88248808694345</c:v>
                </c:pt>
                <c:pt idx="113">
                  <c:v>587.88248808694345</c:v>
                </c:pt>
                <c:pt idx="114">
                  <c:v>587.88248808694345</c:v>
                </c:pt>
                <c:pt idx="115">
                  <c:v>587.88248808694345</c:v>
                </c:pt>
                <c:pt idx="116">
                  <c:v>587.88248808694345</c:v>
                </c:pt>
                <c:pt idx="117">
                  <c:v>587.88248808694345</c:v>
                </c:pt>
                <c:pt idx="118">
                  <c:v>587.88248808694345</c:v>
                </c:pt>
                <c:pt idx="119">
                  <c:v>587.88248808694345</c:v>
                </c:pt>
                <c:pt idx="120">
                  <c:v>587.88248808694345</c:v>
                </c:pt>
                <c:pt idx="121">
                  <c:v>587.88248808694345</c:v>
                </c:pt>
                <c:pt idx="122">
                  <c:v>587.88248808694345</c:v>
                </c:pt>
                <c:pt idx="123">
                  <c:v>587.88248808694345</c:v>
                </c:pt>
                <c:pt idx="124">
                  <c:v>587.88248808694345</c:v>
                </c:pt>
                <c:pt idx="125">
                  <c:v>587.88248808694345</c:v>
                </c:pt>
                <c:pt idx="126">
                  <c:v>587.88248808694345</c:v>
                </c:pt>
                <c:pt idx="127">
                  <c:v>587.88248808694345</c:v>
                </c:pt>
                <c:pt idx="128">
                  <c:v>587.88248808694345</c:v>
                </c:pt>
                <c:pt idx="129">
                  <c:v>587.88248808694345</c:v>
                </c:pt>
                <c:pt idx="130">
                  <c:v>587.88248808694345</c:v>
                </c:pt>
                <c:pt idx="131">
                  <c:v>587.88248808694345</c:v>
                </c:pt>
                <c:pt idx="132">
                  <c:v>587.88248808694345</c:v>
                </c:pt>
                <c:pt idx="133">
                  <c:v>587.88248808694345</c:v>
                </c:pt>
                <c:pt idx="134">
                  <c:v>587.88248808694345</c:v>
                </c:pt>
                <c:pt idx="135">
                  <c:v>587.88248808694345</c:v>
                </c:pt>
                <c:pt idx="136">
                  <c:v>587.88248808694345</c:v>
                </c:pt>
                <c:pt idx="137">
                  <c:v>587.88248808694345</c:v>
                </c:pt>
                <c:pt idx="138">
                  <c:v>587.88248808694345</c:v>
                </c:pt>
                <c:pt idx="139">
                  <c:v>587.88248808694345</c:v>
                </c:pt>
                <c:pt idx="140">
                  <c:v>587.88248808694345</c:v>
                </c:pt>
                <c:pt idx="141">
                  <c:v>587.88248808694345</c:v>
                </c:pt>
                <c:pt idx="142">
                  <c:v>587.88248808694345</c:v>
                </c:pt>
                <c:pt idx="143">
                  <c:v>587.88248808694345</c:v>
                </c:pt>
                <c:pt idx="144">
                  <c:v>587.88248808694345</c:v>
                </c:pt>
                <c:pt idx="145">
                  <c:v>587.88248808694345</c:v>
                </c:pt>
                <c:pt idx="146">
                  <c:v>587.88248808694345</c:v>
                </c:pt>
                <c:pt idx="147">
                  <c:v>587.88248808694345</c:v>
                </c:pt>
                <c:pt idx="148">
                  <c:v>587.88248808694345</c:v>
                </c:pt>
                <c:pt idx="149">
                  <c:v>587.88248808694345</c:v>
                </c:pt>
                <c:pt idx="150">
                  <c:v>587.88248808694345</c:v>
                </c:pt>
                <c:pt idx="151">
                  <c:v>587.88248808694345</c:v>
                </c:pt>
                <c:pt idx="152">
                  <c:v>587.88248808694345</c:v>
                </c:pt>
                <c:pt idx="153">
                  <c:v>587.88248808694345</c:v>
                </c:pt>
                <c:pt idx="154">
                  <c:v>587.88248808694345</c:v>
                </c:pt>
                <c:pt idx="155">
                  <c:v>587.88248808694345</c:v>
                </c:pt>
                <c:pt idx="156">
                  <c:v>587.88248808694345</c:v>
                </c:pt>
                <c:pt idx="157">
                  <c:v>587.88248808694345</c:v>
                </c:pt>
                <c:pt idx="158">
                  <c:v>587.88248808694345</c:v>
                </c:pt>
                <c:pt idx="159">
                  <c:v>587.88248808694345</c:v>
                </c:pt>
                <c:pt idx="160">
                  <c:v>587.88248808694345</c:v>
                </c:pt>
                <c:pt idx="161">
                  <c:v>587.88248808694345</c:v>
                </c:pt>
                <c:pt idx="162">
                  <c:v>587.88248808694345</c:v>
                </c:pt>
                <c:pt idx="163">
                  <c:v>587.88248808694345</c:v>
                </c:pt>
                <c:pt idx="164">
                  <c:v>587.88248808694345</c:v>
                </c:pt>
                <c:pt idx="165">
                  <c:v>587.88248808694345</c:v>
                </c:pt>
                <c:pt idx="166">
                  <c:v>587.88248808694345</c:v>
                </c:pt>
                <c:pt idx="167">
                  <c:v>587.88248808694345</c:v>
                </c:pt>
                <c:pt idx="168">
                  <c:v>587.88248808694345</c:v>
                </c:pt>
                <c:pt idx="169">
                  <c:v>587.88248808694345</c:v>
                </c:pt>
                <c:pt idx="170">
                  <c:v>587.88248808694345</c:v>
                </c:pt>
                <c:pt idx="171">
                  <c:v>587.88248808694345</c:v>
                </c:pt>
                <c:pt idx="172">
                  <c:v>587.88248808694345</c:v>
                </c:pt>
                <c:pt idx="173">
                  <c:v>587.88248808694345</c:v>
                </c:pt>
                <c:pt idx="174">
                  <c:v>587.88248808694345</c:v>
                </c:pt>
                <c:pt idx="175">
                  <c:v>587.88248808694345</c:v>
                </c:pt>
                <c:pt idx="176">
                  <c:v>587.88248808694345</c:v>
                </c:pt>
                <c:pt idx="177">
                  <c:v>587.88248808694345</c:v>
                </c:pt>
                <c:pt idx="178">
                  <c:v>587.88248808694345</c:v>
                </c:pt>
                <c:pt idx="179">
                  <c:v>587.88248808694345</c:v>
                </c:pt>
                <c:pt idx="180">
                  <c:v>587.88248808694345</c:v>
                </c:pt>
                <c:pt idx="181">
                  <c:v>587.88248808694345</c:v>
                </c:pt>
                <c:pt idx="182">
                  <c:v>587.88248808694345</c:v>
                </c:pt>
                <c:pt idx="183">
                  <c:v>587.88248808694345</c:v>
                </c:pt>
                <c:pt idx="184">
                  <c:v>587.88248808694345</c:v>
                </c:pt>
                <c:pt idx="185">
                  <c:v>587.88248808694345</c:v>
                </c:pt>
                <c:pt idx="186">
                  <c:v>587.88248808694345</c:v>
                </c:pt>
                <c:pt idx="187">
                  <c:v>587.88248808694345</c:v>
                </c:pt>
                <c:pt idx="188">
                  <c:v>587.88248808694345</c:v>
                </c:pt>
                <c:pt idx="189">
                  <c:v>587.88248808694345</c:v>
                </c:pt>
                <c:pt idx="190">
                  <c:v>587.88248808694345</c:v>
                </c:pt>
                <c:pt idx="191">
                  <c:v>587.88248808694345</c:v>
                </c:pt>
                <c:pt idx="192">
                  <c:v>587.88248808694345</c:v>
                </c:pt>
                <c:pt idx="193">
                  <c:v>587.88248808694345</c:v>
                </c:pt>
                <c:pt idx="194">
                  <c:v>587.88248808694345</c:v>
                </c:pt>
                <c:pt idx="195">
                  <c:v>587.88248808694345</c:v>
                </c:pt>
                <c:pt idx="196">
                  <c:v>587.88248808694345</c:v>
                </c:pt>
                <c:pt idx="197">
                  <c:v>587.88248808694345</c:v>
                </c:pt>
                <c:pt idx="198">
                  <c:v>587.88248808694345</c:v>
                </c:pt>
                <c:pt idx="199">
                  <c:v>587.88248808694345</c:v>
                </c:pt>
                <c:pt idx="200">
                  <c:v>587.88248808694345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2.1820279828780054</c:v>
                </c:pt>
                <c:pt idx="2">
                  <c:v>2.7489287958390509</c:v>
                </c:pt>
                <c:pt idx="3">
                  <c:v>3.4636936546704455</c:v>
                </c:pt>
                <c:pt idx="4">
                  <c:v>4.3650326800554504</c:v>
                </c:pt>
                <c:pt idx="5">
                  <c:v>5.5018251647390555</c:v>
                </c:pt>
                <c:pt idx="6">
                  <c:v>6.9357995812068935</c:v>
                </c:pt>
                <c:pt idx="7">
                  <c:v>8.7449219687578292</c:v>
                </c:pt>
                <c:pt idx="8">
                  <c:v>11.027680444407844</c:v>
                </c:pt>
                <c:pt idx="9">
                  <c:v>13.908503463014158</c:v>
                </c:pt>
                <c:pt idx="10">
                  <c:v>17.544612615119544</c:v>
                </c:pt>
                <c:pt idx="11">
                  <c:v>34.058400911210931</c:v>
                </c:pt>
                <c:pt idx="12">
                  <c:v>50.34361284528881</c:v>
                </c:pt>
                <c:pt idx="13">
                  <c:v>66.487330412074542</c:v>
                </c:pt>
                <c:pt idx="14">
                  <c:v>82.52926758060643</c:v>
                </c:pt>
                <c:pt idx="15">
                  <c:v>98.492145142414884</c:v>
                </c:pt>
                <c:pt idx="16">
                  <c:v>71.547252966053563</c:v>
                </c:pt>
                <c:pt idx="17">
                  <c:v>91.997227261933816</c:v>
                </c:pt>
                <c:pt idx="18">
                  <c:v>112.33296074194493</c:v>
                </c:pt>
                <c:pt idx="19">
                  <c:v>132.57815986744802</c:v>
                </c:pt>
                <c:pt idx="20">
                  <c:v>152.74863657956135</c:v>
                </c:pt>
                <c:pt idx="21">
                  <c:v>123.19919977804646</c:v>
                </c:pt>
                <c:pt idx="22">
                  <c:v>144.86394385180279</c:v>
                </c:pt>
                <c:pt idx="23">
                  <c:v>166.4510594112233</c:v>
                </c:pt>
                <c:pt idx="24">
                  <c:v>187.97204438624502</c:v>
                </c:pt>
                <c:pt idx="25">
                  <c:v>209.43554025032617</c:v>
                </c:pt>
                <c:pt idx="26">
                  <c:v>179.25468649117627</c:v>
                </c:pt>
                <c:pt idx="27">
                  <c:v>199.87061683989143</c:v>
                </c:pt>
                <c:pt idx="28">
                  <c:v>220.43724193036135</c:v>
                </c:pt>
                <c:pt idx="29">
                  <c:v>240.95980935357719</c:v>
                </c:pt>
                <c:pt idx="30">
                  <c:v>261.44259892473696</c:v>
                </c:pt>
                <c:pt idx="31">
                  <c:v>229.40294706111749</c:v>
                </c:pt>
                <c:pt idx="32">
                  <c:v>247.88782914028013</c:v>
                </c:pt>
                <c:pt idx="33">
                  <c:v>266.34143288880699</c:v>
                </c:pt>
                <c:pt idx="34">
                  <c:v>284.76623003096699</c:v>
                </c:pt>
                <c:pt idx="35">
                  <c:v>303.16434624776605</c:v>
                </c:pt>
                <c:pt idx="36">
                  <c:v>269.2221486423162</c:v>
                </c:pt>
                <c:pt idx="37">
                  <c:v>285.6292223829322</c:v>
                </c:pt>
                <c:pt idx="38">
                  <c:v>302.01520947361524</c:v>
                </c:pt>
                <c:pt idx="39">
                  <c:v>318.38141491457736</c:v>
                </c:pt>
                <c:pt idx="40">
                  <c:v>334.72899857905389</c:v>
                </c:pt>
                <c:pt idx="41">
                  <c:v>298.56721329998339</c:v>
                </c:pt>
                <c:pt idx="42">
                  <c:v>312.64106404467651</c:v>
                </c:pt>
                <c:pt idx="43">
                  <c:v>326.70086577792733</c:v>
                </c:pt>
                <c:pt idx="44">
                  <c:v>340.74730831162287</c:v>
                </c:pt>
                <c:pt idx="45">
                  <c:v>354.78101993685891</c:v>
                </c:pt>
                <c:pt idx="46">
                  <c:v>332.72236758984241</c:v>
                </c:pt>
                <c:pt idx="47">
                  <c:v>345.04466702323003</c:v>
                </c:pt>
                <c:pt idx="48">
                  <c:v>357.35730278704006</c:v>
                </c:pt>
                <c:pt idx="49">
                  <c:v>369.66065482432049</c:v>
                </c:pt>
                <c:pt idx="50">
                  <c:v>381.9550757178597</c:v>
                </c:pt>
                <c:pt idx="51">
                  <c:v>365.36981964928924</c:v>
                </c:pt>
                <c:pt idx="52">
                  <c:v>375.95191824839645</c:v>
                </c:pt>
                <c:pt idx="53">
                  <c:v>386.52753101095118</c:v>
                </c:pt>
                <c:pt idx="54">
                  <c:v>397.09686046819598</c:v>
                </c:pt>
                <c:pt idx="55">
                  <c:v>407.66009748688703</c:v>
                </c:pt>
                <c:pt idx="56">
                  <c:v>393.66964638244099</c:v>
                </c:pt>
                <c:pt idx="57">
                  <c:v>402.52197482878029</c:v>
                </c:pt>
                <c:pt idx="58">
                  <c:v>411.37009257413553</c:v>
                </c:pt>
                <c:pt idx="59">
                  <c:v>420.21410300118396</c:v>
                </c:pt>
                <c:pt idx="60">
                  <c:v>429.05410478388177</c:v>
                </c:pt>
                <c:pt idx="61">
                  <c:v>416.50581806048353</c:v>
                </c:pt>
                <c:pt idx="62">
                  <c:v>423.921683040875</c:v>
                </c:pt>
                <c:pt idx="63">
                  <c:v>431.33475645394793</c:v>
                </c:pt>
                <c:pt idx="64">
                  <c:v>438.74509307281801</c:v>
                </c:pt>
                <c:pt idx="65">
                  <c:v>446.15274566834927</c:v>
                </c:pt>
                <c:pt idx="66">
                  <c:v>434.18520687835752</c:v>
                </c:pt>
                <c:pt idx="67">
                  <c:v>440.73972296346921</c:v>
                </c:pt>
                <c:pt idx="68">
                  <c:v>447.29214956887478</c:v>
                </c:pt>
                <c:pt idx="69">
                  <c:v>453.84252164192861</c:v>
                </c:pt>
                <c:pt idx="70">
                  <c:v>460.39087303823089</c:v>
                </c:pt>
                <c:pt idx="71">
                  <c:v>447.86182820601562</c:v>
                </c:pt>
                <c:pt idx="72">
                  <c:v>453.84252164192861</c:v>
                </c:pt>
                <c:pt idx="73">
                  <c:v>459.82153055595603</c:v>
                </c:pt>
                <c:pt idx="74">
                  <c:v>465.79887995720793</c:v>
                </c:pt>
                <c:pt idx="75">
                  <c:v>471.77459416013545</c:v>
                </c:pt>
                <c:pt idx="76">
                  <c:v>459.82153055595603</c:v>
                </c:pt>
                <c:pt idx="77">
                  <c:v>464.94507357382491</c:v>
                </c:pt>
                <c:pt idx="78">
                  <c:v>470.06741271088464</c:v>
                </c:pt>
                <c:pt idx="79">
                  <c:v>475.18856294702238</c:v>
                </c:pt>
                <c:pt idx="80">
                  <c:v>480.30853891265809</c:v>
                </c:pt>
                <c:pt idx="81">
                  <c:v>464.66046401831505</c:v>
                </c:pt>
                <c:pt idx="82">
                  <c:v>464.66046401831505</c:v>
                </c:pt>
                <c:pt idx="83">
                  <c:v>464.66046401831505</c:v>
                </c:pt>
                <c:pt idx="84">
                  <c:v>464.66046401831505</c:v>
                </c:pt>
                <c:pt idx="85">
                  <c:v>464.66046401831505</c:v>
                </c:pt>
                <c:pt idx="86">
                  <c:v>464.66046401831505</c:v>
                </c:pt>
                <c:pt idx="87">
                  <c:v>464.66046401831505</c:v>
                </c:pt>
                <c:pt idx="88">
                  <c:v>464.66046401831505</c:v>
                </c:pt>
                <c:pt idx="89">
                  <c:v>464.66046401831505</c:v>
                </c:pt>
                <c:pt idx="90">
                  <c:v>464.66046401831505</c:v>
                </c:pt>
                <c:pt idx="91">
                  <c:v>464.66046401831505</c:v>
                </c:pt>
                <c:pt idx="92">
                  <c:v>464.66046401831505</c:v>
                </c:pt>
                <c:pt idx="93">
                  <c:v>464.66046401831505</c:v>
                </c:pt>
                <c:pt idx="94">
                  <c:v>464.66046401831505</c:v>
                </c:pt>
                <c:pt idx="95">
                  <c:v>464.66046401831505</c:v>
                </c:pt>
                <c:pt idx="96">
                  <c:v>464.66046401831505</c:v>
                </c:pt>
                <c:pt idx="97">
                  <c:v>464.66046401831505</c:v>
                </c:pt>
                <c:pt idx="98">
                  <c:v>464.66046401831505</c:v>
                </c:pt>
                <c:pt idx="99">
                  <c:v>464.66046401831505</c:v>
                </c:pt>
                <c:pt idx="100">
                  <c:v>464.66046401831505</c:v>
                </c:pt>
                <c:pt idx="101">
                  <c:v>464.66046401831505</c:v>
                </c:pt>
                <c:pt idx="102">
                  <c:v>464.66046401831505</c:v>
                </c:pt>
                <c:pt idx="103">
                  <c:v>464.66046401831505</c:v>
                </c:pt>
                <c:pt idx="104">
                  <c:v>464.66046401831505</c:v>
                </c:pt>
                <c:pt idx="105">
                  <c:v>464.66046401831505</c:v>
                </c:pt>
                <c:pt idx="106">
                  <c:v>464.66046401831505</c:v>
                </c:pt>
                <c:pt idx="107">
                  <c:v>464.66046401831505</c:v>
                </c:pt>
                <c:pt idx="108">
                  <c:v>464.66046401831505</c:v>
                </c:pt>
                <c:pt idx="109">
                  <c:v>464.66046401831505</c:v>
                </c:pt>
                <c:pt idx="110">
                  <c:v>464.66046401831505</c:v>
                </c:pt>
                <c:pt idx="111">
                  <c:v>464.66046401831505</c:v>
                </c:pt>
                <c:pt idx="112">
                  <c:v>464.66046401831505</c:v>
                </c:pt>
                <c:pt idx="113">
                  <c:v>464.66046401831505</c:v>
                </c:pt>
                <c:pt idx="114">
                  <c:v>464.66046401831505</c:v>
                </c:pt>
                <c:pt idx="115">
                  <c:v>464.66046401831505</c:v>
                </c:pt>
                <c:pt idx="116">
                  <c:v>464.66046401831505</c:v>
                </c:pt>
                <c:pt idx="117">
                  <c:v>464.66046401831505</c:v>
                </c:pt>
                <c:pt idx="118">
                  <c:v>464.66046401831505</c:v>
                </c:pt>
                <c:pt idx="119">
                  <c:v>464.66046401831505</c:v>
                </c:pt>
                <c:pt idx="120">
                  <c:v>464.66046401831505</c:v>
                </c:pt>
                <c:pt idx="121">
                  <c:v>464.66046401831505</c:v>
                </c:pt>
                <c:pt idx="122">
                  <c:v>464.66046401831505</c:v>
                </c:pt>
                <c:pt idx="123">
                  <c:v>464.66046401831505</c:v>
                </c:pt>
                <c:pt idx="124">
                  <c:v>464.66046401831505</c:v>
                </c:pt>
                <c:pt idx="125">
                  <c:v>464.66046401831505</c:v>
                </c:pt>
                <c:pt idx="126">
                  <c:v>464.66046401831505</c:v>
                </c:pt>
                <c:pt idx="127">
                  <c:v>464.66046401831505</c:v>
                </c:pt>
                <c:pt idx="128">
                  <c:v>464.66046401831505</c:v>
                </c:pt>
                <c:pt idx="129">
                  <c:v>464.66046401831505</c:v>
                </c:pt>
                <c:pt idx="130">
                  <c:v>464.66046401831505</c:v>
                </c:pt>
                <c:pt idx="131">
                  <c:v>464.66046401831505</c:v>
                </c:pt>
                <c:pt idx="132">
                  <c:v>464.66046401831505</c:v>
                </c:pt>
                <c:pt idx="133">
                  <c:v>464.66046401831505</c:v>
                </c:pt>
                <c:pt idx="134">
                  <c:v>464.66046401831505</c:v>
                </c:pt>
                <c:pt idx="135">
                  <c:v>464.66046401831505</c:v>
                </c:pt>
                <c:pt idx="136">
                  <c:v>464.66046401831505</c:v>
                </c:pt>
                <c:pt idx="137">
                  <c:v>464.66046401831505</c:v>
                </c:pt>
                <c:pt idx="138">
                  <c:v>464.66046401831505</c:v>
                </c:pt>
                <c:pt idx="139">
                  <c:v>464.66046401831505</c:v>
                </c:pt>
                <c:pt idx="140">
                  <c:v>464.66046401831505</c:v>
                </c:pt>
                <c:pt idx="141">
                  <c:v>464.66046401831505</c:v>
                </c:pt>
                <c:pt idx="142">
                  <c:v>464.66046401831505</c:v>
                </c:pt>
                <c:pt idx="143">
                  <c:v>464.66046401831505</c:v>
                </c:pt>
                <c:pt idx="144">
                  <c:v>464.66046401831505</c:v>
                </c:pt>
                <c:pt idx="145">
                  <c:v>464.66046401831505</c:v>
                </c:pt>
                <c:pt idx="146">
                  <c:v>464.66046401831505</c:v>
                </c:pt>
                <c:pt idx="147">
                  <c:v>464.66046401831505</c:v>
                </c:pt>
                <c:pt idx="148">
                  <c:v>464.66046401831505</c:v>
                </c:pt>
                <c:pt idx="149">
                  <c:v>464.66046401831505</c:v>
                </c:pt>
                <c:pt idx="150">
                  <c:v>464.66046401831505</c:v>
                </c:pt>
                <c:pt idx="151">
                  <c:v>464.66046401831505</c:v>
                </c:pt>
                <c:pt idx="152">
                  <c:v>464.66046401831505</c:v>
                </c:pt>
                <c:pt idx="153">
                  <c:v>464.66046401831505</c:v>
                </c:pt>
                <c:pt idx="154">
                  <c:v>464.66046401831505</c:v>
                </c:pt>
                <c:pt idx="155">
                  <c:v>464.66046401831505</c:v>
                </c:pt>
                <c:pt idx="156">
                  <c:v>464.66046401831505</c:v>
                </c:pt>
                <c:pt idx="157">
                  <c:v>464.66046401831505</c:v>
                </c:pt>
                <c:pt idx="158">
                  <c:v>464.66046401831505</c:v>
                </c:pt>
                <c:pt idx="159">
                  <c:v>464.66046401831505</c:v>
                </c:pt>
                <c:pt idx="160">
                  <c:v>464.66046401831505</c:v>
                </c:pt>
                <c:pt idx="161">
                  <c:v>464.66046401831505</c:v>
                </c:pt>
                <c:pt idx="162">
                  <c:v>464.66046401831505</c:v>
                </c:pt>
                <c:pt idx="163">
                  <c:v>464.66046401831505</c:v>
                </c:pt>
                <c:pt idx="164">
                  <c:v>464.66046401831505</c:v>
                </c:pt>
                <c:pt idx="165">
                  <c:v>464.66046401831505</c:v>
                </c:pt>
                <c:pt idx="166">
                  <c:v>464.66046401831505</c:v>
                </c:pt>
                <c:pt idx="167">
                  <c:v>464.66046401831505</c:v>
                </c:pt>
                <c:pt idx="168">
                  <c:v>464.66046401831505</c:v>
                </c:pt>
                <c:pt idx="169">
                  <c:v>464.66046401831505</c:v>
                </c:pt>
                <c:pt idx="170">
                  <c:v>464.66046401831505</c:v>
                </c:pt>
                <c:pt idx="171">
                  <c:v>464.66046401831505</c:v>
                </c:pt>
                <c:pt idx="172">
                  <c:v>464.66046401831505</c:v>
                </c:pt>
                <c:pt idx="173">
                  <c:v>464.66046401831505</c:v>
                </c:pt>
                <c:pt idx="174">
                  <c:v>464.66046401831505</c:v>
                </c:pt>
                <c:pt idx="175">
                  <c:v>464.66046401831505</c:v>
                </c:pt>
                <c:pt idx="176">
                  <c:v>464.66046401831505</c:v>
                </c:pt>
                <c:pt idx="177">
                  <c:v>464.66046401831505</c:v>
                </c:pt>
                <c:pt idx="178">
                  <c:v>464.66046401831505</c:v>
                </c:pt>
                <c:pt idx="179">
                  <c:v>464.66046401831505</c:v>
                </c:pt>
                <c:pt idx="180">
                  <c:v>464.66046401831505</c:v>
                </c:pt>
                <c:pt idx="181">
                  <c:v>464.66046401831505</c:v>
                </c:pt>
                <c:pt idx="182">
                  <c:v>464.66046401831505</c:v>
                </c:pt>
                <c:pt idx="183">
                  <c:v>464.66046401831505</c:v>
                </c:pt>
                <c:pt idx="184">
                  <c:v>464.66046401831505</c:v>
                </c:pt>
                <c:pt idx="185">
                  <c:v>464.66046401831505</c:v>
                </c:pt>
                <c:pt idx="186">
                  <c:v>464.66046401831505</c:v>
                </c:pt>
                <c:pt idx="187">
                  <c:v>464.66046401831505</c:v>
                </c:pt>
                <c:pt idx="188">
                  <c:v>464.66046401831505</c:v>
                </c:pt>
                <c:pt idx="189">
                  <c:v>464.66046401831505</c:v>
                </c:pt>
                <c:pt idx="190">
                  <c:v>464.66046401831505</c:v>
                </c:pt>
                <c:pt idx="191">
                  <c:v>464.66046401831505</c:v>
                </c:pt>
                <c:pt idx="192">
                  <c:v>464.66046401831505</c:v>
                </c:pt>
                <c:pt idx="193">
                  <c:v>464.66046401831505</c:v>
                </c:pt>
                <c:pt idx="194">
                  <c:v>464.66046401831505</c:v>
                </c:pt>
                <c:pt idx="195">
                  <c:v>464.66046401831505</c:v>
                </c:pt>
                <c:pt idx="196">
                  <c:v>464.66046401831505</c:v>
                </c:pt>
                <c:pt idx="197">
                  <c:v>464.66046401831505</c:v>
                </c:pt>
                <c:pt idx="198">
                  <c:v>464.66046401831505</c:v>
                </c:pt>
                <c:pt idx="199">
                  <c:v>464.66046401831505</c:v>
                </c:pt>
                <c:pt idx="200">
                  <c:v>464.66046401831505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3.6374994536665191</c:v>
                </c:pt>
                <c:pt idx="2">
                  <c:v>5.4577222588629324</c:v>
                </c:pt>
                <c:pt idx="3">
                  <c:v>8.1928812743363384</c:v>
                </c:pt>
                <c:pt idx="4">
                  <c:v>12.304790888266751</c:v>
                </c:pt>
                <c:pt idx="5">
                  <c:v>18.489265295267202</c:v>
                </c:pt>
                <c:pt idx="6">
                  <c:v>27.795104201347016</c:v>
                </c:pt>
                <c:pt idx="7">
                  <c:v>41.80377550782655</c:v>
                </c:pt>
                <c:pt idx="8">
                  <c:v>62.900847610765744</c:v>
                </c:pt>
                <c:pt idx="9">
                  <c:v>94.686151958102812</c:v>
                </c:pt>
                <c:pt idx="10">
                  <c:v>142.59377360663922</c:v>
                </c:pt>
                <c:pt idx="11">
                  <c:v>147.15364202921708</c:v>
                </c:pt>
                <c:pt idx="12">
                  <c:v>172.3819432826981</c:v>
                </c:pt>
                <c:pt idx="13">
                  <c:v>197.52328405894409</c:v>
                </c:pt>
                <c:pt idx="14">
                  <c:v>222.5902995865016</c:v>
                </c:pt>
                <c:pt idx="15">
                  <c:v>247.59253912923518</c:v>
                </c:pt>
                <c:pt idx="16">
                  <c:v>236.12362808635771</c:v>
                </c:pt>
                <c:pt idx="17">
                  <c:v>259.4583522737052</c:v>
                </c:pt>
                <c:pt idx="18">
                  <c:v>282.74566191220862</c:v>
                </c:pt>
                <c:pt idx="19">
                  <c:v>305.99000951570451</c:v>
                </c:pt>
                <c:pt idx="20">
                  <c:v>329.1951157650264</c:v>
                </c:pt>
                <c:pt idx="21">
                  <c:v>305.58256210041856</c:v>
                </c:pt>
                <c:pt idx="22">
                  <c:v>326.75422310957646</c:v>
                </c:pt>
                <c:pt idx="23">
                  <c:v>347.89559775078084</c:v>
                </c:pt>
                <c:pt idx="24">
                  <c:v>369.00878433811749</c:v>
                </c:pt>
                <c:pt idx="25">
                  <c:v>390.09562155502181</c:v>
                </c:pt>
                <c:pt idx="26">
                  <c:v>356.42536127479252</c:v>
                </c:pt>
                <c:pt idx="27">
                  <c:v>375.49976912888474</c:v>
                </c:pt>
                <c:pt idx="28">
                  <c:v>394.55307910081638</c:v>
                </c:pt>
                <c:pt idx="29">
                  <c:v>413.58645287885287</c:v>
                </c:pt>
                <c:pt idx="30">
                  <c:v>432.60093655053032</c:v>
                </c:pt>
                <c:pt idx="31">
                  <c:v>392.52709819732326</c:v>
                </c:pt>
                <c:pt idx="32">
                  <c:v>409.13356351129414</c:v>
                </c:pt>
                <c:pt idx="33">
                  <c:v>425.72547631490761</c:v>
                </c:pt>
                <c:pt idx="34">
                  <c:v>442.30348341629519</c:v>
                </c:pt>
                <c:pt idx="35">
                  <c:v>458.86817919889182</c:v>
                </c:pt>
                <c:pt idx="36">
                  <c:v>417.22895611601695</c:v>
                </c:pt>
                <c:pt idx="37">
                  <c:v>434.21834928171887</c:v>
                </c:pt>
                <c:pt idx="38">
                  <c:v>451.19347585644169</c:v>
                </c:pt>
                <c:pt idx="39">
                  <c:v>468.15494792329127</c:v>
                </c:pt>
                <c:pt idx="40">
                  <c:v>485.10332961470635</c:v>
                </c:pt>
                <c:pt idx="41">
                  <c:v>439.87827870613802</c:v>
                </c:pt>
                <c:pt idx="42">
                  <c:v>455.23313822520032</c:v>
                </c:pt>
                <c:pt idx="43">
                  <c:v>470.57693415697889</c:v>
                </c:pt>
                <c:pt idx="44">
                  <c:v>485.91007793184241</c:v>
                </c:pt>
                <c:pt idx="45">
                  <c:v>501.23295290548822</c:v>
                </c:pt>
                <c:pt idx="46">
                  <c:v>455.23313822520032</c:v>
                </c:pt>
                <c:pt idx="47">
                  <c:v>469.76963499064959</c:v>
                </c:pt>
                <c:pt idx="48">
                  <c:v>484.29655280391285</c:v>
                </c:pt>
                <c:pt idx="49">
                  <c:v>498.81421938664909</c:v>
                </c:pt>
                <c:pt idx="50">
                  <c:v>513.32294183422596</c:v>
                </c:pt>
                <c:pt idx="51">
                  <c:v>466.9438547503903</c:v>
                </c:pt>
                <c:pt idx="52">
                  <c:v>481.0691595363574</c:v>
                </c:pt>
                <c:pt idx="53">
                  <c:v>495.18565291531036</c:v>
                </c:pt>
                <c:pt idx="54">
                  <c:v>509.29362139720428</c:v>
                </c:pt>
                <c:pt idx="55">
                  <c:v>523.39333432879232</c:v>
                </c:pt>
                <c:pt idx="56">
                  <c:v>476.22720551346384</c:v>
                </c:pt>
                <c:pt idx="57">
                  <c:v>489.54009419456355</c:v>
                </c:pt>
                <c:pt idx="58">
                  <c:v>502.84530459138995</c:v>
                </c:pt>
                <c:pt idx="59">
                  <c:v>516.14306845280373</c:v>
                </c:pt>
                <c:pt idx="60">
                  <c:v>529.43360461515238</c:v>
                </c:pt>
                <c:pt idx="61">
                  <c:v>484.29655280391279</c:v>
                </c:pt>
                <c:pt idx="62">
                  <c:v>497.60475956110264</c:v>
                </c:pt>
                <c:pt idx="63">
                  <c:v>510.90543009043807</c:v>
                </c:pt>
                <c:pt idx="64">
                  <c:v>524.19878818539257</c:v>
                </c:pt>
                <c:pt idx="65">
                  <c:v>537.48504536607993</c:v>
                </c:pt>
                <c:pt idx="66">
                  <c:v>491.55652284509341</c:v>
                </c:pt>
                <c:pt idx="67">
                  <c:v>504.05449654558856</c:v>
                </c:pt>
                <c:pt idx="68">
                  <c:v>516.54591709215595</c:v>
                </c:pt>
                <c:pt idx="69">
                  <c:v>529.03096526266211</c:v>
                </c:pt>
                <c:pt idx="70">
                  <c:v>541.50981260805463</c:v>
                </c:pt>
                <c:pt idx="71">
                  <c:v>496.79841842488571</c:v>
                </c:pt>
                <c:pt idx="72">
                  <c:v>508.48767664593629</c:v>
                </c:pt>
                <c:pt idx="73">
                  <c:v>520.1712571941606</c:v>
                </c:pt>
                <c:pt idx="74">
                  <c:v>531.84930555696269</c:v>
                </c:pt>
                <c:pt idx="75">
                  <c:v>543.52196031239748</c:v>
                </c:pt>
                <c:pt idx="76">
                  <c:v>500.42673591507014</c:v>
                </c:pt>
                <c:pt idx="77">
                  <c:v>511.71129412952837</c:v>
                </c:pt>
                <c:pt idx="78">
                  <c:v>522.99059760658679</c:v>
                </c:pt>
                <c:pt idx="79">
                  <c:v>534.26477564098775</c:v>
                </c:pt>
                <c:pt idx="80">
                  <c:v>545.53395162610911</c:v>
                </c:pt>
                <c:pt idx="81">
                  <c:v>504.05449654558862</c:v>
                </c:pt>
                <c:pt idx="82">
                  <c:v>514.93448269445673</c:v>
                </c:pt>
                <c:pt idx="83">
                  <c:v>525.80961770763849</c:v>
                </c:pt>
                <c:pt idx="84">
                  <c:v>536.68001605918801</c:v>
                </c:pt>
                <c:pt idx="85">
                  <c:v>547.54578720789482</c:v>
                </c:pt>
                <c:pt idx="86">
                  <c:v>507.68170489320681</c:v>
                </c:pt>
                <c:pt idx="87">
                  <c:v>518.15724540667998</c:v>
                </c:pt>
                <c:pt idx="88">
                  <c:v>528.62831945844061</c:v>
                </c:pt>
                <c:pt idx="89">
                  <c:v>539.09502799191023</c:v>
                </c:pt>
                <c:pt idx="90">
                  <c:v>549.55746771122074</c:v>
                </c:pt>
                <c:pt idx="91">
                  <c:v>510.90543009043807</c:v>
                </c:pt>
                <c:pt idx="92">
                  <c:v>520.57403979607113</c:v>
                </c:pt>
                <c:pt idx="93">
                  <c:v>530.23886398734817</c:v>
                </c:pt>
                <c:pt idx="94">
                  <c:v>539.89998139729244</c:v>
                </c:pt>
                <c:pt idx="95">
                  <c:v>549.55746771122074</c:v>
                </c:pt>
                <c:pt idx="96">
                  <c:v>512.51713136140791</c:v>
                </c:pt>
                <c:pt idx="97">
                  <c:v>521.78234819536726</c:v>
                </c:pt>
                <c:pt idx="98">
                  <c:v>531.04409761975751</c:v>
                </c:pt>
                <c:pt idx="99">
                  <c:v>540.30244864194128</c:v>
                </c:pt>
                <c:pt idx="100">
                  <c:v>549.55746771122097</c:v>
                </c:pt>
                <c:pt idx="101">
                  <c:v>514.12872559596781</c:v>
                </c:pt>
                <c:pt idx="102">
                  <c:v>522.9905976065869</c:v>
                </c:pt>
                <c:pt idx="103">
                  <c:v>531.84930555696269</c:v>
                </c:pt>
                <c:pt idx="104">
                  <c:v>540.70490958838275</c:v>
                </c:pt>
                <c:pt idx="105">
                  <c:v>549.55746771122074</c:v>
                </c:pt>
                <c:pt idx="106">
                  <c:v>507.27870887599425</c:v>
                </c:pt>
                <c:pt idx="107">
                  <c:v>507.27870887599425</c:v>
                </c:pt>
                <c:pt idx="108">
                  <c:v>507.27870887599425</c:v>
                </c:pt>
                <c:pt idx="109">
                  <c:v>507.27870887599425</c:v>
                </c:pt>
                <c:pt idx="110">
                  <c:v>507.27870887599425</c:v>
                </c:pt>
                <c:pt idx="111">
                  <c:v>507.27870887599425</c:v>
                </c:pt>
                <c:pt idx="112">
                  <c:v>507.27870887599425</c:v>
                </c:pt>
                <c:pt idx="113">
                  <c:v>507.27870887599425</c:v>
                </c:pt>
                <c:pt idx="114">
                  <c:v>507.27870887599425</c:v>
                </c:pt>
                <c:pt idx="115">
                  <c:v>507.27870887599425</c:v>
                </c:pt>
                <c:pt idx="116">
                  <c:v>507.27870887599425</c:v>
                </c:pt>
                <c:pt idx="117">
                  <c:v>507.27870887599425</c:v>
                </c:pt>
                <c:pt idx="118">
                  <c:v>507.27870887599425</c:v>
                </c:pt>
                <c:pt idx="119">
                  <c:v>507.27870887599425</c:v>
                </c:pt>
                <c:pt idx="120">
                  <c:v>507.27870887599425</c:v>
                </c:pt>
                <c:pt idx="121">
                  <c:v>507.27870887599425</c:v>
                </c:pt>
                <c:pt idx="122">
                  <c:v>507.27870887599425</c:v>
                </c:pt>
                <c:pt idx="123">
                  <c:v>507.27870887599425</c:v>
                </c:pt>
                <c:pt idx="124">
                  <c:v>507.27870887599425</c:v>
                </c:pt>
                <c:pt idx="125">
                  <c:v>507.27870887599425</c:v>
                </c:pt>
                <c:pt idx="126">
                  <c:v>507.27870887599425</c:v>
                </c:pt>
                <c:pt idx="127">
                  <c:v>507.27870887599425</c:v>
                </c:pt>
                <c:pt idx="128">
                  <c:v>507.27870887599425</c:v>
                </c:pt>
                <c:pt idx="129">
                  <c:v>507.27870887599425</c:v>
                </c:pt>
                <c:pt idx="130">
                  <c:v>507.27870887599425</c:v>
                </c:pt>
                <c:pt idx="131">
                  <c:v>507.27870887599425</c:v>
                </c:pt>
                <c:pt idx="132">
                  <c:v>507.27870887599425</c:v>
                </c:pt>
                <c:pt idx="133">
                  <c:v>507.27870887599425</c:v>
                </c:pt>
                <c:pt idx="134">
                  <c:v>507.27870887599425</c:v>
                </c:pt>
                <c:pt idx="135">
                  <c:v>507.27870887599425</c:v>
                </c:pt>
                <c:pt idx="136">
                  <c:v>507.27870887599425</c:v>
                </c:pt>
                <c:pt idx="137">
                  <c:v>507.27870887599425</c:v>
                </c:pt>
                <c:pt idx="138">
                  <c:v>507.27870887599425</c:v>
                </c:pt>
                <c:pt idx="139">
                  <c:v>507.27870887599425</c:v>
                </c:pt>
                <c:pt idx="140">
                  <c:v>507.27870887599425</c:v>
                </c:pt>
                <c:pt idx="141">
                  <c:v>507.27870887599425</c:v>
                </c:pt>
                <c:pt idx="142">
                  <c:v>507.27870887599425</c:v>
                </c:pt>
                <c:pt idx="143">
                  <c:v>507.27870887599425</c:v>
                </c:pt>
                <c:pt idx="144">
                  <c:v>507.27870887599425</c:v>
                </c:pt>
                <c:pt idx="145">
                  <c:v>507.27870887599425</c:v>
                </c:pt>
                <c:pt idx="146">
                  <c:v>507.27870887599425</c:v>
                </c:pt>
                <c:pt idx="147">
                  <c:v>507.27870887599425</c:v>
                </c:pt>
                <c:pt idx="148">
                  <c:v>507.27870887599425</c:v>
                </c:pt>
                <c:pt idx="149">
                  <c:v>507.27870887599425</c:v>
                </c:pt>
                <c:pt idx="150">
                  <c:v>507.27870887599425</c:v>
                </c:pt>
                <c:pt idx="151">
                  <c:v>507.27870887599425</c:v>
                </c:pt>
                <c:pt idx="152">
                  <c:v>507.27870887599425</c:v>
                </c:pt>
                <c:pt idx="153">
                  <c:v>507.27870887599425</c:v>
                </c:pt>
                <c:pt idx="154">
                  <c:v>507.27870887599425</c:v>
                </c:pt>
                <c:pt idx="155">
                  <c:v>507.27870887599425</c:v>
                </c:pt>
                <c:pt idx="156">
                  <c:v>507.27870887599425</c:v>
                </c:pt>
                <c:pt idx="157">
                  <c:v>507.27870887599425</c:v>
                </c:pt>
                <c:pt idx="158">
                  <c:v>507.27870887599425</c:v>
                </c:pt>
                <c:pt idx="159">
                  <c:v>507.27870887599425</c:v>
                </c:pt>
                <c:pt idx="160">
                  <c:v>507.27870887599425</c:v>
                </c:pt>
                <c:pt idx="161">
                  <c:v>507.27870887599425</c:v>
                </c:pt>
                <c:pt idx="162">
                  <c:v>507.27870887599425</c:v>
                </c:pt>
                <c:pt idx="163">
                  <c:v>507.27870887599425</c:v>
                </c:pt>
                <c:pt idx="164">
                  <c:v>507.27870887599425</c:v>
                </c:pt>
                <c:pt idx="165">
                  <c:v>507.27870887599425</c:v>
                </c:pt>
                <c:pt idx="166">
                  <c:v>507.27870887599425</c:v>
                </c:pt>
                <c:pt idx="167">
                  <c:v>507.27870887599425</c:v>
                </c:pt>
                <c:pt idx="168">
                  <c:v>507.27870887599425</c:v>
                </c:pt>
                <c:pt idx="169">
                  <c:v>507.27870887599425</c:v>
                </c:pt>
                <c:pt idx="170">
                  <c:v>507.27870887599425</c:v>
                </c:pt>
                <c:pt idx="171">
                  <c:v>507.27870887599425</c:v>
                </c:pt>
                <c:pt idx="172">
                  <c:v>507.27870887599425</c:v>
                </c:pt>
                <c:pt idx="173">
                  <c:v>507.27870887599425</c:v>
                </c:pt>
                <c:pt idx="174">
                  <c:v>507.27870887599425</c:v>
                </c:pt>
                <c:pt idx="175">
                  <c:v>507.27870887599425</c:v>
                </c:pt>
                <c:pt idx="176">
                  <c:v>507.27870887599425</c:v>
                </c:pt>
                <c:pt idx="177">
                  <c:v>507.27870887599425</c:v>
                </c:pt>
                <c:pt idx="178">
                  <c:v>507.27870887599425</c:v>
                </c:pt>
                <c:pt idx="179">
                  <c:v>507.27870887599425</c:v>
                </c:pt>
                <c:pt idx="180">
                  <c:v>507.27870887599425</c:v>
                </c:pt>
                <c:pt idx="181">
                  <c:v>507.27870887599425</c:v>
                </c:pt>
                <c:pt idx="182">
                  <c:v>507.27870887599425</c:v>
                </c:pt>
                <c:pt idx="183">
                  <c:v>507.27870887599425</c:v>
                </c:pt>
                <c:pt idx="184">
                  <c:v>507.27870887599425</c:v>
                </c:pt>
                <c:pt idx="185">
                  <c:v>507.27870887599425</c:v>
                </c:pt>
                <c:pt idx="186">
                  <c:v>507.27870887599425</c:v>
                </c:pt>
                <c:pt idx="187">
                  <c:v>507.27870887599425</c:v>
                </c:pt>
                <c:pt idx="188">
                  <c:v>507.27870887599425</c:v>
                </c:pt>
                <c:pt idx="189">
                  <c:v>507.27870887599425</c:v>
                </c:pt>
                <c:pt idx="190">
                  <c:v>507.27870887599425</c:v>
                </c:pt>
                <c:pt idx="191">
                  <c:v>507.27870887599425</c:v>
                </c:pt>
                <c:pt idx="192">
                  <c:v>507.27870887599425</c:v>
                </c:pt>
                <c:pt idx="193">
                  <c:v>507.27870887599425</c:v>
                </c:pt>
                <c:pt idx="194">
                  <c:v>507.27870887599425</c:v>
                </c:pt>
                <c:pt idx="195">
                  <c:v>507.27870887599425</c:v>
                </c:pt>
                <c:pt idx="196">
                  <c:v>507.27870887599425</c:v>
                </c:pt>
                <c:pt idx="197">
                  <c:v>507.27870887599425</c:v>
                </c:pt>
                <c:pt idx="198">
                  <c:v>507.27870887599425</c:v>
                </c:pt>
                <c:pt idx="199">
                  <c:v>507.27870887599425</c:v>
                </c:pt>
                <c:pt idx="200">
                  <c:v>507.27870887599425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3.1042643505229663</c:v>
                </c:pt>
                <c:pt idx="2">
                  <c:v>3.9117642757299911</c:v>
                </c:pt>
                <c:pt idx="3">
                  <c:v>4.9301290524746477</c:v>
                </c:pt>
                <c:pt idx="4">
                  <c:v>6.2146223450829501</c:v>
                </c:pt>
                <c:pt idx="5">
                  <c:v>7.8350403275523961</c:v>
                </c:pt>
                <c:pt idx="6">
                  <c:v>9.8795451969182846</c:v>
                </c:pt>
                <c:pt idx="7">
                  <c:v>12.459512829585032</c:v>
                </c:pt>
                <c:pt idx="8">
                  <c:v>15.715663572984148</c:v>
                </c:pt>
                <c:pt idx="9">
                  <c:v>19.825816682991903</c:v>
                </c:pt>
                <c:pt idx="10">
                  <c:v>25.014699491454234</c:v>
                </c:pt>
                <c:pt idx="11">
                  <c:v>48.591024385686815</c:v>
                </c:pt>
                <c:pt idx="12">
                  <c:v>71.851517457889358</c:v>
                </c:pt>
                <c:pt idx="13">
                  <c:v>94.916502895640136</c:v>
                </c:pt>
                <c:pt idx="14">
                  <c:v>117.84085485605193</c:v>
                </c:pt>
                <c:pt idx="15">
                  <c:v>140.65596743833868</c:v>
                </c:pt>
                <c:pt idx="16">
                  <c:v>102.14680795061109</c:v>
                </c:pt>
                <c:pt idx="17">
                  <c:v>131.37263409422076</c:v>
                </c:pt>
                <c:pt idx="18">
                  <c:v>160.44060977285537</c:v>
                </c:pt>
                <c:pt idx="19">
                  <c:v>189.38349101963934</c:v>
                </c:pt>
                <c:pt idx="20">
                  <c:v>218.22312573751944</c:v>
                </c:pt>
                <c:pt idx="21">
                  <c:v>175.97468557906811</c:v>
                </c:pt>
                <c:pt idx="22">
                  <c:v>206.94924679590613</c:v>
                </c:pt>
                <c:pt idx="23">
                  <c:v>237.81654602419815</c:v>
                </c:pt>
                <c:pt idx="24">
                  <c:v>268.59247034924738</c:v>
                </c:pt>
                <c:pt idx="25">
                  <c:v>299.28895999218292</c:v>
                </c:pt>
                <c:pt idx="26">
                  <c:v>256.1259217726236</c:v>
                </c:pt>
                <c:pt idx="27">
                  <c:v>285.60915345709321</c:v>
                </c:pt>
                <c:pt idx="28">
                  <c:v>315.02425837022901</c:v>
                </c:pt>
                <c:pt idx="29">
                  <c:v>344.37848728901122</c:v>
                </c:pt>
                <c:pt idx="30">
                  <c:v>373.67775378131773</c:v>
                </c:pt>
                <c:pt idx="31">
                  <c:v>327.84800604214905</c:v>
                </c:pt>
                <c:pt idx="32">
                  <c:v>354.28835078897447</c:v>
                </c:pt>
                <c:pt idx="33">
                  <c:v>380.68547719043931</c:v>
                </c:pt>
                <c:pt idx="34">
                  <c:v>407.04280051298912</c:v>
                </c:pt>
                <c:pt idx="35">
                  <c:v>433.36325788318953</c:v>
                </c:pt>
                <c:pt idx="36">
                  <c:v>384.8063530090264</c:v>
                </c:pt>
                <c:pt idx="37">
                  <c:v>408.27737426224098</c:v>
                </c:pt>
                <c:pt idx="38">
                  <c:v>431.71925936589827</c:v>
                </c:pt>
                <c:pt idx="39">
                  <c:v>455.13381148368143</c:v>
                </c:pt>
                <c:pt idx="40">
                  <c:v>478.52263325233702</c:v>
                </c:pt>
                <c:pt idx="41">
                  <c:v>426.7864543232979</c:v>
                </c:pt>
                <c:pt idx="42">
                  <c:v>446.92118768795041</c:v>
                </c:pt>
                <c:pt idx="43">
                  <c:v>467.03650905023113</c:v>
                </c:pt>
                <c:pt idx="44">
                  <c:v>487.13337154695296</c:v>
                </c:pt>
                <c:pt idx="45">
                  <c:v>507.21264330953471</c:v>
                </c:pt>
                <c:pt idx="46">
                  <c:v>475.65165795068168</c:v>
                </c:pt>
                <c:pt idx="47">
                  <c:v>493.281917555973</c:v>
                </c:pt>
                <c:pt idx="48">
                  <c:v>510.89882453659533</c:v>
                </c:pt>
                <c:pt idx="49">
                  <c:v>528.50290387292728</c:v>
                </c:pt>
                <c:pt idx="50">
                  <c:v>546.09464274073594</c:v>
                </c:pt>
                <c:pt idx="51">
                  <c:v>522.3633716587924</c:v>
                </c:pt>
                <c:pt idx="52">
                  <c:v>537.50484084926518</c:v>
                </c:pt>
                <c:pt idx="53">
                  <c:v>552.63734833627166</c:v>
                </c:pt>
                <c:pt idx="54">
                  <c:v>567.76117396419647</c:v>
                </c:pt>
                <c:pt idx="55">
                  <c:v>582.87658146020169</c:v>
                </c:pt>
                <c:pt idx="56">
                  <c:v>562.85708424728375</c:v>
                </c:pt>
                <c:pt idx="57">
                  <c:v>575.52417545438084</c:v>
                </c:pt>
                <c:pt idx="58">
                  <c:v>588.18544859108772</c:v>
                </c:pt>
                <c:pt idx="59">
                  <c:v>600.84104650480526</c:v>
                </c:pt>
                <c:pt idx="60">
                  <c:v>613.4911055367329</c:v>
                </c:pt>
                <c:pt idx="61">
                  <c:v>595.53454234223091</c:v>
                </c:pt>
                <c:pt idx="62">
                  <c:v>606.14657668140751</c:v>
                </c:pt>
                <c:pt idx="63">
                  <c:v>616.75475381599506</c:v>
                </c:pt>
                <c:pt idx="64">
                  <c:v>627.35914942789123</c:v>
                </c:pt>
                <c:pt idx="65">
                  <c:v>637.95983643241459</c:v>
                </c:pt>
                <c:pt idx="66">
                  <c:v>620.83381098828943</c:v>
                </c:pt>
                <c:pt idx="67">
                  <c:v>630.21354239884874</c:v>
                </c:pt>
                <c:pt idx="68">
                  <c:v>639.59038670342341</c:v>
                </c:pt>
                <c:pt idx="69">
                  <c:v>648.96439218997534</c:v>
                </c:pt>
                <c:pt idx="70">
                  <c:v>658.33560563795174</c:v>
                </c:pt>
                <c:pt idx="71">
                  <c:v>640.40562962638558</c:v>
                </c:pt>
                <c:pt idx="72">
                  <c:v>648.96439218997534</c:v>
                </c:pt>
                <c:pt idx="73">
                  <c:v>657.5208271917312</c:v>
                </c:pt>
                <c:pt idx="74">
                  <c:v>666.07496918760103</c:v>
                </c:pt>
                <c:pt idx="75">
                  <c:v>674.62685177369792</c:v>
                </c:pt>
                <c:pt idx="76">
                  <c:v>657.5208271917312</c:v>
                </c:pt>
                <c:pt idx="77">
                  <c:v>664.85308800712085</c:v>
                </c:pt>
                <c:pt idx="78">
                  <c:v>672.18368537898493</c:v>
                </c:pt>
                <c:pt idx="79">
                  <c:v>679.51264000554897</c:v>
                </c:pt>
                <c:pt idx="80">
                  <c:v>686.83997210216705</c:v>
                </c:pt>
                <c:pt idx="81">
                  <c:v>664.4457840171641</c:v>
                </c:pt>
                <c:pt idx="82">
                  <c:v>664.4457840171641</c:v>
                </c:pt>
                <c:pt idx="83">
                  <c:v>664.4457840171641</c:v>
                </c:pt>
                <c:pt idx="84">
                  <c:v>664.4457840171641</c:v>
                </c:pt>
                <c:pt idx="85">
                  <c:v>664.4457840171641</c:v>
                </c:pt>
                <c:pt idx="86">
                  <c:v>664.4457840171641</c:v>
                </c:pt>
                <c:pt idx="87">
                  <c:v>664.4457840171641</c:v>
                </c:pt>
                <c:pt idx="88">
                  <c:v>664.4457840171641</c:v>
                </c:pt>
                <c:pt idx="89">
                  <c:v>664.4457840171641</c:v>
                </c:pt>
                <c:pt idx="90">
                  <c:v>664.4457840171641</c:v>
                </c:pt>
                <c:pt idx="91">
                  <c:v>664.4457840171641</c:v>
                </c:pt>
                <c:pt idx="92">
                  <c:v>664.4457840171641</c:v>
                </c:pt>
                <c:pt idx="93">
                  <c:v>664.4457840171641</c:v>
                </c:pt>
                <c:pt idx="94">
                  <c:v>664.4457840171641</c:v>
                </c:pt>
                <c:pt idx="95">
                  <c:v>664.4457840171641</c:v>
                </c:pt>
                <c:pt idx="96">
                  <c:v>664.4457840171641</c:v>
                </c:pt>
                <c:pt idx="97">
                  <c:v>664.4457840171641</c:v>
                </c:pt>
                <c:pt idx="98">
                  <c:v>664.4457840171641</c:v>
                </c:pt>
                <c:pt idx="99">
                  <c:v>664.4457840171641</c:v>
                </c:pt>
                <c:pt idx="100">
                  <c:v>664.4457840171641</c:v>
                </c:pt>
                <c:pt idx="101">
                  <c:v>664.4457840171641</c:v>
                </c:pt>
                <c:pt idx="102">
                  <c:v>664.4457840171641</c:v>
                </c:pt>
                <c:pt idx="103">
                  <c:v>664.4457840171641</c:v>
                </c:pt>
                <c:pt idx="104">
                  <c:v>664.4457840171641</c:v>
                </c:pt>
                <c:pt idx="105">
                  <c:v>664.4457840171641</c:v>
                </c:pt>
                <c:pt idx="106">
                  <c:v>664.4457840171641</c:v>
                </c:pt>
                <c:pt idx="107">
                  <c:v>664.4457840171641</c:v>
                </c:pt>
                <c:pt idx="108">
                  <c:v>664.4457840171641</c:v>
                </c:pt>
                <c:pt idx="109">
                  <c:v>664.4457840171641</c:v>
                </c:pt>
                <c:pt idx="110">
                  <c:v>664.4457840171641</c:v>
                </c:pt>
                <c:pt idx="111">
                  <c:v>664.4457840171641</c:v>
                </c:pt>
                <c:pt idx="112">
                  <c:v>664.4457840171641</c:v>
                </c:pt>
                <c:pt idx="113">
                  <c:v>664.4457840171641</c:v>
                </c:pt>
                <c:pt idx="114">
                  <c:v>664.4457840171641</c:v>
                </c:pt>
                <c:pt idx="115">
                  <c:v>664.4457840171641</c:v>
                </c:pt>
                <c:pt idx="116">
                  <c:v>664.4457840171641</c:v>
                </c:pt>
                <c:pt idx="117">
                  <c:v>664.4457840171641</c:v>
                </c:pt>
                <c:pt idx="118">
                  <c:v>664.4457840171641</c:v>
                </c:pt>
                <c:pt idx="119">
                  <c:v>664.4457840171641</c:v>
                </c:pt>
                <c:pt idx="120">
                  <c:v>664.4457840171641</c:v>
                </c:pt>
                <c:pt idx="121">
                  <c:v>664.4457840171641</c:v>
                </c:pt>
                <c:pt idx="122">
                  <c:v>664.4457840171641</c:v>
                </c:pt>
                <c:pt idx="123">
                  <c:v>664.4457840171641</c:v>
                </c:pt>
                <c:pt idx="124">
                  <c:v>664.4457840171641</c:v>
                </c:pt>
                <c:pt idx="125">
                  <c:v>664.4457840171641</c:v>
                </c:pt>
                <c:pt idx="126">
                  <c:v>664.4457840171641</c:v>
                </c:pt>
                <c:pt idx="127">
                  <c:v>664.4457840171641</c:v>
                </c:pt>
                <c:pt idx="128">
                  <c:v>664.4457840171641</c:v>
                </c:pt>
                <c:pt idx="129">
                  <c:v>664.4457840171641</c:v>
                </c:pt>
                <c:pt idx="130">
                  <c:v>664.4457840171641</c:v>
                </c:pt>
                <c:pt idx="131">
                  <c:v>664.4457840171641</c:v>
                </c:pt>
                <c:pt idx="132">
                  <c:v>664.4457840171641</c:v>
                </c:pt>
                <c:pt idx="133">
                  <c:v>664.4457840171641</c:v>
                </c:pt>
                <c:pt idx="134">
                  <c:v>664.4457840171641</c:v>
                </c:pt>
                <c:pt idx="135">
                  <c:v>664.4457840171641</c:v>
                </c:pt>
                <c:pt idx="136">
                  <c:v>664.4457840171641</c:v>
                </c:pt>
                <c:pt idx="137">
                  <c:v>664.4457840171641</c:v>
                </c:pt>
                <c:pt idx="138">
                  <c:v>664.4457840171641</c:v>
                </c:pt>
                <c:pt idx="139">
                  <c:v>664.4457840171641</c:v>
                </c:pt>
                <c:pt idx="140">
                  <c:v>664.4457840171641</c:v>
                </c:pt>
                <c:pt idx="141">
                  <c:v>664.4457840171641</c:v>
                </c:pt>
                <c:pt idx="142">
                  <c:v>664.4457840171641</c:v>
                </c:pt>
                <c:pt idx="143">
                  <c:v>664.4457840171641</c:v>
                </c:pt>
                <c:pt idx="144">
                  <c:v>664.4457840171641</c:v>
                </c:pt>
                <c:pt idx="145">
                  <c:v>664.4457840171641</c:v>
                </c:pt>
                <c:pt idx="146">
                  <c:v>664.4457840171641</c:v>
                </c:pt>
                <c:pt idx="147">
                  <c:v>664.4457840171641</c:v>
                </c:pt>
                <c:pt idx="148">
                  <c:v>664.4457840171641</c:v>
                </c:pt>
                <c:pt idx="149">
                  <c:v>664.4457840171641</c:v>
                </c:pt>
                <c:pt idx="150">
                  <c:v>664.4457840171641</c:v>
                </c:pt>
                <c:pt idx="151">
                  <c:v>664.4457840171641</c:v>
                </c:pt>
                <c:pt idx="152">
                  <c:v>664.4457840171641</c:v>
                </c:pt>
                <c:pt idx="153">
                  <c:v>664.4457840171641</c:v>
                </c:pt>
                <c:pt idx="154">
                  <c:v>664.4457840171641</c:v>
                </c:pt>
                <c:pt idx="155">
                  <c:v>664.4457840171641</c:v>
                </c:pt>
                <c:pt idx="156">
                  <c:v>664.4457840171641</c:v>
                </c:pt>
                <c:pt idx="157">
                  <c:v>664.4457840171641</c:v>
                </c:pt>
                <c:pt idx="158">
                  <c:v>664.4457840171641</c:v>
                </c:pt>
                <c:pt idx="159">
                  <c:v>664.4457840171641</c:v>
                </c:pt>
                <c:pt idx="160">
                  <c:v>664.4457840171641</c:v>
                </c:pt>
                <c:pt idx="161">
                  <c:v>664.4457840171641</c:v>
                </c:pt>
                <c:pt idx="162">
                  <c:v>664.4457840171641</c:v>
                </c:pt>
                <c:pt idx="163">
                  <c:v>664.4457840171641</c:v>
                </c:pt>
                <c:pt idx="164">
                  <c:v>664.4457840171641</c:v>
                </c:pt>
                <c:pt idx="165">
                  <c:v>664.4457840171641</c:v>
                </c:pt>
                <c:pt idx="166">
                  <c:v>664.4457840171641</c:v>
                </c:pt>
                <c:pt idx="167">
                  <c:v>664.4457840171641</c:v>
                </c:pt>
                <c:pt idx="168">
                  <c:v>664.4457840171641</c:v>
                </c:pt>
                <c:pt idx="169">
                  <c:v>664.4457840171641</c:v>
                </c:pt>
                <c:pt idx="170">
                  <c:v>664.4457840171641</c:v>
                </c:pt>
                <c:pt idx="171">
                  <c:v>664.4457840171641</c:v>
                </c:pt>
                <c:pt idx="172">
                  <c:v>664.4457840171641</c:v>
                </c:pt>
                <c:pt idx="173">
                  <c:v>664.4457840171641</c:v>
                </c:pt>
                <c:pt idx="174">
                  <c:v>664.4457840171641</c:v>
                </c:pt>
                <c:pt idx="175">
                  <c:v>664.4457840171641</c:v>
                </c:pt>
                <c:pt idx="176">
                  <c:v>664.4457840171641</c:v>
                </c:pt>
                <c:pt idx="177">
                  <c:v>664.4457840171641</c:v>
                </c:pt>
                <c:pt idx="178">
                  <c:v>664.4457840171641</c:v>
                </c:pt>
                <c:pt idx="179">
                  <c:v>664.4457840171641</c:v>
                </c:pt>
                <c:pt idx="180">
                  <c:v>664.4457840171641</c:v>
                </c:pt>
                <c:pt idx="181">
                  <c:v>664.4457840171641</c:v>
                </c:pt>
                <c:pt idx="182">
                  <c:v>664.4457840171641</c:v>
                </c:pt>
                <c:pt idx="183">
                  <c:v>664.4457840171641</c:v>
                </c:pt>
                <c:pt idx="184">
                  <c:v>664.4457840171641</c:v>
                </c:pt>
                <c:pt idx="185">
                  <c:v>664.4457840171641</c:v>
                </c:pt>
                <c:pt idx="186">
                  <c:v>664.4457840171641</c:v>
                </c:pt>
                <c:pt idx="187">
                  <c:v>664.4457840171641</c:v>
                </c:pt>
                <c:pt idx="188">
                  <c:v>664.4457840171641</c:v>
                </c:pt>
                <c:pt idx="189">
                  <c:v>664.4457840171641</c:v>
                </c:pt>
                <c:pt idx="190">
                  <c:v>664.4457840171641</c:v>
                </c:pt>
                <c:pt idx="191">
                  <c:v>664.4457840171641</c:v>
                </c:pt>
                <c:pt idx="192">
                  <c:v>664.4457840171641</c:v>
                </c:pt>
                <c:pt idx="193">
                  <c:v>664.4457840171641</c:v>
                </c:pt>
                <c:pt idx="194">
                  <c:v>664.4457840171641</c:v>
                </c:pt>
                <c:pt idx="195">
                  <c:v>664.4457840171641</c:v>
                </c:pt>
                <c:pt idx="196">
                  <c:v>664.4457840171641</c:v>
                </c:pt>
                <c:pt idx="197">
                  <c:v>664.4457840171641</c:v>
                </c:pt>
                <c:pt idx="198">
                  <c:v>664.4457840171641</c:v>
                </c:pt>
                <c:pt idx="199">
                  <c:v>664.4457840171641</c:v>
                </c:pt>
                <c:pt idx="200">
                  <c:v>664.4457840171641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8" t="s">
        <v>291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</row>
    <row r="13" spans="2:13" ht="15" customHeight="1" x14ac:dyDescent="0.3"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</row>
    <row r="14" spans="2:13" ht="15" customHeight="1" x14ac:dyDescent="0.3"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</row>
    <row r="15" spans="2:13" ht="18.75" customHeight="1" x14ac:dyDescent="0.3"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</row>
    <row r="16" spans="2:13" ht="18.75" customHeight="1" x14ac:dyDescent="0.3"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</row>
    <row r="18" spans="2:13" ht="12" customHeight="1" x14ac:dyDescent="0.3">
      <c r="B18" s="268" t="s">
        <v>292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</row>
    <row r="19" spans="2:13" ht="12" customHeight="1" x14ac:dyDescent="0.3"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</row>
    <row r="20" spans="2:13" ht="12" customHeight="1" x14ac:dyDescent="0.3"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</row>
    <row r="21" spans="2:13" ht="12" customHeight="1" x14ac:dyDescent="0.3"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</row>
    <row r="22" spans="2:13" ht="12" customHeight="1" x14ac:dyDescent="0.3"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</row>
    <row r="23" spans="2:13" ht="12" customHeight="1" x14ac:dyDescent="0.3"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</row>
    <row r="24" spans="2:13" ht="12" customHeight="1" x14ac:dyDescent="0.3"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2:13" ht="12" customHeight="1" x14ac:dyDescent="0.3"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</row>
    <row r="26" spans="2:13" ht="12" customHeight="1" x14ac:dyDescent="0.3"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7" spans="2:13" ht="12" customHeight="1" x14ac:dyDescent="0.3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</row>
    <row r="28" spans="2:13" ht="12" customHeight="1" x14ac:dyDescent="0.3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</row>
    <row r="29" spans="2:13" ht="12" customHeight="1" x14ac:dyDescent="0.3"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  <row r="30" spans="2:13" ht="12" customHeight="1" x14ac:dyDescent="0.3"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</row>
    <row r="31" spans="2:13" ht="12" customHeight="1" x14ac:dyDescent="0.3"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57" zoomScale="80" zoomScaleNormal="80" workbookViewId="0">
      <selection activeCell="E281" sqref="E28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7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4" t="s">
        <v>192</v>
      </c>
      <c r="C3" s="275"/>
      <c r="D3" s="275"/>
      <c r="E3" s="275"/>
      <c r="F3" s="276"/>
      <c r="G3" s="85"/>
      <c r="I3" s="207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6"/>
      <c r="B4" s="86"/>
      <c r="C4" s="86"/>
      <c r="D4" s="86"/>
      <c r="E4" s="86"/>
      <c r="F4" s="86"/>
      <c r="G4" s="214"/>
      <c r="I4" s="207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9" t="s">
        <v>231</v>
      </c>
      <c r="B5" s="279"/>
      <c r="C5" s="24">
        <v>12.51</v>
      </c>
      <c r="D5" s="280" t="s">
        <v>229</v>
      </c>
      <c r="E5" s="281"/>
      <c r="F5" s="86"/>
      <c r="G5" s="214"/>
      <c r="H5" s="214"/>
      <c r="I5" s="21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7"/>
      <c r="B6" s="87"/>
      <c r="C6" s="4"/>
      <c r="D6" s="84"/>
      <c r="E6" s="84"/>
      <c r="F6" s="26"/>
      <c r="G6" s="201"/>
      <c r="H6" s="201"/>
      <c r="I6" s="201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8" t="s">
        <v>226</v>
      </c>
      <c r="B7" s="278"/>
      <c r="C7" s="86"/>
      <c r="D7" s="86"/>
      <c r="E7" s="4"/>
      <c r="F7" s="86"/>
      <c r="G7" s="214"/>
      <c r="H7" s="214"/>
      <c r="I7" s="21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61" t="s">
        <v>325</v>
      </c>
      <c r="H8" s="260"/>
      <c r="I8" s="221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56" t="s">
        <v>22</v>
      </c>
      <c r="C9" s="257">
        <v>0.129</v>
      </c>
      <c r="D9" s="33">
        <f t="shared" ref="D9:D18" si="0">C9*$C$5</f>
        <v>1.6137900000000001</v>
      </c>
      <c r="E9" s="258">
        <v>80</v>
      </c>
      <c r="F9" s="35" t="str">
        <f t="array" ref="F9">IF(E9="","",IF(INDEX(A:A,MAX(IF(ISNUMBER($A$36:$A$55),ROW($A$36:$A$55),"")))&lt;&gt;E9,"Corrigez : révolution incorrecte","OK"))</f>
        <v>OK</v>
      </c>
      <c r="G9" s="224" t="s">
        <v>306</v>
      </c>
      <c r="I9" s="22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56" t="s">
        <v>14</v>
      </c>
      <c r="C10" s="257">
        <v>0.18140000000000001</v>
      </c>
      <c r="D10" s="33">
        <f t="shared" si="0"/>
        <v>2.2693140000000001</v>
      </c>
      <c r="E10" s="258">
        <v>115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56" t="s">
        <v>25</v>
      </c>
      <c r="C11" s="257">
        <v>0.129</v>
      </c>
      <c r="D11" s="33">
        <f>C11*$C$5</f>
        <v>1.6137900000000001</v>
      </c>
      <c r="E11" s="258">
        <v>115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56" t="s">
        <v>8</v>
      </c>
      <c r="C12" s="257">
        <v>7.4499999999999997E-2</v>
      </c>
      <c r="D12" s="33">
        <f>C12*$C$5</f>
        <v>0.93199499999999991</v>
      </c>
      <c r="E12" s="258">
        <v>50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H12" s="260"/>
      <c r="I12" s="22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13</v>
      </c>
      <c r="C13" s="32">
        <v>7.4499999999999997E-2</v>
      </c>
      <c r="D13" s="33">
        <f>C13*$C$5</f>
        <v>0.93199499999999991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29</v>
      </c>
      <c r="C14" s="32">
        <v>8.1100000000000005E-2</v>
      </c>
      <c r="D14" s="33">
        <f t="shared" si="0"/>
        <v>1.014561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H14" s="23" t="s">
        <v>326</v>
      </c>
      <c r="I14" s="22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50</v>
      </c>
      <c r="C15" s="32">
        <v>6.4500000000000002E-2</v>
      </c>
      <c r="D15" s="33">
        <f t="shared" si="0"/>
        <v>0.80689500000000003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325</v>
      </c>
      <c r="I15" s="22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6</v>
      </c>
      <c r="C16" s="32">
        <v>6.0499999999999998E-2</v>
      </c>
      <c r="D16" s="33">
        <f t="shared" si="0"/>
        <v>0.75685499999999994</v>
      </c>
      <c r="E16" s="34">
        <v>105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325</v>
      </c>
      <c r="H16" s="260"/>
      <c r="I16" s="22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</v>
      </c>
      <c r="C17" s="32">
        <v>3.7199999999999997E-2</v>
      </c>
      <c r="D17" s="33">
        <f t="shared" si="0"/>
        <v>0.46537199999999995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325</v>
      </c>
      <c r="I17" s="22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129</v>
      </c>
      <c r="C18" s="32">
        <v>0.16830000000000001</v>
      </c>
      <c r="D18" s="33">
        <f t="shared" si="0"/>
        <v>2.1054330000000001</v>
      </c>
      <c r="E18" s="34">
        <v>24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324</v>
      </c>
      <c r="H18" s="23" t="s">
        <v>327</v>
      </c>
      <c r="I18" s="22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6"/>
      <c r="B19" s="36" t="s">
        <v>175</v>
      </c>
      <c r="C19" s="37">
        <f>SUM(C9:C18)</f>
        <v>1</v>
      </c>
      <c r="D19" s="38">
        <f>SUM(D9:D18)</f>
        <v>12.51</v>
      </c>
      <c r="E19" s="4"/>
      <c r="F19" s="88"/>
      <c r="G19" s="215"/>
      <c r="H19" s="215"/>
      <c r="I19" s="21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6"/>
      <c r="B20" s="39" t="s">
        <v>230</v>
      </c>
      <c r="C20" s="40" t="str">
        <f>IF(C19&gt;100%,"Erreur : corrigez","OK")</f>
        <v>OK</v>
      </c>
      <c r="D20" s="218"/>
      <c r="F20" s="201"/>
      <c r="G20" s="201"/>
      <c r="H20" s="215"/>
      <c r="I20" s="21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6"/>
      <c r="I21" s="21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7" t="s">
        <v>232</v>
      </c>
      <c r="B22" s="27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89"/>
      <c r="F24" s="89"/>
      <c r="G24" s="198"/>
      <c r="I24" s="198"/>
      <c r="J24" s="21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0"/>
      <c r="E25" s="4"/>
      <c r="F25" s="90"/>
      <c r="G25" s="217"/>
      <c r="I25" s="217"/>
      <c r="J25" s="2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89"/>
      <c r="F26" s="89"/>
      <c r="G26" s="198"/>
      <c r="I26" s="198"/>
      <c r="J26" s="19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89"/>
      <c r="F27" s="89"/>
      <c r="G27" s="198"/>
      <c r="I27" s="198"/>
      <c r="J27" s="19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8" t="s">
        <v>227</v>
      </c>
      <c r="B30" s="278"/>
      <c r="D30" s="21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1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Erable plane</v>
      </c>
      <c r="D32" s="225" t="s">
        <v>307</v>
      </c>
      <c r="K32" s="21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1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3" t="s">
        <v>185</v>
      </c>
      <c r="C34" s="270" t="s">
        <v>186</v>
      </c>
      <c r="D34" s="270"/>
      <c r="E34" s="271" t="s">
        <v>187</v>
      </c>
      <c r="F34" s="272"/>
      <c r="G34" s="272"/>
      <c r="H34" s="273"/>
      <c r="I34" s="91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3">
        <v>10</v>
      </c>
      <c r="B36" s="253">
        <v>11</v>
      </c>
      <c r="C36" s="253"/>
      <c r="D36" s="253"/>
      <c r="E36" s="254"/>
      <c r="F36" s="254"/>
      <c r="G36" s="254"/>
      <c r="H36" s="254">
        <v>1</v>
      </c>
      <c r="I36" s="49">
        <f>IFERROR(B36/A36,"")</f>
        <v>1.1000000000000001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3">
        <v>15</v>
      </c>
      <c r="B37" s="253">
        <v>65</v>
      </c>
      <c r="C37" s="253">
        <v>1</v>
      </c>
      <c r="D37" s="253">
        <v>32</v>
      </c>
      <c r="E37" s="254"/>
      <c r="F37" s="254"/>
      <c r="G37" s="254"/>
      <c r="H37" s="254">
        <v>1</v>
      </c>
      <c r="I37" s="53">
        <f>IF(A37&lt;&gt;0,(B37-(B36-D36))/(A37-A36),"")</f>
        <v>10.8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3">
        <v>20</v>
      </c>
      <c r="B38" s="253">
        <v>102</v>
      </c>
      <c r="C38" s="253">
        <v>2</v>
      </c>
      <c r="D38" s="253">
        <v>35</v>
      </c>
      <c r="E38" s="254"/>
      <c r="F38" s="254"/>
      <c r="G38" s="254"/>
      <c r="H38" s="254">
        <v>1</v>
      </c>
      <c r="I38" s="53">
        <f>IF(A38&lt;&gt;0,(B38-(B37-D37))/(A38-A37),"")</f>
        <v>13.8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3">
        <v>25</v>
      </c>
      <c r="B39" s="253">
        <v>141</v>
      </c>
      <c r="C39" s="253">
        <v>3</v>
      </c>
      <c r="D39" s="253">
        <v>35</v>
      </c>
      <c r="E39" s="254"/>
      <c r="F39" s="254"/>
      <c r="G39" s="254"/>
      <c r="H39" s="254">
        <v>1</v>
      </c>
      <c r="I39" s="49">
        <f t="shared" ref="I39:I55" si="1">IF(A39&lt;&gt;0,(B39-(B38-D38))/(A39-A38),"")</f>
        <v>14.8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3">
        <v>30</v>
      </c>
      <c r="B40" s="253">
        <v>177</v>
      </c>
      <c r="C40" s="253">
        <v>4</v>
      </c>
      <c r="D40" s="253">
        <v>35</v>
      </c>
      <c r="E40" s="254"/>
      <c r="F40" s="254"/>
      <c r="G40" s="254"/>
      <c r="H40" s="254">
        <v>1</v>
      </c>
      <c r="I40" s="49">
        <f t="shared" si="1"/>
        <v>14.2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3">
        <v>35</v>
      </c>
      <c r="B41" s="253">
        <v>206</v>
      </c>
      <c r="C41" s="253">
        <v>5</v>
      </c>
      <c r="D41" s="253">
        <v>35</v>
      </c>
      <c r="E41" s="254">
        <v>1</v>
      </c>
      <c r="F41" s="254"/>
      <c r="G41" s="254"/>
      <c r="H41" s="254"/>
      <c r="I41" s="53">
        <f t="shared" si="1"/>
        <v>12.8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3">
        <v>40</v>
      </c>
      <c r="B42" s="253">
        <v>228</v>
      </c>
      <c r="C42" s="253">
        <v>6</v>
      </c>
      <c r="D42" s="253">
        <v>35</v>
      </c>
      <c r="E42" s="254">
        <v>1</v>
      </c>
      <c r="F42" s="254"/>
      <c r="G42" s="254"/>
      <c r="H42" s="254"/>
      <c r="I42" s="53">
        <f t="shared" si="1"/>
        <v>11.4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3">
        <v>45</v>
      </c>
      <c r="B43" s="253">
        <v>242</v>
      </c>
      <c r="C43" s="253">
        <v>7</v>
      </c>
      <c r="D43" s="253">
        <v>24</v>
      </c>
      <c r="E43" s="254">
        <v>1</v>
      </c>
      <c r="F43" s="254"/>
      <c r="G43" s="254"/>
      <c r="H43" s="254"/>
      <c r="I43" s="49">
        <f t="shared" si="1"/>
        <v>9.8000000000000007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3">
        <v>50</v>
      </c>
      <c r="B44" s="253">
        <v>261</v>
      </c>
      <c r="C44" s="253">
        <v>8</v>
      </c>
      <c r="D44" s="253">
        <v>19</v>
      </c>
      <c r="E44" s="254">
        <v>1</v>
      </c>
      <c r="F44" s="254"/>
      <c r="G44" s="254"/>
      <c r="H44" s="254"/>
      <c r="I44" s="49">
        <f t="shared" si="1"/>
        <v>8.6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3">
        <v>55</v>
      </c>
      <c r="B45" s="255">
        <v>279</v>
      </c>
      <c r="C45" s="253">
        <v>9</v>
      </c>
      <c r="D45" s="255">
        <v>16</v>
      </c>
      <c r="E45" s="254">
        <v>1</v>
      </c>
      <c r="F45" s="254"/>
      <c r="G45" s="254"/>
      <c r="H45" s="254"/>
      <c r="I45" s="49">
        <f t="shared" si="1"/>
        <v>7.4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3">
        <v>60</v>
      </c>
      <c r="B46" s="262">
        <v>294</v>
      </c>
      <c r="C46" s="253">
        <v>10</v>
      </c>
      <c r="D46" s="262">
        <v>14</v>
      </c>
      <c r="E46" s="254">
        <v>1</v>
      </c>
      <c r="F46" s="254"/>
      <c r="G46" s="254"/>
      <c r="H46" s="254"/>
      <c r="I46" s="49">
        <f t="shared" si="1"/>
        <v>6.2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3">
        <v>65</v>
      </c>
      <c r="B47" s="255">
        <v>306</v>
      </c>
      <c r="C47" s="253">
        <v>11</v>
      </c>
      <c r="D47" s="255">
        <v>13</v>
      </c>
      <c r="E47" s="254">
        <v>1</v>
      </c>
      <c r="F47" s="254"/>
      <c r="G47" s="254"/>
      <c r="H47" s="254"/>
      <c r="I47" s="49">
        <f t="shared" si="1"/>
        <v>5.2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3">
        <v>70</v>
      </c>
      <c r="B48" s="255">
        <v>316</v>
      </c>
      <c r="C48" s="253">
        <v>12</v>
      </c>
      <c r="D48" s="255">
        <v>13</v>
      </c>
      <c r="E48" s="254">
        <v>1</v>
      </c>
      <c r="F48" s="254"/>
      <c r="G48" s="254"/>
      <c r="H48" s="254"/>
      <c r="I48" s="49">
        <f t="shared" si="1"/>
        <v>4.5999999999999996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3">
        <v>75</v>
      </c>
      <c r="B49" s="255">
        <v>324</v>
      </c>
      <c r="C49" s="253">
        <v>13</v>
      </c>
      <c r="D49" s="255">
        <v>12</v>
      </c>
      <c r="E49" s="254">
        <v>1</v>
      </c>
      <c r="F49" s="254"/>
      <c r="G49" s="254"/>
      <c r="H49" s="254"/>
      <c r="I49" s="49">
        <f t="shared" si="1"/>
        <v>4.2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5">
        <v>80</v>
      </c>
      <c r="B50" s="255">
        <v>330</v>
      </c>
      <c r="C50" s="255">
        <v>14</v>
      </c>
      <c r="D50" s="255">
        <v>11</v>
      </c>
      <c r="E50" s="254">
        <v>1</v>
      </c>
      <c r="F50" s="254"/>
      <c r="G50" s="254"/>
      <c r="H50" s="254"/>
      <c r="I50" s="49">
        <f t="shared" si="1"/>
        <v>3.6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5"/>
      <c r="B51" s="255"/>
      <c r="C51" s="255"/>
      <c r="D51" s="255"/>
      <c r="E51" s="254"/>
      <c r="F51" s="254"/>
      <c r="G51" s="254"/>
      <c r="H51" s="254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5"/>
      <c r="B52" s="255"/>
      <c r="C52" s="255"/>
      <c r="D52" s="255"/>
      <c r="E52" s="254"/>
      <c r="F52" s="254"/>
      <c r="G52" s="254"/>
      <c r="H52" s="254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5"/>
      <c r="B53" s="255"/>
      <c r="C53" s="255"/>
      <c r="D53" s="255"/>
      <c r="E53" s="254"/>
      <c r="F53" s="254"/>
      <c r="G53" s="254"/>
      <c r="H53" s="254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5"/>
      <c r="B54" s="255"/>
      <c r="C54" s="255"/>
      <c r="D54" s="255"/>
      <c r="E54" s="254"/>
      <c r="F54" s="254"/>
      <c r="G54" s="254"/>
      <c r="H54" s="254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5"/>
      <c r="B55" s="255"/>
      <c r="C55" s="255"/>
      <c r="D55" s="255"/>
      <c r="E55" s="254"/>
      <c r="F55" s="254"/>
      <c r="G55" s="254"/>
      <c r="H55" s="254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5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3" t="s">
        <v>185</v>
      </c>
      <c r="C60" s="270" t="s">
        <v>186</v>
      </c>
      <c r="D60" s="270"/>
      <c r="E60" s="271" t="s">
        <v>187</v>
      </c>
      <c r="F60" s="272"/>
      <c r="G60" s="272"/>
      <c r="H60" s="273"/>
      <c r="I60" s="91"/>
      <c r="J60" s="219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0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55">
        <v>20</v>
      </c>
      <c r="B62" s="255">
        <v>73</v>
      </c>
      <c r="C62" s="255">
        <v>1</v>
      </c>
      <c r="D62" s="255">
        <v>6</v>
      </c>
      <c r="E62" s="254"/>
      <c r="F62" s="254"/>
      <c r="G62" s="254"/>
      <c r="H62" s="254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55">
        <v>25</v>
      </c>
      <c r="B63" s="255">
        <v>103</v>
      </c>
      <c r="C63" s="255">
        <v>2</v>
      </c>
      <c r="D63" s="255">
        <v>28</v>
      </c>
      <c r="E63" s="254"/>
      <c r="F63" s="254"/>
      <c r="G63" s="254"/>
      <c r="H63" s="254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55">
        <v>30</v>
      </c>
      <c r="B64" s="255">
        <v>121</v>
      </c>
      <c r="C64" s="255">
        <v>3</v>
      </c>
      <c r="D64" s="255">
        <v>28</v>
      </c>
      <c r="E64" s="254"/>
      <c r="F64" s="254"/>
      <c r="G64" s="254"/>
      <c r="H64" s="254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55">
        <v>35</v>
      </c>
      <c r="B65" s="255">
        <v>147</v>
      </c>
      <c r="C65" s="255">
        <v>4</v>
      </c>
      <c r="D65" s="255">
        <v>28</v>
      </c>
      <c r="E65" s="254">
        <v>1</v>
      </c>
      <c r="F65" s="254"/>
      <c r="G65" s="254"/>
      <c r="H65" s="254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55">
        <v>40</v>
      </c>
      <c r="B66" s="255">
        <v>175</v>
      </c>
      <c r="C66" s="255">
        <v>5</v>
      </c>
      <c r="D66" s="255">
        <v>28</v>
      </c>
      <c r="E66" s="254">
        <v>1</v>
      </c>
      <c r="F66" s="254"/>
      <c r="G66" s="254"/>
      <c r="H66" s="254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55">
        <v>45</v>
      </c>
      <c r="B67" s="255">
        <v>204</v>
      </c>
      <c r="C67" s="255">
        <v>6</v>
      </c>
      <c r="D67" s="255">
        <v>28</v>
      </c>
      <c r="E67" s="254">
        <v>1</v>
      </c>
      <c r="F67" s="254"/>
      <c r="G67" s="254"/>
      <c r="H67" s="254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5">
        <v>50</v>
      </c>
      <c r="B68" s="255">
        <v>231</v>
      </c>
      <c r="C68" s="255">
        <v>7</v>
      </c>
      <c r="D68" s="255">
        <v>28</v>
      </c>
      <c r="E68" s="254">
        <v>1</v>
      </c>
      <c r="F68" s="254"/>
      <c r="G68" s="254"/>
      <c r="H68" s="254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55">
        <v>55</v>
      </c>
      <c r="B69" s="255">
        <v>254</v>
      </c>
      <c r="C69" s="255">
        <v>8</v>
      </c>
      <c r="D69" s="255">
        <v>28</v>
      </c>
      <c r="E69" s="254">
        <v>1</v>
      </c>
      <c r="F69" s="254"/>
      <c r="G69" s="254"/>
      <c r="H69" s="254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55">
        <v>60</v>
      </c>
      <c r="B70" s="255">
        <v>273</v>
      </c>
      <c r="C70" s="255">
        <v>9</v>
      </c>
      <c r="D70" s="255">
        <v>28</v>
      </c>
      <c r="E70" s="254">
        <v>1</v>
      </c>
      <c r="F70" s="254"/>
      <c r="G70" s="254"/>
      <c r="H70" s="254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55">
        <v>65</v>
      </c>
      <c r="B71" s="255">
        <v>289</v>
      </c>
      <c r="C71" s="255">
        <v>10</v>
      </c>
      <c r="D71" s="255">
        <v>28</v>
      </c>
      <c r="E71" s="254">
        <v>1</v>
      </c>
      <c r="F71" s="254"/>
      <c r="G71" s="254"/>
      <c r="H71" s="254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55">
        <v>70</v>
      </c>
      <c r="B72" s="255">
        <v>302</v>
      </c>
      <c r="C72" s="255">
        <v>11</v>
      </c>
      <c r="D72" s="255">
        <v>28</v>
      </c>
      <c r="E72" s="254">
        <v>1</v>
      </c>
      <c r="F72" s="254"/>
      <c r="G72" s="254"/>
      <c r="H72" s="254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55">
        <v>75</v>
      </c>
      <c r="B73" s="255">
        <v>312</v>
      </c>
      <c r="C73" s="255">
        <v>12</v>
      </c>
      <c r="D73" s="255">
        <v>28</v>
      </c>
      <c r="E73" s="254">
        <v>1</v>
      </c>
      <c r="F73" s="254"/>
      <c r="G73" s="254"/>
      <c r="H73" s="254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55">
        <v>80</v>
      </c>
      <c r="B74" s="255">
        <v>320</v>
      </c>
      <c r="C74" s="255">
        <v>13</v>
      </c>
      <c r="D74" s="255">
        <v>28</v>
      </c>
      <c r="E74" s="254">
        <v>1</v>
      </c>
      <c r="F74" s="254"/>
      <c r="G74" s="254"/>
      <c r="H74" s="254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55">
        <v>85</v>
      </c>
      <c r="B75" s="255">
        <v>326</v>
      </c>
      <c r="C75" s="255">
        <v>14</v>
      </c>
      <c r="D75" s="255">
        <v>28</v>
      </c>
      <c r="E75" s="254">
        <v>1</v>
      </c>
      <c r="F75" s="254"/>
      <c r="G75" s="254"/>
      <c r="H75" s="254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55">
        <v>90</v>
      </c>
      <c r="B76" s="255">
        <v>330</v>
      </c>
      <c r="C76" s="255">
        <v>15</v>
      </c>
      <c r="D76" s="255">
        <v>28</v>
      </c>
      <c r="E76" s="254">
        <v>1</v>
      </c>
      <c r="F76" s="254"/>
      <c r="G76" s="254"/>
      <c r="H76" s="254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64">
        <v>95</v>
      </c>
      <c r="B77" s="265">
        <v>333</v>
      </c>
      <c r="C77" s="264">
        <v>16</v>
      </c>
      <c r="D77" s="264">
        <v>28</v>
      </c>
      <c r="E77" s="263">
        <v>1</v>
      </c>
      <c r="F77" s="263"/>
      <c r="G77" s="263"/>
      <c r="H77" s="263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64">
        <v>100</v>
      </c>
      <c r="B78" s="265">
        <v>333</v>
      </c>
      <c r="C78" s="264">
        <v>17</v>
      </c>
      <c r="D78" s="264">
        <v>27</v>
      </c>
      <c r="E78" s="263">
        <v>1</v>
      </c>
      <c r="F78" s="263"/>
      <c r="G78" s="263"/>
      <c r="H78" s="263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64">
        <v>105</v>
      </c>
      <c r="B79" s="265">
        <v>333</v>
      </c>
      <c r="C79" s="264">
        <v>18</v>
      </c>
      <c r="D79" s="264">
        <v>26</v>
      </c>
      <c r="E79" s="263">
        <v>1</v>
      </c>
      <c r="F79" s="263"/>
      <c r="G79" s="263"/>
      <c r="H79" s="263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64">
        <v>110</v>
      </c>
      <c r="B80" s="265">
        <v>332</v>
      </c>
      <c r="C80" s="264">
        <v>19</v>
      </c>
      <c r="D80" s="264">
        <v>25</v>
      </c>
      <c r="E80" s="263">
        <v>1</v>
      </c>
      <c r="F80" s="263"/>
      <c r="G80" s="263"/>
      <c r="H80" s="263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64">
        <v>115</v>
      </c>
      <c r="B81" s="265">
        <v>331</v>
      </c>
      <c r="C81" s="264">
        <v>20</v>
      </c>
      <c r="D81" s="266">
        <v>24</v>
      </c>
      <c r="E81" s="263">
        <v>1</v>
      </c>
      <c r="F81" s="263"/>
      <c r="G81" s="263"/>
      <c r="H81" s="263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Hêtre</v>
      </c>
      <c r="D84" s="225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2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3" t="s">
        <v>185</v>
      </c>
      <c r="C86" s="270" t="s">
        <v>186</v>
      </c>
      <c r="D86" s="270"/>
      <c r="E86" s="271" t="s">
        <v>187</v>
      </c>
      <c r="F86" s="272"/>
      <c r="G86" s="272"/>
      <c r="H86" s="273"/>
      <c r="I86" s="91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259">
        <v>32</v>
      </c>
      <c r="C88" s="50"/>
      <c r="D88" s="259">
        <v>0</v>
      </c>
      <c r="E88" s="62"/>
      <c r="F88" s="62"/>
      <c r="G88" s="62"/>
      <c r="H88" s="254"/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259">
        <v>76</v>
      </c>
      <c r="C89" s="50">
        <v>1</v>
      </c>
      <c r="D89" s="259">
        <v>7</v>
      </c>
      <c r="E89" s="62"/>
      <c r="F89" s="62"/>
      <c r="G89" s="62"/>
      <c r="H89" s="254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259">
        <v>116</v>
      </c>
      <c r="C90" s="50">
        <v>2</v>
      </c>
      <c r="D90" s="259">
        <v>28</v>
      </c>
      <c r="E90" s="62"/>
      <c r="F90" s="62"/>
      <c r="G90" s="62"/>
      <c r="H90" s="254">
        <v>1</v>
      </c>
      <c r="I90" s="53">
        <f t="shared" si="3"/>
        <v>9.4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5">
        <v>35</v>
      </c>
      <c r="B91" s="55">
        <v>139</v>
      </c>
      <c r="C91" s="55">
        <v>3</v>
      </c>
      <c r="D91" s="55">
        <v>28</v>
      </c>
      <c r="E91" s="62">
        <v>1</v>
      </c>
      <c r="F91" s="62"/>
      <c r="G91" s="62"/>
      <c r="H91" s="254"/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5">
        <v>40</v>
      </c>
      <c r="B92" s="55">
        <v>163</v>
      </c>
      <c r="C92" s="55">
        <v>4</v>
      </c>
      <c r="D92" s="55">
        <v>28</v>
      </c>
      <c r="E92" s="62">
        <v>1</v>
      </c>
      <c r="F92" s="62"/>
      <c r="G92" s="62"/>
      <c r="H92" s="254"/>
      <c r="I92" s="53">
        <f t="shared" si="3"/>
        <v>10.4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5">
        <v>45</v>
      </c>
      <c r="B93" s="55">
        <v>190</v>
      </c>
      <c r="C93" s="55">
        <v>5</v>
      </c>
      <c r="D93" s="55">
        <v>28</v>
      </c>
      <c r="E93" s="62">
        <v>1</v>
      </c>
      <c r="F93" s="62"/>
      <c r="G93" s="62"/>
      <c r="H93" s="254"/>
      <c r="I93" s="53">
        <f t="shared" si="3"/>
        <v>11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5">
        <v>50</v>
      </c>
      <c r="B94" s="55">
        <v>217</v>
      </c>
      <c r="C94" s="55">
        <v>6</v>
      </c>
      <c r="D94" s="55">
        <v>28</v>
      </c>
      <c r="E94" s="62">
        <v>1</v>
      </c>
      <c r="F94" s="62"/>
      <c r="G94" s="62"/>
      <c r="H94" s="254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55">
        <v>55</v>
      </c>
      <c r="B95" s="55">
        <v>244</v>
      </c>
      <c r="C95" s="55">
        <v>7</v>
      </c>
      <c r="D95" s="55">
        <v>28</v>
      </c>
      <c r="E95" s="62">
        <v>1</v>
      </c>
      <c r="F95" s="62"/>
      <c r="G95" s="62"/>
      <c r="H95" s="254"/>
      <c r="I95" s="53">
        <f t="shared" si="3"/>
        <v>11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55">
        <v>60</v>
      </c>
      <c r="B96" s="55">
        <v>270</v>
      </c>
      <c r="C96" s="55">
        <v>8</v>
      </c>
      <c r="D96" s="55">
        <v>28</v>
      </c>
      <c r="E96" s="62">
        <v>1</v>
      </c>
      <c r="F96" s="62"/>
      <c r="G96" s="62"/>
      <c r="H96" s="254"/>
      <c r="I96" s="53">
        <f t="shared" si="3"/>
        <v>10.8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55">
        <v>65</v>
      </c>
      <c r="B97" s="55">
        <v>294</v>
      </c>
      <c r="C97" s="55">
        <v>9</v>
      </c>
      <c r="D97" s="55">
        <v>28</v>
      </c>
      <c r="E97" s="62">
        <v>1</v>
      </c>
      <c r="F97" s="62"/>
      <c r="G97" s="62"/>
      <c r="H97" s="254"/>
      <c r="I97" s="53">
        <f t="shared" si="3"/>
        <v>10.4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55">
        <v>70</v>
      </c>
      <c r="B98" s="55">
        <v>316</v>
      </c>
      <c r="C98" s="55">
        <v>10</v>
      </c>
      <c r="D98" s="55">
        <v>28</v>
      </c>
      <c r="E98" s="62">
        <v>1</v>
      </c>
      <c r="F98" s="62"/>
      <c r="G98" s="62"/>
      <c r="H98" s="254"/>
      <c r="I98" s="53">
        <f t="shared" si="3"/>
        <v>10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55">
        <v>75</v>
      </c>
      <c r="B99" s="55">
        <v>335</v>
      </c>
      <c r="C99" s="55">
        <v>11</v>
      </c>
      <c r="D99" s="55">
        <v>28</v>
      </c>
      <c r="E99" s="62">
        <v>1</v>
      </c>
      <c r="F99" s="62"/>
      <c r="G99" s="62"/>
      <c r="H99" s="254"/>
      <c r="I99" s="53">
        <f t="shared" si="3"/>
        <v>9.4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55">
        <v>80</v>
      </c>
      <c r="B100" s="55">
        <v>351</v>
      </c>
      <c r="C100" s="55">
        <v>12</v>
      </c>
      <c r="D100" s="55">
        <v>28</v>
      </c>
      <c r="E100" s="63">
        <v>1</v>
      </c>
      <c r="F100" s="63"/>
      <c r="G100" s="63"/>
      <c r="H100" s="254"/>
      <c r="I100" s="53">
        <f t="shared" si="3"/>
        <v>8.8000000000000007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7">
        <v>85</v>
      </c>
      <c r="B101" s="259">
        <v>365</v>
      </c>
      <c r="C101" s="267">
        <v>13</v>
      </c>
      <c r="D101" s="259">
        <v>27</v>
      </c>
      <c r="E101" s="54">
        <v>1</v>
      </c>
      <c r="F101" s="54"/>
      <c r="G101" s="54"/>
      <c r="H101" s="254"/>
      <c r="I101" s="53">
        <f t="shared" si="3"/>
        <v>8.4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50">
        <v>90</v>
      </c>
      <c r="B102" s="50">
        <v>377</v>
      </c>
      <c r="C102" s="50">
        <v>14</v>
      </c>
      <c r="D102" s="50">
        <v>26</v>
      </c>
      <c r="E102" s="54">
        <v>1</v>
      </c>
      <c r="F102" s="54"/>
      <c r="G102" s="54"/>
      <c r="H102" s="254"/>
      <c r="I102" s="53">
        <f t="shared" si="3"/>
        <v>7.8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50">
        <v>95</v>
      </c>
      <c r="B103" s="50">
        <v>389</v>
      </c>
      <c r="C103" s="50">
        <v>15</v>
      </c>
      <c r="D103" s="50">
        <v>25</v>
      </c>
      <c r="E103" s="54">
        <v>1</v>
      </c>
      <c r="F103" s="54"/>
      <c r="G103" s="54"/>
      <c r="H103" s="254"/>
      <c r="I103" s="53">
        <f t="shared" si="3"/>
        <v>7.6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50">
        <v>100</v>
      </c>
      <c r="B104" s="50">
        <v>400</v>
      </c>
      <c r="C104" s="50">
        <v>16</v>
      </c>
      <c r="D104" s="50">
        <v>24</v>
      </c>
      <c r="E104" s="54">
        <v>1</v>
      </c>
      <c r="F104" s="54"/>
      <c r="G104" s="54"/>
      <c r="H104" s="254"/>
      <c r="I104" s="53">
        <f t="shared" si="3"/>
        <v>7.2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105</v>
      </c>
      <c r="B105" s="50">
        <v>409</v>
      </c>
      <c r="C105" s="50">
        <v>17</v>
      </c>
      <c r="D105" s="50">
        <v>23</v>
      </c>
      <c r="E105" s="54">
        <v>1</v>
      </c>
      <c r="F105" s="54"/>
      <c r="G105" s="54"/>
      <c r="H105" s="254"/>
      <c r="I105" s="53">
        <f t="shared" si="3"/>
        <v>6.6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5">
        <v>110</v>
      </c>
      <c r="B106" s="255">
        <v>418</v>
      </c>
      <c r="C106" s="255">
        <v>18</v>
      </c>
      <c r="D106" s="255">
        <v>22</v>
      </c>
      <c r="E106" s="254">
        <v>1</v>
      </c>
      <c r="F106" s="254"/>
      <c r="G106" s="254"/>
      <c r="H106" s="254"/>
      <c r="I106" s="53">
        <f t="shared" si="3"/>
        <v>6.4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5">
        <v>115</v>
      </c>
      <c r="B107" s="255">
        <v>426</v>
      </c>
      <c r="C107" s="255">
        <v>19</v>
      </c>
      <c r="D107" s="255">
        <v>22</v>
      </c>
      <c r="E107" s="254">
        <v>1</v>
      </c>
      <c r="F107" s="254"/>
      <c r="G107" s="254"/>
      <c r="H107" s="254"/>
      <c r="I107" s="53">
        <f t="shared" si="3"/>
        <v>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Châtaignier</v>
      </c>
      <c r="D110" s="225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2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3" t="s">
        <v>185</v>
      </c>
      <c r="C112" s="270" t="s">
        <v>186</v>
      </c>
      <c r="D112" s="270"/>
      <c r="E112" s="271" t="s">
        <v>187</v>
      </c>
      <c r="F112" s="272"/>
      <c r="G112" s="272"/>
      <c r="H112" s="273"/>
      <c r="I112" s="91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55">
        <v>10</v>
      </c>
      <c r="B114" s="255">
        <v>115</v>
      </c>
      <c r="C114" s="255"/>
      <c r="D114" s="255"/>
      <c r="E114" s="254"/>
      <c r="F114" s="254"/>
      <c r="G114" s="254"/>
      <c r="H114" s="254"/>
      <c r="I114" s="53">
        <f>IFERROR(B114/A114,"")</f>
        <v>11.5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55">
        <v>15</v>
      </c>
      <c r="B115" s="255">
        <v>184</v>
      </c>
      <c r="C115" s="255"/>
      <c r="D115" s="255"/>
      <c r="E115" s="254"/>
      <c r="F115" s="254"/>
      <c r="G115" s="254"/>
      <c r="H115" s="254"/>
      <c r="I115" s="53">
        <f t="shared" ref="I115:I133" si="4">IF(A115&lt;&gt;0,(B115-(B114-D114))/(A115-A114),"")</f>
        <v>13.8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55">
        <v>18</v>
      </c>
      <c r="B116" s="255">
        <v>225</v>
      </c>
      <c r="C116" s="255">
        <v>1</v>
      </c>
      <c r="D116" s="255">
        <v>94</v>
      </c>
      <c r="E116" s="254"/>
      <c r="F116" s="254"/>
      <c r="G116" s="254"/>
      <c r="H116" s="254">
        <v>1</v>
      </c>
      <c r="I116" s="53">
        <f t="shared" si="4"/>
        <v>13.666666666666666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55">
        <v>22</v>
      </c>
      <c r="B117" s="255">
        <v>151</v>
      </c>
      <c r="C117" s="255">
        <v>2</v>
      </c>
      <c r="D117" s="255">
        <v>54</v>
      </c>
      <c r="E117" s="254"/>
      <c r="F117" s="254"/>
      <c r="G117" s="254"/>
      <c r="H117" s="254">
        <v>1</v>
      </c>
      <c r="I117" s="53">
        <f t="shared" si="4"/>
        <v>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55">
        <v>27</v>
      </c>
      <c r="B118" s="255">
        <v>130</v>
      </c>
      <c r="C118" s="255">
        <v>3</v>
      </c>
      <c r="D118" s="255">
        <v>38</v>
      </c>
      <c r="E118" s="254"/>
      <c r="F118" s="254"/>
      <c r="G118" s="254"/>
      <c r="H118" s="254">
        <v>1</v>
      </c>
      <c r="I118" s="53">
        <f t="shared" si="4"/>
        <v>6.6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55">
        <v>35</v>
      </c>
      <c r="B119" s="255">
        <v>136</v>
      </c>
      <c r="C119" s="255"/>
      <c r="D119" s="255"/>
      <c r="E119" s="254"/>
      <c r="F119" s="254"/>
      <c r="G119" s="254"/>
      <c r="H119" s="254"/>
      <c r="I119" s="53">
        <f t="shared" si="4"/>
        <v>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55">
        <v>40</v>
      </c>
      <c r="B120" s="255">
        <v>170</v>
      </c>
      <c r="C120" s="255"/>
      <c r="D120" s="255"/>
      <c r="E120" s="254"/>
      <c r="F120" s="254"/>
      <c r="G120" s="254"/>
      <c r="H120" s="254"/>
      <c r="I120" s="53">
        <f t="shared" si="4"/>
        <v>6.8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55">
        <v>45</v>
      </c>
      <c r="B121" s="255">
        <v>210</v>
      </c>
      <c r="C121" s="255"/>
      <c r="D121" s="255"/>
      <c r="E121" s="254"/>
      <c r="F121" s="254"/>
      <c r="G121" s="254"/>
      <c r="H121" s="254"/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55">
        <v>50</v>
      </c>
      <c r="B122" s="255">
        <v>255</v>
      </c>
      <c r="C122" s="255"/>
      <c r="D122" s="255"/>
      <c r="E122" s="254"/>
      <c r="F122" s="254"/>
      <c r="G122" s="254"/>
      <c r="H122" s="254"/>
      <c r="I122" s="53">
        <f t="shared" si="4"/>
        <v>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55"/>
      <c r="B123" s="255"/>
      <c r="C123" s="255"/>
      <c r="D123" s="255"/>
      <c r="E123" s="254"/>
      <c r="F123" s="254"/>
      <c r="G123" s="254"/>
      <c r="H123" s="254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55"/>
      <c r="B124" s="255"/>
      <c r="C124" s="255"/>
      <c r="D124" s="255"/>
      <c r="E124" s="254"/>
      <c r="F124" s="254"/>
      <c r="G124" s="254"/>
      <c r="H124" s="254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55"/>
      <c r="B125" s="255"/>
      <c r="C125" s="255"/>
      <c r="D125" s="255"/>
      <c r="E125" s="254"/>
      <c r="F125" s="254"/>
      <c r="G125" s="254"/>
      <c r="H125" s="254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55"/>
      <c r="B126" s="255"/>
      <c r="C126" s="255"/>
      <c r="D126" s="255"/>
      <c r="E126" s="254"/>
      <c r="F126" s="254"/>
      <c r="G126" s="254"/>
      <c r="H126" s="254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5"/>
      <c r="B127" s="255"/>
      <c r="C127" s="255"/>
      <c r="D127" s="255"/>
      <c r="E127" s="254"/>
      <c r="F127" s="254"/>
      <c r="G127" s="254"/>
      <c r="H127" s="254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5"/>
      <c r="B128" s="255"/>
      <c r="C128" s="255"/>
      <c r="D128" s="255"/>
      <c r="E128" s="254"/>
      <c r="F128" s="254"/>
      <c r="G128" s="254"/>
      <c r="H128" s="2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4"/>
      <c r="B129" s="265"/>
      <c r="C129" s="264"/>
      <c r="D129" s="264"/>
      <c r="E129" s="263"/>
      <c r="F129" s="263"/>
      <c r="G129" s="263"/>
      <c r="H129" s="263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4"/>
      <c r="B130" s="265"/>
      <c r="C130" s="264"/>
      <c r="D130" s="264"/>
      <c r="E130" s="263"/>
      <c r="F130" s="263"/>
      <c r="G130" s="263"/>
      <c r="H130" s="263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4"/>
      <c r="B131" s="265"/>
      <c r="C131" s="264"/>
      <c r="D131" s="264"/>
      <c r="E131" s="263"/>
      <c r="F131" s="263"/>
      <c r="G131" s="263"/>
      <c r="H131" s="263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4"/>
      <c r="B132" s="265"/>
      <c r="C132" s="264"/>
      <c r="D132" s="264"/>
      <c r="E132" s="263"/>
      <c r="F132" s="263"/>
      <c r="G132" s="263"/>
      <c r="H132" s="263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4"/>
      <c r="B133" s="265"/>
      <c r="C133" s="264"/>
      <c r="D133" s="266"/>
      <c r="E133" s="263"/>
      <c r="F133" s="263"/>
      <c r="G133" s="263"/>
      <c r="H133" s="263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rouge d'Amérique</v>
      </c>
      <c r="D136" s="225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2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3" t="s">
        <v>185</v>
      </c>
      <c r="C138" s="270" t="s">
        <v>186</v>
      </c>
      <c r="D138" s="270"/>
      <c r="E138" s="271" t="s">
        <v>187</v>
      </c>
      <c r="F138" s="272"/>
      <c r="G138" s="272"/>
      <c r="H138" s="273"/>
      <c r="I138" s="91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253">
        <v>15</v>
      </c>
      <c r="B140" s="253">
        <v>87</v>
      </c>
      <c r="C140" s="253">
        <v>1</v>
      </c>
      <c r="D140" s="253">
        <v>21</v>
      </c>
      <c r="E140" s="254"/>
      <c r="F140" s="254"/>
      <c r="G140" s="254"/>
      <c r="H140" s="254">
        <v>1</v>
      </c>
      <c r="I140" s="57">
        <f>IFERROR(B140/A140,"")</f>
        <v>5.8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253">
        <v>20</v>
      </c>
      <c r="B141" s="253">
        <v>137</v>
      </c>
      <c r="C141" s="253">
        <v>2</v>
      </c>
      <c r="D141" s="253">
        <v>43</v>
      </c>
      <c r="E141" s="254"/>
      <c r="F141" s="254"/>
      <c r="G141" s="254"/>
      <c r="H141" s="254">
        <v>1</v>
      </c>
      <c r="I141" s="57">
        <f t="shared" ref="I141:I159" si="5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253">
        <v>25</v>
      </c>
      <c r="B142" s="253">
        <v>163</v>
      </c>
      <c r="C142" s="253">
        <v>3</v>
      </c>
      <c r="D142" s="253">
        <v>44</v>
      </c>
      <c r="E142" s="254"/>
      <c r="F142" s="254"/>
      <c r="G142" s="254"/>
      <c r="H142" s="254">
        <v>1</v>
      </c>
      <c r="I142" s="57">
        <f t="shared" si="5"/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253">
        <v>30</v>
      </c>
      <c r="B143" s="253">
        <v>184</v>
      </c>
      <c r="C143" s="253">
        <v>4</v>
      </c>
      <c r="D143" s="253">
        <v>44</v>
      </c>
      <c r="E143" s="254"/>
      <c r="F143" s="254"/>
      <c r="G143" s="254"/>
      <c r="H143" s="254">
        <v>1</v>
      </c>
      <c r="I143" s="57">
        <f t="shared" si="5"/>
        <v>13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253">
        <v>35</v>
      </c>
      <c r="B144" s="253">
        <v>201</v>
      </c>
      <c r="C144" s="253">
        <v>5</v>
      </c>
      <c r="D144" s="253">
        <v>42</v>
      </c>
      <c r="E144" s="254">
        <v>1</v>
      </c>
      <c r="F144" s="254"/>
      <c r="G144" s="254"/>
      <c r="H144" s="254"/>
      <c r="I144" s="57">
        <f t="shared" si="5"/>
        <v>12.2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253">
        <v>40</v>
      </c>
      <c r="B145" s="253">
        <v>213</v>
      </c>
      <c r="C145" s="253">
        <v>6</v>
      </c>
      <c r="D145" s="253">
        <v>39</v>
      </c>
      <c r="E145" s="254">
        <v>1</v>
      </c>
      <c r="F145" s="254"/>
      <c r="G145" s="254"/>
      <c r="H145" s="254"/>
      <c r="I145" s="57">
        <f t="shared" si="5"/>
        <v>10.8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253">
        <v>45</v>
      </c>
      <c r="B146" s="253">
        <v>223</v>
      </c>
      <c r="C146" s="253">
        <v>7</v>
      </c>
      <c r="D146" s="253">
        <v>36</v>
      </c>
      <c r="E146" s="254">
        <v>1</v>
      </c>
      <c r="F146" s="254"/>
      <c r="G146" s="254"/>
      <c r="H146" s="254"/>
      <c r="I146" s="57">
        <f t="shared" si="5"/>
        <v>9.8000000000000007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253">
        <v>50</v>
      </c>
      <c r="B147" s="253">
        <v>231</v>
      </c>
      <c r="C147" s="253">
        <v>8</v>
      </c>
      <c r="D147" s="253">
        <v>33</v>
      </c>
      <c r="E147" s="254">
        <v>1</v>
      </c>
      <c r="F147" s="254"/>
      <c r="G147" s="254"/>
      <c r="H147" s="254"/>
      <c r="I147" s="57">
        <f>IF(A147&lt;&gt;0,(B147-(B146-D146))/(A147-A146),"")</f>
        <v>8.8000000000000007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253">
        <v>55</v>
      </c>
      <c r="B148" s="253">
        <v>237</v>
      </c>
      <c r="C148" s="253">
        <v>9</v>
      </c>
      <c r="D148" s="253">
        <v>29</v>
      </c>
      <c r="E148" s="254">
        <v>1</v>
      </c>
      <c r="F148" s="254"/>
      <c r="G148" s="254"/>
      <c r="H148" s="254"/>
      <c r="I148" s="57">
        <f t="shared" si="5"/>
        <v>7.8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253">
        <v>60</v>
      </c>
      <c r="B149" s="255">
        <v>242</v>
      </c>
      <c r="C149" s="253">
        <v>10</v>
      </c>
      <c r="D149" s="255">
        <v>26</v>
      </c>
      <c r="E149" s="254">
        <v>1</v>
      </c>
      <c r="F149" s="254"/>
      <c r="G149" s="254"/>
      <c r="H149" s="254"/>
      <c r="I149" s="57">
        <f t="shared" si="5"/>
        <v>6.8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253">
        <v>65</v>
      </c>
      <c r="B150" s="262">
        <v>246</v>
      </c>
      <c r="C150" s="253">
        <v>11</v>
      </c>
      <c r="D150" s="262">
        <v>23</v>
      </c>
      <c r="E150" s="254">
        <v>1</v>
      </c>
      <c r="F150" s="254"/>
      <c r="G150" s="254"/>
      <c r="H150" s="254"/>
      <c r="I150" s="57">
        <f t="shared" si="5"/>
        <v>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253">
        <v>70</v>
      </c>
      <c r="B151" s="255">
        <v>249</v>
      </c>
      <c r="C151" s="253"/>
      <c r="D151" s="255"/>
      <c r="E151" s="254"/>
      <c r="F151" s="254"/>
      <c r="G151" s="254"/>
      <c r="H151" s="254"/>
      <c r="I151" s="57">
        <f t="shared" si="5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253"/>
      <c r="B152" s="255"/>
      <c r="C152" s="253"/>
      <c r="D152" s="255"/>
      <c r="E152" s="254"/>
      <c r="F152" s="254"/>
      <c r="G152" s="254"/>
      <c r="H152" s="2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253"/>
      <c r="B153" s="255"/>
      <c r="C153" s="253"/>
      <c r="D153" s="255"/>
      <c r="E153" s="254"/>
      <c r="F153" s="254"/>
      <c r="G153" s="254"/>
      <c r="H153" s="2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255"/>
      <c r="B154" s="255"/>
      <c r="C154" s="255"/>
      <c r="D154" s="255"/>
      <c r="E154" s="254"/>
      <c r="F154" s="254"/>
      <c r="G154" s="254"/>
      <c r="H154" s="2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Merisier</v>
      </c>
      <c r="D162" s="225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2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3" t="s">
        <v>185</v>
      </c>
      <c r="C164" s="270" t="s">
        <v>186</v>
      </c>
      <c r="D164" s="270"/>
      <c r="E164" s="271" t="s">
        <v>187</v>
      </c>
      <c r="F164" s="272"/>
      <c r="G164" s="272"/>
      <c r="H164" s="273"/>
      <c r="I164" s="91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253">
        <v>20</v>
      </c>
      <c r="B166" s="253">
        <v>117</v>
      </c>
      <c r="C166" s="253">
        <v>1</v>
      </c>
      <c r="D166" s="253">
        <v>27</v>
      </c>
      <c r="E166" s="254"/>
      <c r="F166" s="254"/>
      <c r="G166" s="254"/>
      <c r="H166" s="254">
        <v>1</v>
      </c>
      <c r="I166" s="49">
        <f>IFERROR(B166/A166,"")</f>
        <v>5.85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253">
        <v>25</v>
      </c>
      <c r="B167" s="253">
        <v>140</v>
      </c>
      <c r="C167" s="253">
        <v>2</v>
      </c>
      <c r="D167" s="253">
        <v>16</v>
      </c>
      <c r="E167" s="254"/>
      <c r="F167" s="254"/>
      <c r="G167" s="254"/>
      <c r="H167" s="254">
        <v>1</v>
      </c>
      <c r="I167" s="49">
        <f t="shared" ref="I167:I185" si="6">IF(A167&lt;&gt;0,(B167-(B166-D166))/(A167-A166),"")</f>
        <v>10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253">
        <v>30</v>
      </c>
      <c r="B168" s="253">
        <v>178</v>
      </c>
      <c r="C168" s="253">
        <v>3</v>
      </c>
      <c r="D168" s="253">
        <v>23</v>
      </c>
      <c r="E168" s="254"/>
      <c r="F168" s="254"/>
      <c r="G168" s="254"/>
      <c r="H168" s="254">
        <v>1</v>
      </c>
      <c r="I168" s="49">
        <f t="shared" si="6"/>
        <v>10.8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253">
        <v>35</v>
      </c>
      <c r="B169" s="253">
        <v>213</v>
      </c>
      <c r="C169" s="253">
        <v>4</v>
      </c>
      <c r="D169" s="253">
        <v>29</v>
      </c>
      <c r="E169" s="254">
        <v>1</v>
      </c>
      <c r="F169" s="254"/>
      <c r="G169" s="254"/>
      <c r="H169" s="254"/>
      <c r="I169" s="49">
        <f t="shared" si="6"/>
        <v>11.6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253">
        <v>40</v>
      </c>
      <c r="B170" s="253">
        <v>241</v>
      </c>
      <c r="C170" s="253">
        <v>5</v>
      </c>
      <c r="D170" s="253">
        <v>32</v>
      </c>
      <c r="E170" s="254">
        <v>1</v>
      </c>
      <c r="F170" s="254"/>
      <c r="G170" s="254"/>
      <c r="H170" s="254"/>
      <c r="I170" s="49">
        <f t="shared" si="6"/>
        <v>11.4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253">
        <v>45</v>
      </c>
      <c r="B171" s="253">
        <v>263</v>
      </c>
      <c r="C171" s="253">
        <v>6</v>
      </c>
      <c r="D171" s="253">
        <v>36</v>
      </c>
      <c r="E171" s="254">
        <v>1</v>
      </c>
      <c r="F171" s="254"/>
      <c r="G171" s="254"/>
      <c r="H171" s="254"/>
      <c r="I171" s="49">
        <f t="shared" si="6"/>
        <v>10.8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253">
        <v>50</v>
      </c>
      <c r="B172" s="253">
        <v>283</v>
      </c>
      <c r="C172" s="253">
        <v>7</v>
      </c>
      <c r="D172" s="253">
        <v>35</v>
      </c>
      <c r="E172" s="254">
        <v>1</v>
      </c>
      <c r="F172" s="254"/>
      <c r="G172" s="254"/>
      <c r="H172" s="254"/>
      <c r="I172" s="49">
        <f t="shared" si="6"/>
        <v>11.2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253">
        <v>55</v>
      </c>
      <c r="B173" s="253">
        <v>297</v>
      </c>
      <c r="C173" s="253">
        <v>8</v>
      </c>
      <c r="D173" s="253">
        <v>35</v>
      </c>
      <c r="E173" s="254">
        <v>1</v>
      </c>
      <c r="F173" s="254"/>
      <c r="G173" s="254"/>
      <c r="H173" s="254"/>
      <c r="I173" s="49">
        <f t="shared" si="6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253">
        <v>60</v>
      </c>
      <c r="B174" s="253">
        <v>310</v>
      </c>
      <c r="C174" s="253">
        <v>9</v>
      </c>
      <c r="D174" s="253">
        <v>37</v>
      </c>
      <c r="E174" s="254">
        <v>1</v>
      </c>
      <c r="F174" s="254"/>
      <c r="G174" s="254"/>
      <c r="H174" s="254"/>
      <c r="I174" s="49">
        <f t="shared" si="6"/>
        <v>9.6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253">
        <v>65</v>
      </c>
      <c r="B175" s="255">
        <v>319</v>
      </c>
      <c r="C175" s="253">
        <v>10</v>
      </c>
      <c r="D175" s="255">
        <v>37</v>
      </c>
      <c r="E175" s="254">
        <v>1</v>
      </c>
      <c r="F175" s="254"/>
      <c r="G175" s="254"/>
      <c r="H175" s="254"/>
      <c r="I175" s="49">
        <f t="shared" si="6"/>
        <v>9.1999999999999993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253">
        <v>70</v>
      </c>
      <c r="B176" s="262">
        <v>327</v>
      </c>
      <c r="C176" s="253">
        <v>11</v>
      </c>
      <c r="D176" s="262">
        <v>32</v>
      </c>
      <c r="E176" s="254">
        <v>1</v>
      </c>
      <c r="F176" s="254"/>
      <c r="G176" s="254"/>
      <c r="H176" s="254"/>
      <c r="I176" s="49">
        <f t="shared" si="6"/>
        <v>9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253">
        <v>75</v>
      </c>
      <c r="B177" s="255">
        <v>340</v>
      </c>
      <c r="C177" s="253">
        <v>12</v>
      </c>
      <c r="D177" s="255">
        <v>31</v>
      </c>
      <c r="E177" s="254">
        <v>1</v>
      </c>
      <c r="F177" s="254"/>
      <c r="G177" s="254"/>
      <c r="H177" s="254"/>
      <c r="I177" s="49">
        <f t="shared" si="6"/>
        <v>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253">
        <v>80</v>
      </c>
      <c r="B178" s="255">
        <v>349</v>
      </c>
      <c r="C178" s="253"/>
      <c r="D178" s="255"/>
      <c r="E178" s="254"/>
      <c r="F178" s="254"/>
      <c r="G178" s="254"/>
      <c r="H178" s="254"/>
      <c r="I178" s="49">
        <f t="shared" si="6"/>
        <v>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253"/>
      <c r="B179" s="255"/>
      <c r="C179" s="253"/>
      <c r="D179" s="255"/>
      <c r="E179" s="254"/>
      <c r="F179" s="254"/>
      <c r="G179" s="254"/>
      <c r="H179" s="254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255"/>
      <c r="B180" s="255"/>
      <c r="C180" s="255"/>
      <c r="D180" s="255"/>
      <c r="E180" s="254"/>
      <c r="F180" s="254"/>
      <c r="G180" s="254"/>
      <c r="H180" s="254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4"/>
      <c r="F181" s="54"/>
      <c r="G181" s="54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4"/>
      <c r="F182" s="54"/>
      <c r="G182" s="54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4"/>
      <c r="F183" s="54"/>
      <c r="G183" s="54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Tilleul</v>
      </c>
      <c r="D188" s="225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2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3" t="s">
        <v>185</v>
      </c>
      <c r="C190" s="270" t="s">
        <v>186</v>
      </c>
      <c r="D190" s="270"/>
      <c r="E190" s="271" t="s">
        <v>187</v>
      </c>
      <c r="F190" s="272"/>
      <c r="G190" s="272"/>
      <c r="H190" s="273"/>
      <c r="I190" s="91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259">
        <v>11</v>
      </c>
      <c r="C192" s="259"/>
      <c r="D192" s="259"/>
      <c r="E192" s="51"/>
      <c r="F192" s="51"/>
      <c r="G192" s="51"/>
      <c r="H192" s="51">
        <v>1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259">
        <v>65</v>
      </c>
      <c r="C193" s="259">
        <v>1</v>
      </c>
      <c r="D193" s="259">
        <v>32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259">
        <v>102</v>
      </c>
      <c r="C194" s="259">
        <v>2</v>
      </c>
      <c r="D194" s="259">
        <v>35</v>
      </c>
      <c r="E194" s="51"/>
      <c r="F194" s="51"/>
      <c r="G194" s="51"/>
      <c r="H194" s="51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259">
        <v>141</v>
      </c>
      <c r="C195" s="259">
        <v>3</v>
      </c>
      <c r="D195" s="259">
        <v>35</v>
      </c>
      <c r="E195" s="51"/>
      <c r="F195" s="51"/>
      <c r="G195" s="51"/>
      <c r="H195" s="51">
        <v>1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259">
        <v>177</v>
      </c>
      <c r="C196" s="259">
        <v>4</v>
      </c>
      <c r="D196" s="259">
        <v>35</v>
      </c>
      <c r="E196" s="51"/>
      <c r="F196" s="51"/>
      <c r="G196" s="51"/>
      <c r="H196" s="51">
        <v>1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259">
        <v>206</v>
      </c>
      <c r="C197" s="259">
        <v>5</v>
      </c>
      <c r="D197" s="259">
        <v>35</v>
      </c>
      <c r="E197" s="51">
        <v>1</v>
      </c>
      <c r="F197" s="51"/>
      <c r="G197" s="51"/>
      <c r="H197" s="51"/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259">
        <v>228</v>
      </c>
      <c r="C198" s="259">
        <v>6</v>
      </c>
      <c r="D198" s="259">
        <v>35</v>
      </c>
      <c r="E198" s="51">
        <v>1</v>
      </c>
      <c r="F198" s="51"/>
      <c r="G198" s="51"/>
      <c r="H198" s="51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242</v>
      </c>
      <c r="C199" s="50">
        <v>7</v>
      </c>
      <c r="D199" s="50">
        <v>24</v>
      </c>
      <c r="E199" s="51">
        <v>1</v>
      </c>
      <c r="F199" s="51"/>
      <c r="G199" s="51"/>
      <c r="H199" s="51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261</v>
      </c>
      <c r="C200" s="50">
        <v>8</v>
      </c>
      <c r="D200" s="50">
        <v>19</v>
      </c>
      <c r="E200" s="51">
        <v>1</v>
      </c>
      <c r="F200" s="51"/>
      <c r="G200" s="51"/>
      <c r="H200" s="51"/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279</v>
      </c>
      <c r="C201" s="50">
        <v>9</v>
      </c>
      <c r="D201" s="50">
        <v>16</v>
      </c>
      <c r="E201" s="51">
        <v>1</v>
      </c>
      <c r="F201" s="51"/>
      <c r="G201" s="51"/>
      <c r="H201" s="51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294</v>
      </c>
      <c r="C202" s="50">
        <v>10</v>
      </c>
      <c r="D202" s="50">
        <v>14</v>
      </c>
      <c r="E202" s="51">
        <v>1</v>
      </c>
      <c r="F202" s="51"/>
      <c r="G202" s="51"/>
      <c r="H202" s="51"/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306</v>
      </c>
      <c r="C203" s="50">
        <v>11</v>
      </c>
      <c r="D203" s="50">
        <v>13</v>
      </c>
      <c r="E203" s="51">
        <v>1</v>
      </c>
      <c r="F203" s="51"/>
      <c r="G203" s="51"/>
      <c r="H203" s="51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316</v>
      </c>
      <c r="C204" s="50">
        <v>12</v>
      </c>
      <c r="D204" s="50">
        <v>13</v>
      </c>
      <c r="E204" s="51">
        <v>1</v>
      </c>
      <c r="F204" s="51"/>
      <c r="G204" s="51"/>
      <c r="H204" s="51"/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324</v>
      </c>
      <c r="C205" s="50">
        <v>13</v>
      </c>
      <c r="D205" s="50">
        <v>12</v>
      </c>
      <c r="E205" s="51">
        <v>1</v>
      </c>
      <c r="F205" s="51"/>
      <c r="G205" s="51"/>
      <c r="H205" s="51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330</v>
      </c>
      <c r="C206" s="50">
        <v>14</v>
      </c>
      <c r="D206" s="50">
        <v>11</v>
      </c>
      <c r="E206" s="51">
        <v>1</v>
      </c>
      <c r="F206" s="51"/>
      <c r="G206" s="51"/>
      <c r="H206" s="51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Charme</v>
      </c>
      <c r="D214" s="225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2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3" t="s">
        <v>185</v>
      </c>
      <c r="C216" s="270" t="s">
        <v>186</v>
      </c>
      <c r="D216" s="270"/>
      <c r="E216" s="271" t="s">
        <v>187</v>
      </c>
      <c r="F216" s="272"/>
      <c r="G216" s="272"/>
      <c r="H216" s="273"/>
      <c r="I216" s="91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259">
        <v>67</v>
      </c>
      <c r="C218" s="259">
        <v>1</v>
      </c>
      <c r="D218" s="259">
        <v>10</v>
      </c>
      <c r="E218" s="51"/>
      <c r="F218" s="51"/>
      <c r="G218" s="51"/>
      <c r="H218" s="51">
        <v>1</v>
      </c>
      <c r="I218" s="53">
        <f>IFERROR(B218/A218,"")</f>
        <v>6.7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15</v>
      </c>
      <c r="B219" s="259">
        <v>118</v>
      </c>
      <c r="C219" s="259">
        <v>2</v>
      </c>
      <c r="D219" s="259">
        <v>17</v>
      </c>
      <c r="E219" s="51"/>
      <c r="F219" s="51"/>
      <c r="G219" s="51"/>
      <c r="H219" s="51">
        <v>1</v>
      </c>
      <c r="I219" s="53">
        <f t="shared" ref="I219:I237" si="8">IF(A219&lt;&gt;0,(B219-(B218-D218))/(A219-A218),"")</f>
        <v>12.2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20</v>
      </c>
      <c r="B220" s="259">
        <v>158</v>
      </c>
      <c r="C220" s="259">
        <v>3</v>
      </c>
      <c r="D220" s="259">
        <v>22</v>
      </c>
      <c r="E220" s="51"/>
      <c r="F220" s="51"/>
      <c r="G220" s="51"/>
      <c r="H220" s="51">
        <v>1</v>
      </c>
      <c r="I220" s="53">
        <f t="shared" si="8"/>
        <v>11.4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0">
        <v>25</v>
      </c>
      <c r="B221" s="259">
        <v>188</v>
      </c>
      <c r="C221" s="259">
        <v>4</v>
      </c>
      <c r="D221" s="259">
        <v>26</v>
      </c>
      <c r="E221" s="51"/>
      <c r="F221" s="51"/>
      <c r="G221" s="51"/>
      <c r="H221" s="51">
        <v>1</v>
      </c>
      <c r="I221" s="53">
        <f t="shared" si="8"/>
        <v>10.4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0">
        <v>30</v>
      </c>
      <c r="B222" s="259">
        <v>209</v>
      </c>
      <c r="C222" s="259">
        <v>5</v>
      </c>
      <c r="D222" s="259">
        <v>28</v>
      </c>
      <c r="E222" s="51"/>
      <c r="F222" s="51"/>
      <c r="G222" s="51"/>
      <c r="H222" s="51">
        <v>1</v>
      </c>
      <c r="I222" s="53">
        <f t="shared" si="8"/>
        <v>9.4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0">
        <v>35</v>
      </c>
      <c r="B223" s="259">
        <v>222</v>
      </c>
      <c r="C223" s="259">
        <v>6</v>
      </c>
      <c r="D223" s="259">
        <v>29</v>
      </c>
      <c r="E223" s="51">
        <v>1</v>
      </c>
      <c r="F223" s="51"/>
      <c r="G223" s="51"/>
      <c r="H223" s="51"/>
      <c r="I223" s="53">
        <f t="shared" si="8"/>
        <v>8.1999999999999993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0">
        <v>40</v>
      </c>
      <c r="B224" s="259">
        <v>235</v>
      </c>
      <c r="C224" s="259">
        <v>7</v>
      </c>
      <c r="D224" s="259">
        <v>30</v>
      </c>
      <c r="E224" s="51">
        <v>1</v>
      </c>
      <c r="F224" s="51"/>
      <c r="G224" s="51"/>
      <c r="H224" s="51"/>
      <c r="I224" s="53">
        <f t="shared" si="8"/>
        <v>8.4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0">
        <v>45</v>
      </c>
      <c r="B225" s="50">
        <v>243</v>
      </c>
      <c r="C225" s="50">
        <v>8</v>
      </c>
      <c r="D225" s="50">
        <v>30</v>
      </c>
      <c r="E225" s="51">
        <v>1</v>
      </c>
      <c r="F225" s="51"/>
      <c r="G225" s="51"/>
      <c r="H225" s="51"/>
      <c r="I225" s="53">
        <f t="shared" si="8"/>
        <v>7.6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0">
        <v>50</v>
      </c>
      <c r="B226" s="50">
        <v>249</v>
      </c>
      <c r="C226" s="50">
        <v>9</v>
      </c>
      <c r="D226" s="50">
        <v>30</v>
      </c>
      <c r="E226" s="51">
        <v>1</v>
      </c>
      <c r="F226" s="51"/>
      <c r="G226" s="51"/>
      <c r="H226" s="51"/>
      <c r="I226" s="53">
        <f t="shared" si="8"/>
        <v>7.2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0">
        <v>55</v>
      </c>
      <c r="B227" s="50">
        <v>254</v>
      </c>
      <c r="C227" s="50">
        <v>10</v>
      </c>
      <c r="D227" s="50">
        <v>30</v>
      </c>
      <c r="E227" s="51">
        <v>1</v>
      </c>
      <c r="F227" s="51"/>
      <c r="G227" s="51"/>
      <c r="H227" s="51"/>
      <c r="I227" s="53">
        <f t="shared" si="8"/>
        <v>7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0">
        <v>60</v>
      </c>
      <c r="B228" s="50">
        <v>257</v>
      </c>
      <c r="C228" s="50">
        <v>11</v>
      </c>
      <c r="D228" s="50">
        <v>29</v>
      </c>
      <c r="E228" s="51">
        <v>1</v>
      </c>
      <c r="F228" s="51"/>
      <c r="G228" s="51"/>
      <c r="H228" s="51"/>
      <c r="I228" s="53">
        <f t="shared" si="8"/>
        <v>6.6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0">
        <v>65</v>
      </c>
      <c r="B229" s="50">
        <v>261</v>
      </c>
      <c r="C229" s="50">
        <v>12</v>
      </c>
      <c r="D229" s="50">
        <v>29</v>
      </c>
      <c r="E229" s="51">
        <v>1</v>
      </c>
      <c r="F229" s="51"/>
      <c r="G229" s="51"/>
      <c r="H229" s="51"/>
      <c r="I229" s="53">
        <f t="shared" si="8"/>
        <v>6.6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253">
        <v>70</v>
      </c>
      <c r="B230" s="255">
        <v>263</v>
      </c>
      <c r="C230" s="253">
        <v>13</v>
      </c>
      <c r="D230" s="255">
        <v>28</v>
      </c>
      <c r="E230" s="254">
        <v>1</v>
      </c>
      <c r="F230" s="254"/>
      <c r="G230" s="254"/>
      <c r="H230" s="254"/>
      <c r="I230" s="53">
        <f t="shared" si="8"/>
        <v>6.2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253">
        <v>75</v>
      </c>
      <c r="B231" s="255">
        <v>264</v>
      </c>
      <c r="C231" s="253">
        <v>14</v>
      </c>
      <c r="D231" s="255">
        <v>27</v>
      </c>
      <c r="E231" s="254">
        <v>1</v>
      </c>
      <c r="F231" s="254"/>
      <c r="G231" s="254"/>
      <c r="H231" s="254"/>
      <c r="I231" s="53">
        <f t="shared" si="8"/>
        <v>5.8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255">
        <v>80</v>
      </c>
      <c r="B232" s="255">
        <v>265</v>
      </c>
      <c r="C232" s="255">
        <v>15</v>
      </c>
      <c r="D232" s="255">
        <v>26</v>
      </c>
      <c r="E232" s="254">
        <v>1</v>
      </c>
      <c r="F232" s="254"/>
      <c r="G232" s="254"/>
      <c r="H232" s="254"/>
      <c r="I232" s="53">
        <f t="shared" si="8"/>
        <v>5.6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>
        <v>85</v>
      </c>
      <c r="B233" s="50">
        <v>266</v>
      </c>
      <c r="C233" s="50">
        <v>16</v>
      </c>
      <c r="D233" s="50">
        <v>25</v>
      </c>
      <c r="E233" s="54">
        <v>1</v>
      </c>
      <c r="F233" s="54"/>
      <c r="G233" s="54"/>
      <c r="H233" s="54"/>
      <c r="I233" s="53">
        <f t="shared" si="8"/>
        <v>5.4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>
        <v>90</v>
      </c>
      <c r="B234" s="50">
        <v>267</v>
      </c>
      <c r="C234" s="50">
        <v>17</v>
      </c>
      <c r="D234" s="50">
        <v>24</v>
      </c>
      <c r="E234" s="54">
        <v>1</v>
      </c>
      <c r="F234" s="54"/>
      <c r="G234" s="54"/>
      <c r="H234" s="54"/>
      <c r="I234" s="53">
        <f t="shared" si="8"/>
        <v>5.2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>
        <v>95</v>
      </c>
      <c r="B235" s="50">
        <v>267</v>
      </c>
      <c r="C235" s="50">
        <v>18</v>
      </c>
      <c r="D235" s="50">
        <v>23</v>
      </c>
      <c r="E235" s="54">
        <v>1</v>
      </c>
      <c r="F235" s="54"/>
      <c r="G235" s="54"/>
      <c r="H235" s="54"/>
      <c r="I235" s="53">
        <f t="shared" si="8"/>
        <v>4.8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>
        <v>100</v>
      </c>
      <c r="B236" s="50">
        <v>267</v>
      </c>
      <c r="C236" s="50">
        <v>19</v>
      </c>
      <c r="D236" s="50">
        <v>22</v>
      </c>
      <c r="E236" s="54">
        <v>1</v>
      </c>
      <c r="F236" s="54"/>
      <c r="G236" s="54"/>
      <c r="H236" s="54"/>
      <c r="I236" s="53">
        <f t="shared" si="8"/>
        <v>4.5999999999999996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>
        <v>105</v>
      </c>
      <c r="B237" s="50">
        <v>267</v>
      </c>
      <c r="C237" s="50">
        <v>20</v>
      </c>
      <c r="D237" s="50">
        <v>21</v>
      </c>
      <c r="E237" s="54">
        <v>1</v>
      </c>
      <c r="F237" s="54"/>
      <c r="G237" s="54"/>
      <c r="H237" s="54"/>
      <c r="I237" s="53">
        <f t="shared" si="8"/>
        <v>4.4000000000000004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Alisier torminal</v>
      </c>
      <c r="D240" s="225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2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3" t="s">
        <v>185</v>
      </c>
      <c r="C242" s="270" t="s">
        <v>186</v>
      </c>
      <c r="D242" s="270"/>
      <c r="E242" s="271" t="s">
        <v>187</v>
      </c>
      <c r="F242" s="272"/>
      <c r="G242" s="272"/>
      <c r="H242" s="273"/>
      <c r="I242" s="91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255">
        <v>10</v>
      </c>
      <c r="B244" s="255">
        <v>11</v>
      </c>
      <c r="C244" s="255"/>
      <c r="D244" s="255"/>
      <c r="E244" s="254"/>
      <c r="F244" s="254"/>
      <c r="G244" s="254"/>
      <c r="H244" s="254">
        <v>1</v>
      </c>
      <c r="I244" s="53">
        <f>IFERROR(B244/A244,"")</f>
        <v>1.1000000000000001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255">
        <v>15</v>
      </c>
      <c r="B245" s="255">
        <v>65</v>
      </c>
      <c r="C245" s="255">
        <v>1</v>
      </c>
      <c r="D245" s="255">
        <v>32</v>
      </c>
      <c r="E245" s="254"/>
      <c r="F245" s="254"/>
      <c r="G245" s="254"/>
      <c r="H245" s="254">
        <v>1</v>
      </c>
      <c r="I245" s="53">
        <f>IF(A245&lt;&gt;0,(B245-(B244-D244))/(A245-A244),"")</f>
        <v>10.8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255">
        <v>20</v>
      </c>
      <c r="B246" s="255">
        <v>102</v>
      </c>
      <c r="C246" s="255">
        <v>2</v>
      </c>
      <c r="D246" s="255">
        <v>35</v>
      </c>
      <c r="E246" s="254"/>
      <c r="F246" s="254"/>
      <c r="G246" s="254"/>
      <c r="H246" s="254">
        <v>1</v>
      </c>
      <c r="I246" s="53">
        <f>IF(A246&lt;&gt;0,(B246-(B245-D245))/(A246-A245),"")</f>
        <v>13.8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255">
        <v>25</v>
      </c>
      <c r="B247" s="255">
        <v>141</v>
      </c>
      <c r="C247" s="255">
        <v>3</v>
      </c>
      <c r="D247" s="255">
        <v>35</v>
      </c>
      <c r="E247" s="254"/>
      <c r="F247" s="254"/>
      <c r="G247" s="254"/>
      <c r="H247" s="254">
        <v>1</v>
      </c>
      <c r="I247" s="53">
        <f t="shared" ref="I247:I263" si="9">IF(A247&lt;&gt;0,(B247-(B246-D246))/(A247-A246),"")</f>
        <v>14.8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255">
        <v>30</v>
      </c>
      <c r="B248" s="255">
        <v>177</v>
      </c>
      <c r="C248" s="255">
        <v>4</v>
      </c>
      <c r="D248" s="255">
        <v>35</v>
      </c>
      <c r="E248" s="254"/>
      <c r="F248" s="254"/>
      <c r="G248" s="254"/>
      <c r="H248" s="254">
        <v>1</v>
      </c>
      <c r="I248" s="53">
        <f t="shared" si="9"/>
        <v>14.2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255">
        <v>35</v>
      </c>
      <c r="B249" s="255">
        <v>206</v>
      </c>
      <c r="C249" s="255">
        <v>5</v>
      </c>
      <c r="D249" s="255">
        <v>35</v>
      </c>
      <c r="E249" s="254">
        <v>1</v>
      </c>
      <c r="F249" s="254"/>
      <c r="G249" s="254"/>
      <c r="H249" s="254"/>
      <c r="I249" s="53">
        <f t="shared" si="9"/>
        <v>12.8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255">
        <v>40</v>
      </c>
      <c r="B250" s="255">
        <v>228</v>
      </c>
      <c r="C250" s="255">
        <v>6</v>
      </c>
      <c r="D250" s="255">
        <v>35</v>
      </c>
      <c r="E250" s="254">
        <v>1</v>
      </c>
      <c r="F250" s="254"/>
      <c r="G250" s="254"/>
      <c r="H250" s="254"/>
      <c r="I250" s="53">
        <f t="shared" si="9"/>
        <v>11.4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255">
        <v>45</v>
      </c>
      <c r="B251" s="255">
        <v>242</v>
      </c>
      <c r="C251" s="255">
        <v>7</v>
      </c>
      <c r="D251" s="255">
        <v>24</v>
      </c>
      <c r="E251" s="254">
        <v>1</v>
      </c>
      <c r="F251" s="254"/>
      <c r="G251" s="254"/>
      <c r="H251" s="254"/>
      <c r="I251" s="53">
        <f t="shared" si="9"/>
        <v>9.8000000000000007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255">
        <v>50</v>
      </c>
      <c r="B252" s="255">
        <v>261</v>
      </c>
      <c r="C252" s="255">
        <v>8</v>
      </c>
      <c r="D252" s="255">
        <v>19</v>
      </c>
      <c r="E252" s="254">
        <v>1</v>
      </c>
      <c r="F252" s="254"/>
      <c r="G252" s="254"/>
      <c r="H252" s="254"/>
      <c r="I252" s="53">
        <f t="shared" si="9"/>
        <v>8.6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255">
        <v>55</v>
      </c>
      <c r="B253" s="255">
        <v>279</v>
      </c>
      <c r="C253" s="255">
        <v>9</v>
      </c>
      <c r="D253" s="255">
        <v>16</v>
      </c>
      <c r="E253" s="254">
        <v>1</v>
      </c>
      <c r="F253" s="254"/>
      <c r="G253" s="254"/>
      <c r="H253" s="254"/>
      <c r="I253" s="53">
        <f t="shared" si="9"/>
        <v>7.4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255">
        <v>60</v>
      </c>
      <c r="B254" s="255">
        <v>294</v>
      </c>
      <c r="C254" s="255">
        <v>10</v>
      </c>
      <c r="D254" s="255">
        <v>14</v>
      </c>
      <c r="E254" s="254">
        <v>1</v>
      </c>
      <c r="F254" s="254"/>
      <c r="G254" s="254"/>
      <c r="H254" s="254"/>
      <c r="I254" s="53">
        <f t="shared" si="9"/>
        <v>6.2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255">
        <v>65</v>
      </c>
      <c r="B255" s="255">
        <v>306</v>
      </c>
      <c r="C255" s="255">
        <v>11</v>
      </c>
      <c r="D255" s="255">
        <v>13</v>
      </c>
      <c r="E255" s="254">
        <v>1</v>
      </c>
      <c r="F255" s="254"/>
      <c r="G255" s="254"/>
      <c r="H255" s="254"/>
      <c r="I255" s="53">
        <f t="shared" si="9"/>
        <v>5.2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255">
        <v>70</v>
      </c>
      <c r="B256" s="255">
        <v>316</v>
      </c>
      <c r="C256" s="255">
        <v>12</v>
      </c>
      <c r="D256" s="255">
        <v>13</v>
      </c>
      <c r="E256" s="254">
        <v>1</v>
      </c>
      <c r="F256" s="254"/>
      <c r="G256" s="254"/>
      <c r="H256" s="254"/>
      <c r="I256" s="53">
        <f t="shared" si="9"/>
        <v>4.5999999999999996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50">
        <v>75</v>
      </c>
      <c r="B257" s="50">
        <v>324</v>
      </c>
      <c r="C257" s="50">
        <v>13</v>
      </c>
      <c r="D257" s="50">
        <v>12</v>
      </c>
      <c r="E257" s="51">
        <v>1</v>
      </c>
      <c r="F257" s="51"/>
      <c r="G257" s="51"/>
      <c r="H257" s="54"/>
      <c r="I257" s="53">
        <f t="shared" si="9"/>
        <v>4.2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80</v>
      </c>
      <c r="B258" s="50">
        <v>330</v>
      </c>
      <c r="C258" s="50">
        <v>14</v>
      </c>
      <c r="D258" s="50">
        <v>11</v>
      </c>
      <c r="E258" s="54">
        <v>1</v>
      </c>
      <c r="F258" s="54"/>
      <c r="G258" s="54"/>
      <c r="H258" s="54"/>
      <c r="I258" s="53">
        <f t="shared" si="9"/>
        <v>3.6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Peuplier Robusta</v>
      </c>
      <c r="D266" s="225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2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3" t="s">
        <v>185</v>
      </c>
      <c r="C268" s="270" t="s">
        <v>186</v>
      </c>
      <c r="D268" s="270"/>
      <c r="E268" s="271" t="s">
        <v>187</v>
      </c>
      <c r="F268" s="272"/>
      <c r="G268" s="272"/>
      <c r="H268" s="273"/>
      <c r="I268" s="91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4</v>
      </c>
      <c r="B270" s="259">
        <v>2.5641025641025639</v>
      </c>
      <c r="C270" s="259"/>
      <c r="D270" s="259"/>
      <c r="E270" s="51"/>
      <c r="F270" s="51"/>
      <c r="G270" s="51"/>
      <c r="H270" s="51"/>
      <c r="I270" s="53">
        <f>IFERROR(B270/A270,"")</f>
        <v>0.64102564102564097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9</v>
      </c>
      <c r="B271" s="259">
        <v>143.58974358974359</v>
      </c>
      <c r="C271" s="259"/>
      <c r="D271" s="259"/>
      <c r="E271" s="51"/>
      <c r="F271" s="51"/>
      <c r="G271" s="51"/>
      <c r="H271" s="51"/>
      <c r="I271" s="53">
        <f>IF(A271&lt;&gt;0,(B271-(B270-D270))/(A271-A270),"")</f>
        <v>28.205128205128204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14</v>
      </c>
      <c r="B272" s="259">
        <v>297.4358974358974</v>
      </c>
      <c r="C272" s="259"/>
      <c r="D272" s="259"/>
      <c r="E272" s="51"/>
      <c r="F272" s="51"/>
      <c r="G272" s="51"/>
      <c r="H272" s="51"/>
      <c r="I272" s="53">
        <f t="shared" ref="I272:I289" si="10">IF(A272&lt;&gt;0,(B272-(B271-D271))/(A272-A271),"")</f>
        <v>30.769230769230763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19</v>
      </c>
      <c r="B273" s="259">
        <v>303.84615384615381</v>
      </c>
      <c r="C273" s="259"/>
      <c r="D273" s="259"/>
      <c r="E273" s="51"/>
      <c r="F273" s="51"/>
      <c r="G273" s="51"/>
      <c r="H273" s="51"/>
      <c r="I273" s="53">
        <f t="shared" si="10"/>
        <v>1.2820512820512817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24</v>
      </c>
      <c r="B274" s="259">
        <v>319.87179487179486</v>
      </c>
      <c r="C274" s="259" t="s">
        <v>328</v>
      </c>
      <c r="D274" s="259">
        <v>319.87179487179486</v>
      </c>
      <c r="E274" s="51">
        <v>0.77</v>
      </c>
      <c r="F274" s="51">
        <v>0.21</v>
      </c>
      <c r="G274" s="51">
        <v>0</v>
      </c>
      <c r="H274" s="51">
        <v>0</v>
      </c>
      <c r="I274" s="53">
        <f t="shared" si="10"/>
        <v>3.2051282051282102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259"/>
      <c r="C275" s="259"/>
      <c r="D275" s="259"/>
      <c r="E275" s="51"/>
      <c r="F275" s="51"/>
      <c r="G275" s="51"/>
      <c r="H275" s="62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259"/>
      <c r="C276" s="259"/>
      <c r="D276" s="259"/>
      <c r="E276" s="51"/>
      <c r="F276" s="51"/>
      <c r="G276" s="51"/>
      <c r="H276" s="62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0"/>
      <c r="B277" s="50"/>
      <c r="C277" s="50"/>
      <c r="D277" s="50"/>
      <c r="E277" s="51"/>
      <c r="F277" s="51"/>
      <c r="G277" s="51"/>
      <c r="H277" s="62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0"/>
      <c r="B278" s="50"/>
      <c r="C278" s="50"/>
      <c r="D278" s="50"/>
      <c r="E278" s="51"/>
      <c r="F278" s="51"/>
      <c r="G278" s="51"/>
      <c r="H278" s="62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0"/>
      <c r="B279" s="50"/>
      <c r="C279" s="50"/>
      <c r="D279" s="50"/>
      <c r="E279" s="51"/>
      <c r="F279" s="51"/>
      <c r="G279" s="51"/>
      <c r="H279" s="62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0"/>
      <c r="B280" s="50"/>
      <c r="C280" s="50"/>
      <c r="D280" s="50"/>
      <c r="E280" s="51"/>
      <c r="F280" s="51"/>
      <c r="G280" s="51"/>
      <c r="H280" s="62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0"/>
      <c r="B281" s="50"/>
      <c r="C281" s="50"/>
      <c r="D281" s="50"/>
      <c r="E281" s="51"/>
      <c r="F281" s="51"/>
      <c r="G281" s="51"/>
      <c r="H281" s="62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0"/>
      <c r="B282" s="50"/>
      <c r="C282" s="50"/>
      <c r="D282" s="50"/>
      <c r="E282" s="51"/>
      <c r="F282" s="51"/>
      <c r="G282" s="51"/>
      <c r="H282" s="63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50"/>
      <c r="B283" s="50"/>
      <c r="C283" s="50"/>
      <c r="D283" s="50"/>
      <c r="E283" s="51"/>
      <c r="F283" s="51"/>
      <c r="G283" s="51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C29" sqref="C2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3"/>
      <c r="K1" s="9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3" t="s">
        <v>191</v>
      </c>
      <c r="C2" s="284"/>
      <c r="D2" s="284"/>
      <c r="E2" s="284"/>
      <c r="F2" s="284"/>
      <c r="G2" s="28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2"/>
      <c r="C4" s="282"/>
      <c r="D4" s="282"/>
      <c r="E4" s="282"/>
      <c r="F4" s="282"/>
      <c r="G4" s="28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4" t="s">
        <v>296</v>
      </c>
      <c r="C5" s="94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3"/>
      <c r="C6" s="21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5"/>
      <c r="B7" s="26" t="s">
        <v>295</v>
      </c>
      <c r="C7" s="96" t="s">
        <v>214</v>
      </c>
      <c r="D7" s="211"/>
      <c r="E7" s="97"/>
      <c r="F7" s="26" t="s">
        <v>295</v>
      </c>
      <c r="G7" s="96" t="s">
        <v>215</v>
      </c>
      <c r="H7" s="212"/>
      <c r="I7" s="212"/>
      <c r="J7" s="212"/>
      <c r="K7" s="212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</row>
    <row r="8" spans="1:38" ht="17.25" customHeight="1" x14ac:dyDescent="0.3">
      <c r="A8" s="101">
        <v>1</v>
      </c>
      <c r="B8" s="60">
        <v>1</v>
      </c>
      <c r="C8" s="49" t="s">
        <v>177</v>
      </c>
      <c r="D8" s="23"/>
      <c r="E8" s="101">
        <v>4</v>
      </c>
      <c r="F8" s="60">
        <v>0</v>
      </c>
      <c r="G8" s="98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1">
        <v>2</v>
      </c>
      <c r="B9" s="60">
        <v>0</v>
      </c>
      <c r="C9" s="104" t="s">
        <v>216</v>
      </c>
      <c r="D9" s="23"/>
      <c r="E9" s="101">
        <v>5</v>
      </c>
      <c r="F9" s="60">
        <v>0</v>
      </c>
      <c r="G9" s="99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1">
        <v>3</v>
      </c>
      <c r="B10" s="60">
        <v>0</v>
      </c>
      <c r="C10" s="105" t="s">
        <v>217</v>
      </c>
      <c r="D10" s="23"/>
      <c r="E10" s="4"/>
      <c r="F10" s="102">
        <f>SUM(F7:F9)</f>
        <v>0</v>
      </c>
      <c r="G10" s="100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2">
        <v>0</v>
      </c>
      <c r="C11" s="100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2"/>
      <c r="B13" s="103"/>
      <c r="C13" s="94" t="s">
        <v>273</v>
      </c>
      <c r="D13" s="212"/>
      <c r="E13" s="95"/>
      <c r="F13" s="103"/>
      <c r="G13" s="94" t="s">
        <v>301</v>
      </c>
      <c r="H13" s="212"/>
      <c r="I13" s="212"/>
      <c r="J13" s="212"/>
      <c r="K13" s="212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</row>
    <row r="14" spans="1:38" s="3" customFormat="1" ht="21" customHeight="1" x14ac:dyDescent="0.3">
      <c r="A14" s="212"/>
      <c r="B14" s="103"/>
      <c r="C14" s="94" t="s">
        <v>309</v>
      </c>
      <c r="D14" s="212"/>
      <c r="E14" s="95"/>
      <c r="F14" s="103"/>
      <c r="G14" s="94" t="s">
        <v>294</v>
      </c>
      <c r="H14" s="212"/>
      <c r="I14" s="212"/>
      <c r="J14" s="212"/>
      <c r="K14" s="212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0">
        <v>0.28000000000000003</v>
      </c>
      <c r="C16" s="106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0">
        <v>0.72</v>
      </c>
      <c r="C17" s="106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0">
        <v>0</v>
      </c>
      <c r="C18" s="106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2">
        <f>SUM(B16:B18)</f>
        <v>1</v>
      </c>
      <c r="C19" s="100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9" t="s">
        <v>176</v>
      </c>
      <c r="C1" s="290"/>
      <c r="D1" s="290"/>
      <c r="E1" s="290"/>
      <c r="F1" s="290"/>
      <c r="G1" s="290"/>
      <c r="H1" s="291"/>
      <c r="I1" s="286" t="str">
        <f>IF('Données projet'!$B$9="","",'Données projet'!$B$9)</f>
        <v>Erable plane</v>
      </c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8"/>
      <c r="AD1" s="287" t="str">
        <f>IF('Données projet'!$B$10="","",'Données projet'!$B$10)</f>
        <v>Chêne sessile</v>
      </c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8"/>
      <c r="AY1" s="286" t="str">
        <f>IF('Données projet'!$B$11="","",'Données projet'!$B$11)</f>
        <v>Hêtre</v>
      </c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8"/>
      <c r="BT1" s="286" t="str">
        <f>IF('Données projet'!$B$12="","",'Données projet'!$B$12)</f>
        <v>Châtaignier</v>
      </c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8"/>
      <c r="CO1" s="286" t="str">
        <f>IF('Données projet'!$B$13="","",'Données projet'!$B$13)</f>
        <v>Chêne rouge d'Amérique</v>
      </c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8"/>
      <c r="DJ1" s="286" t="str">
        <f>IF('Données projet'!$B$14="","",'Données projet'!$B$14)</f>
        <v>Merisier</v>
      </c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8"/>
      <c r="EE1" s="286" t="str">
        <f>IF('Données projet'!$B$15="","",'Données projet'!$B$15)</f>
        <v>Tilleul</v>
      </c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8"/>
      <c r="EZ1" s="286" t="str">
        <f>IF('Données projet'!$B$16="","",'Données projet'!$B$16)</f>
        <v>Charme</v>
      </c>
      <c r="FA1" s="287"/>
      <c r="FB1" s="287"/>
      <c r="FC1" s="287"/>
      <c r="FD1" s="287"/>
      <c r="FE1" s="287"/>
      <c r="FF1" s="287"/>
      <c r="FG1" s="287"/>
      <c r="FH1" s="287"/>
      <c r="FI1" s="287"/>
      <c r="FJ1" s="287"/>
      <c r="FK1" s="287"/>
      <c r="FL1" s="287"/>
      <c r="FM1" s="287"/>
      <c r="FN1" s="287"/>
      <c r="FO1" s="287"/>
      <c r="FP1" s="287"/>
      <c r="FQ1" s="287"/>
      <c r="FR1" s="287"/>
      <c r="FS1" s="287"/>
      <c r="FT1" s="288"/>
      <c r="FU1" s="286" t="str">
        <f>IF('Données projet'!$B$17="","",'Données projet'!$B$17)</f>
        <v>Alisier torminal</v>
      </c>
      <c r="FV1" s="287"/>
      <c r="FW1" s="287"/>
      <c r="FX1" s="287"/>
      <c r="FY1" s="287"/>
      <c r="FZ1" s="287"/>
      <c r="GA1" s="287"/>
      <c r="GB1" s="287"/>
      <c r="GC1" s="287"/>
      <c r="GD1" s="287"/>
      <c r="GE1" s="287"/>
      <c r="GF1" s="287"/>
      <c r="GG1" s="287"/>
      <c r="GH1" s="287"/>
      <c r="GI1" s="287"/>
      <c r="GJ1" s="287"/>
      <c r="GK1" s="287"/>
      <c r="GL1" s="287"/>
      <c r="GM1" s="287"/>
      <c r="GN1" s="287"/>
      <c r="GO1" s="288"/>
      <c r="GP1" s="286" t="str">
        <f>IF('Données projet'!$B$18="","",'Données projet'!$B$18)</f>
        <v>Peuplier Robusta</v>
      </c>
      <c r="GQ1" s="287"/>
      <c r="GR1" s="287"/>
      <c r="GS1" s="287"/>
      <c r="GT1" s="287"/>
      <c r="GU1" s="287"/>
      <c r="GV1" s="287"/>
      <c r="GW1" s="287"/>
      <c r="GX1" s="287"/>
      <c r="GY1" s="287"/>
      <c r="GZ1" s="287"/>
      <c r="HA1" s="287"/>
      <c r="HB1" s="287"/>
      <c r="HC1" s="287"/>
      <c r="HD1" s="287"/>
      <c r="HE1" s="287"/>
      <c r="HF1" s="287"/>
      <c r="HG1" s="287"/>
      <c r="HH1" s="287"/>
      <c r="HI1" s="287"/>
      <c r="HJ1" s="288"/>
    </row>
    <row r="2" spans="1:218" ht="58.2" thickBot="1" x14ac:dyDescent="0.35">
      <c r="A2" s="69" t="s">
        <v>178</v>
      </c>
      <c r="B2" s="70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4" t="s">
        <v>299</v>
      </c>
      <c r="I2" s="66" t="s">
        <v>298</v>
      </c>
      <c r="J2" s="67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7" t="s">
        <v>298</v>
      </c>
      <c r="AE2" s="67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6" t="s">
        <v>298</v>
      </c>
      <c r="AZ2" s="67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6" t="s">
        <v>298</v>
      </c>
      <c r="BU2" s="67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6" t="s">
        <v>298</v>
      </c>
      <c r="CP2" s="67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6" t="s">
        <v>298</v>
      </c>
      <c r="DK2" s="67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6" t="s">
        <v>298</v>
      </c>
      <c r="EF2" s="67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6" t="s">
        <v>298</v>
      </c>
      <c r="FA2" s="67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6" t="s">
        <v>298</v>
      </c>
      <c r="FV2" s="67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6" t="s">
        <v>298</v>
      </c>
      <c r="GQ2" s="67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1">
        <f>'Scénario référence'!$B$16*5+'Scénario référence'!$B$17*0+'Scénario référence'!$B$18*5</f>
        <v>1.4000000000000001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5.1333333333333337</v>
      </c>
      <c r="H3" s="65">
        <f>(B3+E3+F3)*44/12+(C3+D3)*0.475*44/12</f>
        <v>236.13333333333335</v>
      </c>
      <c r="I3" s="6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231</v>
      </c>
      <c r="S3" s="59">
        <f ca="1">AVERAGE(OFFSET($R$3,0,0,'Données projet'!$E$9+1,1))-AVERAGE(OFFSET($H$3,0,0,'Données projet'!$E$9+1,1))</f>
        <v>360.06385535620069</v>
      </c>
      <c r="T3" s="59">
        <f>IF('Données projet'!E9&gt;30,$R$33-$H$33,LOOKUP('Données projet'!$E$9,$A$3:$A$203,R3:R203)-LOOKUP('Données projet'!$E$9,$A$3:$A$203,$H$3:$H$203))</f>
        <v>350.82516032456408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231</v>
      </c>
      <c r="AN3" s="59">
        <f ca="1">AVERAGE(OFFSET($AM$3,0,0,'Données projet'!$E$10+1,1))-AVERAGE(OFFSET($H$3,0,0,'Données projet'!$E$10+1,1))</f>
        <v>448.65237942538027</v>
      </c>
      <c r="AO3" s="59">
        <f>IF('Données projet'!E10&gt;30,$AM$33-$H$33,LOOKUP('Données projet'!$E$10,$A$3:$A$203,AM3:AM203)-LOOKUP('Données projet'!$E$10,$A$3:$A$203,$H$3:$H$203))</f>
        <v>283.56749129825107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231</v>
      </c>
      <c r="BI3" s="59">
        <f ca="1">AVERAGE(OFFSET($BH$3,0,0,'Données projet'!$E$11+1,1))-AVERAGE(OFFSET($H$3,0,0,'Données projet'!$E$11+1,1))</f>
        <v>456.76871853389395</v>
      </c>
      <c r="BJ3" s="59">
        <f>IF('Données projet'!E11&gt;30,$BH$33-$H$33,LOOKUP('Données projet'!$E$11,$A$3:$A$203,BH3:BH203)-LOOKUP('Données projet'!$E$11,$A$3:$A$203,$H$3:$H$203))</f>
        <v>262.12425810289176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231</v>
      </c>
      <c r="CD3" s="59">
        <f ca="1">AVERAGE(OFFSET($CC$3,0,0,'Données projet'!$E$12+1,1))-AVERAGE(OFFSET($H$3,0,0,'Données projet'!$E$12+1,1))</f>
        <v>242.65851607945316</v>
      </c>
      <c r="CE3" s="59">
        <f>IF('Données projet'!E12&gt;30,$CC$33-$H$33,LOOKUP('Données projet'!$E$12,$A$3:$A$203,CC3:CC203)-LOOKUP('Données projet'!$E$12,$A$3:$A$203,$H$3:$H$203))</f>
        <v>218.9349999985487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231</v>
      </c>
      <c r="CY3" s="59">
        <f ca="1">AVERAGE(OFFSET($CX$3,0,0,'Données projet'!$E$13+1,1))-AVERAGE(OFFSET($H$3,0,0,'Données projet'!$E$13+1,1))</f>
        <v>326.9460696675867</v>
      </c>
      <c r="CZ3" s="59">
        <f>IF('Données projet'!E13&gt;30,$CX$33-$H$33,LOOKUP('Données projet'!$E$13,$A$3:$A$203,CX3:CX203)-LOOKUP('Données projet'!$E$13,$A$3:$A$203,$H$3:$H$203))</f>
        <v>393.4020374592568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231</v>
      </c>
      <c r="DT3" s="59">
        <f ca="1">AVERAGE(OFFSET($DS$3,0,0,'Données projet'!$E$14+1,1))-AVERAGE(OFFSET($H$3,0,0,'Données projet'!$E$14+1,1))</f>
        <v>364.34528546733799</v>
      </c>
      <c r="DU3" s="59">
        <f>IF('Données projet'!E14&gt;30,$DS$33-$H$33,LOOKUP('Données projet'!$E$14,$A$3:$A$203,DS3:DS203)-LOOKUP('Données projet'!$E$14,$A$3:$A$203,$H$3:$H$203))</f>
        <v>346.5839763411152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231</v>
      </c>
      <c r="EO3" s="59">
        <f ca="1">AVERAGE(OFFSET($EN$3,0,0,'Données projet'!$E$15+1,1))-AVERAGE(OFFSET($H$3,0,0,'Données projet'!$E$15+1,1))</f>
        <v>310.38232870602445</v>
      </c>
      <c r="EP3" s="59">
        <f>IF('Données projet'!E15&gt;30,$EN$33-$H$33,LOOKUP('Données projet'!$E$15,$A$3:$A$203,EN3:EN203)-LOOKUP('Données projet'!$E$15,$A$3:$A$203,$H$3:$H$203))</f>
        <v>303.45934457265537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231</v>
      </c>
      <c r="FJ3" s="59">
        <f ca="1">AVERAGE(OFFSET($FI$3,0,0,'Données projet'!$E$16+1,1))-AVERAGE(OFFSET($H$3,0,0,'Données projet'!$E$16+1,1))</f>
        <v>457.706832425622</v>
      </c>
      <c r="FK3" s="59">
        <f>IF('Données projet'!E16&gt;30,$FI$33-$H$33,LOOKUP('Données projet'!$E$16,$A$3:$A$203,FI3:FI203)-LOOKUP('Données projet'!$E$16,$A$3:$A$203,$H$3:$H$203))</f>
        <v>474.61768219844873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231</v>
      </c>
      <c r="GE3" s="59">
        <f ca="1">AVERAGE(OFFSET($GD$3,0,0,'Données projet'!$E$17+1,1))-AVERAGE(OFFSET($H$3,0,0,'Données projet'!$E$17+1,1))</f>
        <v>428.11167311086814</v>
      </c>
      <c r="GF3" s="59">
        <f>IF('Données projet'!E17&gt;30,$GD$33-$H$33,LOOKUP('Données projet'!$E$17,$A$3:$A$203,GD3:GD203)-LOOKUP('Données projet'!$E$17,$A$3:$A$203,$H$3:$H$203))</f>
        <v>415.69449942923609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231</v>
      </c>
      <c r="GZ3" s="59">
        <f ca="1">AVERAGE(OFFSET($GY$3,0,0,'Données projet'!$E$18+1,1))-AVERAGE(OFFSET($H$3,0,0,'Données projet'!$E$18+1,1))</f>
        <v>249.88816678272056</v>
      </c>
      <c r="HA3" s="59">
        <f>IF('Données projet'!E18&gt;30,$GY$33-$H$33,LOOKUP('Données projet'!$E$18,$A$3:$A$203,GY3:GY203)-LOOKUP('Données projet'!$E$18,$A$3:$A$203,$H$3:$H$203))</f>
        <v>432.10802787437319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1">
        <f>'Scénario référence'!$B$16*5+'Scénario référence'!$B$17*0+'Scénario référence'!$B$18*5</f>
        <v>1.4000000000000001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5.1333333333333337</v>
      </c>
      <c r="H4" s="65">
        <f t="shared" ref="H4:H67" si="1">(B4+E4+F4)*44/12+(C4+D4)*0.475*44/12</f>
        <v>236.13333333333335</v>
      </c>
      <c r="I4" s="6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1.1000000000000001</v>
      </c>
      <c r="N4" s="13">
        <f>IF('Données projet'!$A$36&gt;35,N3+M4-V3,IF(A4&lt;'Données projet'!$A$36,$K$205^A4,IF(A4='Données projet'!$A$36,'Données projet'!$B$36,N3+M4-V3)))</f>
        <v>1.2709816152101407</v>
      </c>
      <c r="O4" s="13">
        <f>N4*VLOOKUP('Données projet'!$B$9,Paramètres!$A$1:$I$89,3,0)*VLOOKUP('Données projet'!$B$9,Paramètres!$A$1:$I$89,5,0)</f>
        <v>1.0111929730611879</v>
      </c>
      <c r="P4" s="13">
        <f>EXP(-1.0587+0.8836*LN(O4)+0.284)</f>
        <v>0.46539683474213156</v>
      </c>
      <c r="Q4" s="20">
        <f t="shared" ref="Q4:Q34" si="2">(O4+P4)*0.475*44/12</f>
        <v>2.5717272485907814</v>
      </c>
      <c r="R4" s="59">
        <f t="shared" si="0"/>
        <v>235.23920875540946</v>
      </c>
      <c r="S4" s="59">
        <f ca="1">AVERAGE(OFFSET($R$3,0,0,'Données projet'!$E$9+1,1))-AVERAGE(OFFSET($H$3,0,0,'Données projet'!$E$9+1,1))</f>
        <v>360.06385535620069</v>
      </c>
      <c r="T4" s="59">
        <f>$T$3</f>
        <v>350.82516032456408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1.1212920291467359</v>
      </c>
      <c r="AK4" s="13">
        <f>EXP(-1.0587+0.8836*LN(AJ4)+0.284)</f>
        <v>0.50989827066551541</v>
      </c>
      <c r="AL4" s="20">
        <f t="shared" ref="AL4:AL67" si="4">(AJ4+AK4)*0.475*44/12</f>
        <v>2.8409897721730037</v>
      </c>
      <c r="AM4" s="59">
        <f t="shared" ref="AM4:AM67" si="5">AL4+(AD4+AE4)*44/12</f>
        <v>235.50847127899169</v>
      </c>
      <c r="AN4" s="59">
        <f ca="1">AVERAGE(OFFSET($AM$3,0,0,'Données projet'!$E$10+1,1))-AVERAGE(OFFSET($H$3,0,0,'Données projet'!$E$10+1,1))</f>
        <v>448.65237942538027</v>
      </c>
      <c r="AO4" s="59">
        <f>$AO$3</f>
        <v>283.56749129825107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1.189207115002721</v>
      </c>
      <c r="BE4" s="13">
        <f>BD4*VLOOKUP('Données projet'!$B$11,Paramètres!$A$1:$I$89,3,0)*VLOOKUP('Données projet'!$B$11,Paramètres!$A$1:$I$89,5,0)</f>
        <v>1.0203397046723348</v>
      </c>
      <c r="BF4" s="13">
        <f>EXP(-1.0587+0.8836*LN(BE4)+0.284)</f>
        <v>0.46911460970544039</v>
      </c>
      <c r="BG4" s="20">
        <f t="shared" ref="BG4:BG67" si="7">(BE4+BF4)*0.475*44/12</f>
        <v>2.594132930874625</v>
      </c>
      <c r="BH4" s="59">
        <f t="shared" ref="BH4:BH67" si="8">BG4+(AY4+AZ4)*44/12</f>
        <v>235.26161443769331</v>
      </c>
      <c r="BI4" s="59">
        <f ca="1">AVERAGE(OFFSET($BH$3,0,0,'Données projet'!$E$11+1,1))-AVERAGE(OFFSET($H$3,0,0,'Données projet'!$E$11+1,1))</f>
        <v>456.76871853389395</v>
      </c>
      <c r="BJ4" s="59">
        <f>$BJ$3</f>
        <v>262.12425810289176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11.5</v>
      </c>
      <c r="BY4" s="12">
        <f>IF('Données projet'!$A$114&gt;35,BY3+BX4-CG3,IF(A4&lt;'Données projet'!$A$114,$BV$205^A4,IF(A4='Données projet'!$A$114,'Données projet'!$B$114,BY3+BX4-CG3)))</f>
        <v>1.6071994829923506</v>
      </c>
      <c r="BZ4" s="13">
        <f>BY4*VLOOKUP('Données projet'!$B$12,Paramètres!$A$1:$I$89,3,0)*VLOOKUP('Données projet'!$B$12,Paramètres!$A$1:$I$89,5,0)</f>
        <v>1.1783986609299915</v>
      </c>
      <c r="CA4" s="13">
        <f>EXP(-1.0587+0.8836*LN(BZ4)+0.284)</f>
        <v>0.53277751568396181</v>
      </c>
      <c r="CB4" s="20">
        <f t="shared" ref="CB4:CB67" si="10">(BZ4+CA4)*0.475*44/12</f>
        <v>2.9802985076026349</v>
      </c>
      <c r="CC4" s="59">
        <f t="shared" ref="CC4:CC67" si="11">CB4+(BT4+BU4)*44/12</f>
        <v>235.64778001442133</v>
      </c>
      <c r="CD4" s="59">
        <f ca="1">AVERAGE(OFFSET($CC$3,0,0,'Données projet'!$E$12+1,1))-AVERAGE(OFFSET($H$3,0,0,'Données projet'!$E$12+1,1))</f>
        <v>242.65851607945316</v>
      </c>
      <c r="CE4" s="59">
        <f>$CE$3</f>
        <v>218.9349999985487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5.8</v>
      </c>
      <c r="CT4" s="12">
        <f>IF('Données projet'!$A$140&gt;35,CT3+CS4-DB3,IF(A4&lt;'Données projet'!$A$140,$CQ$205^A4,IF(A4='Données projet'!$A$140,'Données projet'!$B$140,CT3+CS4-DB3)))</f>
        <v>1.3467943429205997</v>
      </c>
      <c r="CU4" s="17">
        <f>CT4*VLOOKUP('Données projet'!$B$13,Paramètres!$A$1:$I$89,3,0)*VLOOKUP('Données projet'!$B$13,Paramètres!$A$1:$I$89,5,0)</f>
        <v>1.1765595379754361</v>
      </c>
      <c r="CV4" s="13">
        <f>EXP(-1.0587+0.8836*LN(CU4)+0.284)</f>
        <v>0.53204273185561757</v>
      </c>
      <c r="CW4" s="20">
        <f t="shared" ref="CW4:CW67" si="13">(CU4+CV4)*0.475*44/12</f>
        <v>2.9758156199557515</v>
      </c>
      <c r="CX4" s="59">
        <f t="shared" ref="CX4:CX67" si="14">CW4+(CO4+CP4)*44/12</f>
        <v>235.64329712677443</v>
      </c>
      <c r="CY4" s="59">
        <f ca="1">AVERAGE(OFFSET($CX$3,0,0,'Données projet'!$E$13+1,1))-AVERAGE(OFFSET($H$3,0,0,'Données projet'!$E$13+1,1))</f>
        <v>326.9460696675867</v>
      </c>
      <c r="CZ4" s="59">
        <f>$CZ$3</f>
        <v>393.4020374592568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5.85</v>
      </c>
      <c r="DO4" s="12">
        <f>IF('Données projet'!$A$166&gt;35,DO3+DN4-DW3,IF(A4&lt;'Données projet'!$A$166,$DL$205^A4,IF(A4='Données projet'!$A$166,'Données projet'!$B$166,DO3+DN4-DW3)))</f>
        <v>1.2688471048731957</v>
      </c>
      <c r="DP4" s="17">
        <f>DO4*VLOOKUP('Données projet'!$B$14,Paramètres!$A$1:$I$89,3,0)*VLOOKUP('Données projet'!$B$14,Paramètres!$A$1:$I$89,5,0)</f>
        <v>0.98970074180109269</v>
      </c>
      <c r="DQ4" s="13">
        <f>EXP(-1.0587+0.8836*LN(DP4)+0.284)</f>
        <v>0.45664563134517483</v>
      </c>
      <c r="DR4" s="20">
        <f t="shared" ref="DR4:DR67" si="16">(DP4+DQ4)*0.475*44/12</f>
        <v>2.5190532665630827</v>
      </c>
      <c r="DS4" s="59">
        <f t="shared" ref="DS4:DS67" si="17">DR4+(DJ4+DK4)*44/12</f>
        <v>235.18653477338177</v>
      </c>
      <c r="DT4" s="59">
        <f ca="1">AVERAGE(OFFSET($DS$3,0,0,'Données projet'!$E$14+1,1))-AVERAGE(OFFSET($H$3,0,0,'Données projet'!$E$14+1,1))</f>
        <v>364.34528546733799</v>
      </c>
      <c r="DU4" s="59">
        <f>$DU$3</f>
        <v>346.5839763411152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0.85257446748296239</v>
      </c>
      <c r="EL4" s="13">
        <f>EXP(-1.0587+0.8836*LN(EK4)+0.284)</f>
        <v>0.40026456574842817</v>
      </c>
      <c r="EM4" s="20">
        <f t="shared" ref="EM4:EM67" si="19">(EK4+EL4)*0.475*44/12</f>
        <v>2.1820279828780054</v>
      </c>
      <c r="EN4" s="59">
        <f t="shared" ref="EN4:EN67" si="20">EM4+(EE4+EF4)*44/12</f>
        <v>234.84950948969669</v>
      </c>
      <c r="EO4" s="59">
        <f ca="1">AVERAGE(OFFSET($EN$3,0,0,'Données projet'!$E$15+1,1))-AVERAGE(OFFSET($H$3,0,0,'Données projet'!$E$15+1,1))</f>
        <v>310.38232870602445</v>
      </c>
      <c r="EP4" s="59">
        <f>$EP$3</f>
        <v>303.45934457265537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6.7</v>
      </c>
      <c r="FE4" s="12">
        <f>IF('Données projet'!$A$218&gt;35,FE3+FD4-FM3,IF(A4&lt;'Données projet'!$A$218,$FB$205^A4,IF(A4='Données projet'!$A$218,'Données projet'!$B$218,FE3+FD4-FM3)))</f>
        <v>1.522675921848786</v>
      </c>
      <c r="FF4" s="17">
        <f>FE4*VLOOKUP('Données projet'!$B$16,Paramètres!$A$1:$I$89,3,0)*VLOOKUP('Données projet'!$B$16,Paramètres!$A$1:$I$89,5,0)</f>
        <v>1.4489784072313048</v>
      </c>
      <c r="FG4" s="13">
        <f>EXP(-1.0587+0.8836*LN(FF4)+0.284)</f>
        <v>0.63953802549588323</v>
      </c>
      <c r="FH4" s="20">
        <f t="shared" ref="FH4:FH67" si="22">(FF4+FG4)*0.475*44/12</f>
        <v>3.6374994536665191</v>
      </c>
      <c r="FI4" s="59">
        <f t="shared" ref="FI4:FI67" si="23">FH4+(EZ4+FA4)*44/12</f>
        <v>236.30498096048521</v>
      </c>
      <c r="FJ4" s="59">
        <f ca="1">AVERAGE(OFFSET($FI$3,0,0,'Données projet'!$E$16+1,1))-AVERAGE(OFFSET($H$3,0,0,'Données projet'!$E$16+1,1))</f>
        <v>457.706832425622</v>
      </c>
      <c r="FK4" s="59">
        <f>$FK$3</f>
        <v>474.61768219844873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1.1000000000000001</v>
      </c>
      <c r="FZ4" s="12">
        <f>IF('Données projet'!$A$244&gt;35,FZ3+FY4-GH3,IF(A4&lt;'Données projet'!$A$244,$FW$205^A4,IF(A4='Données projet'!$A$244,'Données projet'!$B$244,FZ3+FY4-GH3)))</f>
        <v>1.2709816152101407</v>
      </c>
      <c r="GA4" s="17">
        <f>FZ4*VLOOKUP('Données projet'!$B$17,Paramètres!$A$1:$I$89,3,0)*VLOOKUP('Données projet'!$B$17,Paramètres!$A$1:$I$89,5,0)</f>
        <v>1.2292934182312483</v>
      </c>
      <c r="GB4" s="13">
        <f>EXP(-1.0587+0.8836*LN(GA4)+0.284)</f>
        <v>0.55305931891112503</v>
      </c>
      <c r="GC4" s="20">
        <f t="shared" ref="GC4:GC67" si="25">(GA4+GB4)*0.475*44/12</f>
        <v>3.1042643505229663</v>
      </c>
      <c r="GD4" s="59">
        <f t="shared" ref="GD4:GD67" si="26">GC4+(FU4+FV4)*44/12</f>
        <v>235.77174585734164</v>
      </c>
      <c r="GE4" s="59">
        <f ca="1">AVERAGE(OFFSET($GD$3,0,0,'Données projet'!$E$17+1,1))-AVERAGE(OFFSET($H$3,0,0,'Données projet'!$E$17+1,1))</f>
        <v>428.11167311086814</v>
      </c>
      <c r="GF4" s="59">
        <f>$GF$3</f>
        <v>415.69449942923609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0.64102564102564097</v>
      </c>
      <c r="GU4" s="12">
        <f>IF('Données projet'!$A$270&gt;35,GU3+GT4-HC3,IF(A4&lt;'Données projet'!$A$270,$GR$205^A4,IF(A4='Données projet'!$A$270,'Données projet'!$B$270,GU3+GT4-HC3)))</f>
        <v>1.265417535065352</v>
      </c>
      <c r="GV4" s="17">
        <f>GU4*VLOOKUP('Données projet'!$B$18,Paramètres!$A$1:$I$89,3,0)*VLOOKUP('Données projet'!$B$18,Paramètres!$A$1:$I$89,5,0)</f>
        <v>0.72447684717561533</v>
      </c>
      <c r="GW4" s="13">
        <f>EXP(-1.0587+0.8836*LN(GV4)+0.284)</f>
        <v>0.34663285377955311</v>
      </c>
      <c r="GX4" s="20">
        <f t="shared" ref="GX4:GX67" si="28">(GV4+GW4)*0.475*44/12</f>
        <v>1.8655160624969183</v>
      </c>
      <c r="GY4" s="59">
        <f t="shared" ref="GY4:GY67" si="29">GX4+(GP4+GQ4)*44/12</f>
        <v>234.5329975693156</v>
      </c>
      <c r="GZ4" s="59">
        <f ca="1">AVERAGE(OFFSET($GY$3,0,0,'Données projet'!$E$18+1,1))-AVERAGE(OFFSET($H$3,0,0,'Données projet'!$E$18+1,1))</f>
        <v>249.88816678272056</v>
      </c>
      <c r="HA4" s="59">
        <f>$HA$3</f>
        <v>432.10802787437319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1">
        <f>'Scénario référence'!$B$16*5+'Scénario référence'!$B$17*0+'Scénario référence'!$B$18*5</f>
        <v>1.4000000000000001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5.1333333333333337</v>
      </c>
      <c r="H5" s="65">
        <f t="shared" si="1"/>
        <v>236.13333333333335</v>
      </c>
      <c r="I5" s="6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1.1000000000000001</v>
      </c>
      <c r="N5" s="13">
        <f>IF('Données projet'!$A$36&gt;35,N4+M5-V4,IF(A5&lt;'Données projet'!$A$36,$K$205^A5,IF(A5='Données projet'!$A$36,'Données projet'!$B$36,N4+M5-V4)))</f>
        <v>1.6153942662021783</v>
      </c>
      <c r="O5" s="13">
        <f>N5*VLOOKUP('Données projet'!$B$9,Paramètres!$A$1:$I$89,3,0)*VLOOKUP('Données projet'!$B$9,Paramètres!$A$1:$I$89,5,0)</f>
        <v>1.2852076781904531</v>
      </c>
      <c r="P5" s="13">
        <f t="shared" ref="P5:P68" si="33">EXP(-1.0587+0.8836*LN(O5)+0.284)</f>
        <v>0.57522914588482876</v>
      </c>
      <c r="Q5" s="20">
        <f t="shared" si="2"/>
        <v>3.2402608019311159</v>
      </c>
      <c r="R5" s="59">
        <f t="shared" si="0"/>
        <v>237.56749956243135</v>
      </c>
      <c r="S5" s="59">
        <f ca="1">AVERAGE(OFFSET($R$3,0,0,'Données projet'!$E$9+1,1))-AVERAGE(OFFSET($H$3,0,0,'Données projet'!$E$9+1,1))</f>
        <v>360.06385535620069</v>
      </c>
      <c r="T5" s="59">
        <f t="shared" ref="T5:T68" si="34">$T$3</f>
        <v>350.82516032456408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1.3895842336737447</v>
      </c>
      <c r="AK5" s="13">
        <f t="shared" ref="AK5:AK68" si="35">EXP(-1.0587+0.8836*LN(AJ5)+0.284)</f>
        <v>0.61631841327304715</v>
      </c>
      <c r="AL5" s="20">
        <f t="shared" si="4"/>
        <v>3.4936137767656628</v>
      </c>
      <c r="AM5" s="59">
        <f t="shared" si="5"/>
        <v>237.82085253726589</v>
      </c>
      <c r="AN5" s="59">
        <f ca="1">AVERAGE(OFFSET($AM$3,0,0,'Données projet'!$E$10+1,1))-AVERAGE(OFFSET($H$3,0,0,'Données projet'!$E$10+1,1))</f>
        <v>448.65237942538027</v>
      </c>
      <c r="AO5" s="59">
        <f t="shared" ref="AO5:AO68" si="36">$AO$3</f>
        <v>283.56749129825107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1.4142135623730949</v>
      </c>
      <c r="BE5" s="13">
        <f>BD5*VLOOKUP('Données projet'!$B$11,Paramètres!$A$1:$I$89,3,0)*VLOOKUP('Données projet'!$B$11,Paramètres!$A$1:$I$89,5,0)</f>
        <v>1.2133952365161156</v>
      </c>
      <c r="BF5" s="13">
        <f t="shared" ref="BF5:BF68" si="37">EXP(-1.0587+0.8836*LN(BE5)+0.284)</f>
        <v>0.54673450619692521</v>
      </c>
      <c r="BG5" s="20">
        <f t="shared" si="7"/>
        <v>3.0655593018918794</v>
      </c>
      <c r="BH5" s="59">
        <f t="shared" si="8"/>
        <v>237.3927980623921</v>
      </c>
      <c r="BI5" s="59">
        <f ca="1">AVERAGE(OFFSET($BH$3,0,0,'Données projet'!$E$11+1,1))-AVERAGE(OFFSET($H$3,0,0,'Données projet'!$E$11+1,1))</f>
        <v>456.76871853389395</v>
      </c>
      <c r="BJ5" s="59">
        <f t="shared" ref="BJ5:BJ68" si="38">$BJ$3</f>
        <v>262.12425810289176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11.5</v>
      </c>
      <c r="BY5" s="12">
        <f>IF('Données projet'!$A$114&gt;35,BY4+BX5-CG4,IF(A5&lt;'Données projet'!$A$114,$BV$205^A5,IF(A5='Données projet'!$A$114,'Données projet'!$B$114,BY4+BX5-CG4)))</f>
        <v>2.5830901781308793</v>
      </c>
      <c r="BZ5" s="13">
        <f>BY5*VLOOKUP('Données projet'!$B$12,Paramètres!$A$1:$I$89,3,0)*VLOOKUP('Données projet'!$B$12,Paramètres!$A$1:$I$89,5,0)</f>
        <v>1.8939217186055606</v>
      </c>
      <c r="CA5" s="13">
        <f t="shared" ref="CA5:CA68" si="39">EXP(-1.0587+0.8836*LN(BZ5)+0.284)</f>
        <v>0.81026886193479808</v>
      </c>
      <c r="CB5" s="20">
        <f t="shared" si="10"/>
        <v>4.709798594441124</v>
      </c>
      <c r="CC5" s="59">
        <f t="shared" si="11"/>
        <v>239.03703735494133</v>
      </c>
      <c r="CD5" s="59">
        <f ca="1">AVERAGE(OFFSET($CC$3,0,0,'Données projet'!$E$12+1,1))-AVERAGE(OFFSET($H$3,0,0,'Données projet'!$E$12+1,1))</f>
        <v>242.65851607945316</v>
      </c>
      <c r="CE5" s="59">
        <f t="shared" ref="CE5:CE68" si="40">$CE$3</f>
        <v>218.9349999985487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5.8</v>
      </c>
      <c r="CT5" s="12">
        <f>IF('Données projet'!$A$140&gt;35,CT4+CS5-DB4,IF(A5&lt;'Données projet'!$A$140,$CQ$205^A5,IF(A5='Données projet'!$A$140,'Données projet'!$B$140,CT4+CS5-DB4)))</f>
        <v>1.81385500212293</v>
      </c>
      <c r="CU5" s="17">
        <f>CT5*VLOOKUP('Données projet'!$B$13,Paramètres!$A$1:$I$89,3,0)*VLOOKUP('Données projet'!$B$13,Paramètres!$A$1:$I$89,5,0)</f>
        <v>1.5845837298545919</v>
      </c>
      <c r="CV5" s="13">
        <f t="shared" ref="CV5:CV68" si="41">EXP(-1.0587+0.8836*LN(CU5)+0.284)</f>
        <v>0.69214506839939893</v>
      </c>
      <c r="CW5" s="20">
        <f t="shared" si="13"/>
        <v>3.9653026569590337</v>
      </c>
      <c r="CX5" s="59">
        <f t="shared" si="14"/>
        <v>238.29254141745926</v>
      </c>
      <c r="CY5" s="59">
        <f ca="1">AVERAGE(OFFSET($CX$3,0,0,'Données projet'!$E$13+1,1))-AVERAGE(OFFSET($H$3,0,0,'Données projet'!$E$13+1,1))</f>
        <v>326.9460696675867</v>
      </c>
      <c r="CZ5" s="59">
        <f t="shared" ref="CZ5:CZ68" si="42">$CZ$3</f>
        <v>393.4020374592568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5.85</v>
      </c>
      <c r="DO5" s="12">
        <f>IF('Données projet'!$A$166&gt;35,DO4+DN5-DW4,IF(A5&lt;'Données projet'!$A$166,$DL$205^A5,IF(A5='Données projet'!$A$166,'Données projet'!$B$166,DO4+DN5-DW4)))</f>
        <v>1.6099729755450907</v>
      </c>
      <c r="DP5" s="17">
        <f>DO5*VLOOKUP('Données projet'!$B$14,Paramètres!$A$1:$I$89,3,0)*VLOOKUP('Données projet'!$B$14,Paramètres!$A$1:$I$89,5,0)</f>
        <v>1.2557789209251708</v>
      </c>
      <c r="DQ5" s="13">
        <f t="shared" ref="DQ5:DQ68" si="43">EXP(-1.0587+0.8836*LN(DP5)+0.284)</f>
        <v>0.56357505040869538</v>
      </c>
      <c r="DR5" s="20">
        <f t="shared" si="16"/>
        <v>3.1687081667398167</v>
      </c>
      <c r="DS5" s="59">
        <f t="shared" si="17"/>
        <v>237.49594692724003</v>
      </c>
      <c r="DT5" s="59">
        <f ca="1">AVERAGE(OFFSET($DS$3,0,0,'Données projet'!$E$14+1,1))-AVERAGE(OFFSET($H$3,0,0,'Données projet'!$E$14+1,1))</f>
        <v>364.34528546733799</v>
      </c>
      <c r="DU5" s="59">
        <f t="shared" ref="DU5:DU68" si="44">$DU$3</f>
        <v>346.5839763411152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1.0836064737684212</v>
      </c>
      <c r="EL5" s="13">
        <f t="shared" ref="EL5:EL68" si="45">EXP(-1.0587+0.8836*LN(EK5)+0.284)</f>
        <v>0.49472584920136886</v>
      </c>
      <c r="EM5" s="20">
        <f t="shared" si="19"/>
        <v>2.7489287958390509</v>
      </c>
      <c r="EN5" s="59">
        <f t="shared" si="20"/>
        <v>237.07616755633927</v>
      </c>
      <c r="EO5" s="59">
        <f ca="1">AVERAGE(OFFSET($EN$3,0,0,'Données projet'!$E$15+1,1))-AVERAGE(OFFSET($H$3,0,0,'Données projet'!$E$15+1,1))</f>
        <v>310.38232870602445</v>
      </c>
      <c r="EP5" s="59">
        <f t="shared" ref="EP5:EP68" si="46">$EP$3</f>
        <v>303.45934457265537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6.7</v>
      </c>
      <c r="FE5" s="12">
        <f>IF('Données projet'!$A$218&gt;35,FE4+FD5-FM4,IF(A5&lt;'Données projet'!$A$218,$FB$205^A5,IF(A5='Données projet'!$A$218,'Données projet'!$B$218,FE4+FD5-FM4)))</f>
        <v>2.3185419629780504</v>
      </c>
      <c r="FF5" s="17">
        <f>FE5*VLOOKUP('Données projet'!$B$16,Paramètres!$A$1:$I$89,3,0)*VLOOKUP('Données projet'!$B$16,Paramètres!$A$1:$I$89,5,0)</f>
        <v>2.206324531969913</v>
      </c>
      <c r="FG5" s="13">
        <f t="shared" ref="FG5:FG68" si="47">EXP(-1.0587+0.8836*LN(FF5)+0.284)</f>
        <v>0.92729590374086168</v>
      </c>
      <c r="FH5" s="20">
        <f t="shared" si="22"/>
        <v>5.4577222588629324</v>
      </c>
      <c r="FI5" s="59">
        <f t="shared" si="23"/>
        <v>239.78496101936315</v>
      </c>
      <c r="FJ5" s="59">
        <f ca="1">AVERAGE(OFFSET($FI$3,0,0,'Données projet'!$E$16+1,1))-AVERAGE(OFFSET($H$3,0,0,'Données projet'!$E$16+1,1))</f>
        <v>457.706832425622</v>
      </c>
      <c r="FK5" s="59">
        <f t="shared" ref="FK5:FK68" si="48">$FK$3</f>
        <v>474.61768219844873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1.1000000000000001</v>
      </c>
      <c r="FZ5" s="12">
        <f>IF('Données projet'!$A$244&gt;35,FZ4+FY5-GH4,IF(A5&lt;'Données projet'!$A$244,$FW$205^A5,IF(A5='Données projet'!$A$244,'Données projet'!$B$244,FZ4+FY5-GH4)))</f>
        <v>1.6153942662021783</v>
      </c>
      <c r="GA5" s="17">
        <f>FZ5*VLOOKUP('Données projet'!$B$17,Paramètres!$A$1:$I$89,3,0)*VLOOKUP('Données projet'!$B$17,Paramètres!$A$1:$I$89,5,0)</f>
        <v>1.562409334270747</v>
      </c>
      <c r="GB5" s="13">
        <f t="shared" ref="GB5:GB68" si="49">EXP(-1.0587+0.8836*LN(GA5)+0.284)</f>
        <v>0.68357972356465468</v>
      </c>
      <c r="GC5" s="20">
        <f t="shared" si="25"/>
        <v>3.9117642757299911</v>
      </c>
      <c r="GD5" s="59">
        <f t="shared" si="26"/>
        <v>238.2390030362302</v>
      </c>
      <c r="GE5" s="59">
        <f ca="1">AVERAGE(OFFSET($GD$3,0,0,'Données projet'!$E$17+1,1))-AVERAGE(OFFSET($H$3,0,0,'Données projet'!$E$17+1,1))</f>
        <v>428.11167311086814</v>
      </c>
      <c r="GF5" s="59">
        <f t="shared" ref="GF5:GF68" si="50">$GF$3</f>
        <v>415.69449942923609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0.64102564102564097</v>
      </c>
      <c r="GU5" s="12">
        <f>IF('Données projet'!$A$270&gt;35,GU4+GT5-HC4,IF(A5&lt;'Données projet'!$A$270,$GR$205^A5,IF(A5='Données projet'!$A$270,'Données projet'!$B$270,GU4+GT5-HC4)))</f>
        <v>1.6012815380508714</v>
      </c>
      <c r="GV5" s="17">
        <f>GU5*VLOOKUP('Données projet'!$B$18,Paramètres!$A$1:$I$89,3,0)*VLOOKUP('Données projet'!$B$18,Paramètres!$A$1:$I$89,5,0)</f>
        <v>0.91676570616488495</v>
      </c>
      <c r="GW5" s="13">
        <f t="shared" ref="GW5:GW68" si="51">EXP(-1.0587+0.8836*LN(GV5)+0.284)</f>
        <v>0.42677950067500486</v>
      </c>
      <c r="GX5" s="20">
        <f t="shared" si="28"/>
        <v>2.3400079019128084</v>
      </c>
      <c r="GY5" s="59">
        <f t="shared" si="29"/>
        <v>236.66724666241302</v>
      </c>
      <c r="GZ5" s="59">
        <f ca="1">AVERAGE(OFFSET($GY$3,0,0,'Données projet'!$E$18+1,1))-AVERAGE(OFFSET($H$3,0,0,'Données projet'!$E$18+1,1))</f>
        <v>249.88816678272056</v>
      </c>
      <c r="HA5" s="59">
        <f t="shared" ref="HA5:HA68" si="52">$HA$3</f>
        <v>432.10802787437319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1">
        <f>'Scénario référence'!$B$16*5+'Scénario référence'!$B$17*0+'Scénario référence'!$B$18*5</f>
        <v>1.4000000000000001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5.1333333333333337</v>
      </c>
      <c r="H6" s="65">
        <f t="shared" si="1"/>
        <v>236.13333333333335</v>
      </c>
      <c r="I6" s="6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1.1000000000000001</v>
      </c>
      <c r="N6" s="13">
        <f>IF('Données projet'!$A$36&gt;35,N5+M6-V5,IF(A6&lt;'Données projet'!$A$36,$K$205^A6,IF(A6='Données projet'!$A$36,'Données projet'!$B$36,N5+M6-V5)))</f>
        <v>2.0531364136588448</v>
      </c>
      <c r="O6" s="13">
        <f>N6*VLOOKUP('Données projet'!$B$9,Paramètres!$A$1:$I$89,3,0)*VLOOKUP('Données projet'!$B$9,Paramètres!$A$1:$I$89,5,0)</f>
        <v>1.6334753307069771</v>
      </c>
      <c r="P6" s="13">
        <f t="shared" si="33"/>
        <v>0.71098156578295024</v>
      </c>
      <c r="Q6" s="20">
        <f t="shared" si="2"/>
        <v>4.0832624280532892</v>
      </c>
      <c r="R6" s="59">
        <f t="shared" si="0"/>
        <v>240.06266818762106</v>
      </c>
      <c r="S6" s="59">
        <f ca="1">AVERAGE(OFFSET($R$3,0,0,'Données projet'!$E$9+1,1))-AVERAGE(OFFSET($H$3,0,0,'Données projet'!$E$9+1,1))</f>
        <v>360.06385535620069</v>
      </c>
      <c r="T6" s="59">
        <f t="shared" si="34"/>
        <v>350.82516032456408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1.7220708720671365</v>
      </c>
      <c r="AK6" s="13">
        <f t="shared" si="35"/>
        <v>0.74494935243383209</v>
      </c>
      <c r="AL6" s="20">
        <f t="shared" si="4"/>
        <v>4.2967268910058536</v>
      </c>
      <c r="AM6" s="59">
        <f t="shared" si="5"/>
        <v>240.2761326505736</v>
      </c>
      <c r="AN6" s="59">
        <f ca="1">AVERAGE(OFFSET($AM$3,0,0,'Données projet'!$E$10+1,1))-AVERAGE(OFFSET($H$3,0,0,'Données projet'!$E$10+1,1))</f>
        <v>448.65237942538027</v>
      </c>
      <c r="AO6" s="59">
        <f t="shared" si="36"/>
        <v>283.56749129825107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1.6817928305074288</v>
      </c>
      <c r="BE6" s="13">
        <f>BD6*VLOOKUP('Données projet'!$B$11,Paramètres!$A$1:$I$89,3,0)*VLOOKUP('Données projet'!$B$11,Paramètres!$A$1:$I$89,5,0)</f>
        <v>1.4429782485753739</v>
      </c>
      <c r="BF6" s="13">
        <f t="shared" si="37"/>
        <v>0.6371974227238163</v>
      </c>
      <c r="BG6" s="20">
        <f t="shared" si="7"/>
        <v>3.6229726275127558</v>
      </c>
      <c r="BH6" s="59">
        <f t="shared" si="8"/>
        <v>239.60237838708051</v>
      </c>
      <c r="BI6" s="59">
        <f ca="1">AVERAGE(OFFSET($BH$3,0,0,'Données projet'!$E$11+1,1))-AVERAGE(OFFSET($H$3,0,0,'Données projet'!$E$11+1,1))</f>
        <v>456.76871853389395</v>
      </c>
      <c r="BJ6" s="59">
        <f t="shared" si="38"/>
        <v>262.12425810289176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11.5</v>
      </c>
      <c r="BY6" s="12">
        <f>IF('Données projet'!$A$114&gt;35,BY5+BX6-CG5,IF(A6&lt;'Données projet'!$A$114,$BV$205^A6,IF(A6='Données projet'!$A$114,'Données projet'!$B$114,BY5+BX6-CG5)))</f>
        <v>4.1515411988145683</v>
      </c>
      <c r="BZ6" s="13">
        <f>BY6*VLOOKUP('Données projet'!$B$12,Paramètres!$A$1:$I$89,3,0)*VLOOKUP('Données projet'!$B$12,Paramètres!$A$1:$I$89,5,0)</f>
        <v>3.0439100069708416</v>
      </c>
      <c r="CA6" s="13">
        <f t="shared" si="39"/>
        <v>1.2322885431422059</v>
      </c>
      <c r="CB6" s="20">
        <f t="shared" si="10"/>
        <v>7.447712474780225</v>
      </c>
      <c r="CC6" s="59">
        <f t="shared" si="11"/>
        <v>243.42711823434797</v>
      </c>
      <c r="CD6" s="59">
        <f ca="1">AVERAGE(OFFSET($CC$3,0,0,'Données projet'!$E$12+1,1))-AVERAGE(OFFSET($H$3,0,0,'Données projet'!$E$12+1,1))</f>
        <v>242.65851607945316</v>
      </c>
      <c r="CE6" s="59">
        <f t="shared" si="40"/>
        <v>218.9349999985487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5.8</v>
      </c>
      <c r="CT6" s="12">
        <f>IF('Données projet'!$A$140&gt;35,CT5+CS6-DB5,IF(A6&lt;'Données projet'!$A$140,$CQ$205^A6,IF(A6='Données projet'!$A$140,'Données projet'!$B$140,CT5+CS6-DB5)))</f>
        <v>2.4428896557373947</v>
      </c>
      <c r="CU6" s="17">
        <f>CT6*VLOOKUP('Données projet'!$B$13,Paramètres!$A$1:$I$89,3,0)*VLOOKUP('Données projet'!$B$13,Paramètres!$A$1:$I$89,5,0)</f>
        <v>2.1341084032521884</v>
      </c>
      <c r="CV6" s="13">
        <f t="shared" si="41"/>
        <v>0.90042541139273424</v>
      </c>
      <c r="CW6" s="20">
        <f t="shared" si="13"/>
        <v>5.2851463938399075</v>
      </c>
      <c r="CX6" s="59">
        <f t="shared" si="14"/>
        <v>241.26455215340766</v>
      </c>
      <c r="CY6" s="59">
        <f ca="1">AVERAGE(OFFSET($CX$3,0,0,'Données projet'!$E$13+1,1))-AVERAGE(OFFSET($H$3,0,0,'Données projet'!$E$13+1,1))</f>
        <v>326.9460696675867</v>
      </c>
      <c r="CZ6" s="59">
        <f t="shared" si="42"/>
        <v>393.4020374592568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5.85</v>
      </c>
      <c r="DO6" s="12">
        <f>IF('Données projet'!$A$166&gt;35,DO5+DN6-DW5,IF(A6&lt;'Données projet'!$A$166,$DL$205^A6,IF(A6='Données projet'!$A$166,'Données projet'!$B$166,DO5+DN6-DW5)))</f>
        <v>2.0428095489444726</v>
      </c>
      <c r="DP6" s="17">
        <f>DO6*VLOOKUP('Données projet'!$B$14,Paramètres!$A$1:$I$89,3,0)*VLOOKUP('Données projet'!$B$14,Paramètres!$A$1:$I$89,5,0)</f>
        <v>1.5933914481766887</v>
      </c>
      <c r="DQ6" s="13">
        <f t="shared" si="43"/>
        <v>0.69554336150668106</v>
      </c>
      <c r="DR6" s="20">
        <f t="shared" si="16"/>
        <v>3.9865614601985349</v>
      </c>
      <c r="DS6" s="59">
        <f t="shared" si="17"/>
        <v>239.9659672197663</v>
      </c>
      <c r="DT6" s="59">
        <f ca="1">AVERAGE(OFFSET($DS$3,0,0,'Données projet'!$E$14+1,1))-AVERAGE(OFFSET($H$3,0,0,'Données projet'!$E$14+1,1))</f>
        <v>364.34528546733799</v>
      </c>
      <c r="DU6" s="59">
        <f t="shared" si="44"/>
        <v>346.5839763411152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1.3772439062823532</v>
      </c>
      <c r="EL6" s="13">
        <f t="shared" si="45"/>
        <v>0.61147972319350075</v>
      </c>
      <c r="EM6" s="20">
        <f t="shared" si="19"/>
        <v>3.4636936546704455</v>
      </c>
      <c r="EN6" s="59">
        <f t="shared" si="20"/>
        <v>239.44309941423819</v>
      </c>
      <c r="EO6" s="59">
        <f ca="1">AVERAGE(OFFSET($EN$3,0,0,'Données projet'!$E$15+1,1))-AVERAGE(OFFSET($H$3,0,0,'Données projet'!$E$15+1,1))</f>
        <v>310.38232870602445</v>
      </c>
      <c r="EP6" s="59">
        <f t="shared" si="46"/>
        <v>303.45934457265537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6.7</v>
      </c>
      <c r="FE6" s="12">
        <f>IF('Données projet'!$A$218&gt;35,FE5+FD6-FM5,IF(A6&lt;'Données projet'!$A$218,$FB$205^A6,IF(A6='Données projet'!$A$218,'Données projet'!$B$218,FE5+FD6-FM5)))</f>
        <v>3.5303880208226968</v>
      </c>
      <c r="FF6" s="17">
        <f>FE6*VLOOKUP('Données projet'!$B$16,Paramètres!$A$1:$I$89,3,0)*VLOOKUP('Données projet'!$B$16,Paramètres!$A$1:$I$89,5,0)</f>
        <v>3.3595172406148786</v>
      </c>
      <c r="FG6" s="13">
        <f t="shared" si="47"/>
        <v>1.3445294240758423</v>
      </c>
      <c r="FH6" s="20">
        <f t="shared" si="22"/>
        <v>8.1928812743363384</v>
      </c>
      <c r="FI6" s="59">
        <f t="shared" si="23"/>
        <v>244.1722870339041</v>
      </c>
      <c r="FJ6" s="59">
        <f ca="1">AVERAGE(OFFSET($FI$3,0,0,'Données projet'!$E$16+1,1))-AVERAGE(OFFSET($H$3,0,0,'Données projet'!$E$16+1,1))</f>
        <v>457.706832425622</v>
      </c>
      <c r="FK6" s="59">
        <f t="shared" si="48"/>
        <v>474.61768219844873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1.1000000000000001</v>
      </c>
      <c r="FZ6" s="12">
        <f>IF('Données projet'!$A$244&gt;35,FZ5+FY6-GH5,IF(A6&lt;'Données projet'!$A$244,$FW$205^A6,IF(A6='Données projet'!$A$244,'Données projet'!$B$244,FZ5+FY6-GH5)))</f>
        <v>2.0531364136588448</v>
      </c>
      <c r="GA6" s="17">
        <f>FZ6*VLOOKUP('Données projet'!$B$17,Paramètres!$A$1:$I$89,3,0)*VLOOKUP('Données projet'!$B$17,Paramètres!$A$1:$I$89,5,0)</f>
        <v>1.9857935392908346</v>
      </c>
      <c r="GB6" s="13">
        <f t="shared" si="49"/>
        <v>0.84490256739317382</v>
      </c>
      <c r="GC6" s="20">
        <f t="shared" si="25"/>
        <v>4.9301290524746477</v>
      </c>
      <c r="GD6" s="59">
        <f t="shared" si="26"/>
        <v>240.90953481204241</v>
      </c>
      <c r="GE6" s="59">
        <f ca="1">AVERAGE(OFFSET($GD$3,0,0,'Données projet'!$E$17+1,1))-AVERAGE(OFFSET($H$3,0,0,'Données projet'!$E$17+1,1))</f>
        <v>428.11167311086814</v>
      </c>
      <c r="GF6" s="59">
        <f t="shared" si="50"/>
        <v>415.69449942923609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0.64102564102564097</v>
      </c>
      <c r="GU6" s="12">
        <f>IF('Données projet'!$A$270&gt;35,GU5+GT6-HC5,IF(A6&lt;'Données projet'!$A$270,$GR$205^A6,IF(A6='Données projet'!$A$270,'Données projet'!$B$270,GU5+GT6-HC5)))</f>
        <v>2.0262897368259893</v>
      </c>
      <c r="GV6" s="17">
        <f>GU6*VLOOKUP('Données projet'!$B$18,Paramètres!$A$1:$I$89,3,0)*VLOOKUP('Données projet'!$B$18,Paramètres!$A$1:$I$89,5,0)</f>
        <v>1.1600914001276155</v>
      </c>
      <c r="GW6" s="13">
        <f t="shared" si="51"/>
        <v>0.52545723871933359</v>
      </c>
      <c r="GX6" s="20">
        <f t="shared" si="28"/>
        <v>2.9356638793251029</v>
      </c>
      <c r="GY6" s="59">
        <f t="shared" si="29"/>
        <v>238.91506963889285</v>
      </c>
      <c r="GZ6" s="59">
        <f ca="1">AVERAGE(OFFSET($GY$3,0,0,'Données projet'!$E$18+1,1))-AVERAGE(OFFSET($H$3,0,0,'Données projet'!$E$18+1,1))</f>
        <v>249.88816678272056</v>
      </c>
      <c r="HA6" s="59">
        <f t="shared" si="52"/>
        <v>432.10802787437319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1">
        <f>'Scénario référence'!$B$16*5+'Scénario référence'!$B$17*0+'Scénario référence'!$B$18*5</f>
        <v>1.4000000000000001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5.1333333333333337</v>
      </c>
      <c r="H7" s="65">
        <f t="shared" si="1"/>
        <v>236.13333333333335</v>
      </c>
      <c r="I7" s="6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1.1000000000000001</v>
      </c>
      <c r="N7" s="13">
        <f>IF('Données projet'!$A$36&gt;35,N6+M7-V6,IF(A7&lt;'Données projet'!$A$36,$K$205^A7,IF(A7='Données projet'!$A$36,'Données projet'!$B$36,N6+M7-V6)))</f>
        <v>2.6094986352788743</v>
      </c>
      <c r="O7" s="13">
        <f>N7*VLOOKUP('Données projet'!$B$9,Paramètres!$A$1:$I$89,3,0)*VLOOKUP('Données projet'!$B$9,Paramètres!$A$1:$I$89,5,0)</f>
        <v>2.0761171142278725</v>
      </c>
      <c r="P7" s="13">
        <f t="shared" si="33"/>
        <v>0.87877116536856548</v>
      </c>
      <c r="Q7" s="20">
        <f t="shared" si="2"/>
        <v>5.14643042029713</v>
      </c>
      <c r="R7" s="59">
        <f t="shared" si="0"/>
        <v>242.77054459826667</v>
      </c>
      <c r="S7" s="59">
        <f ca="1">AVERAGE(OFFSET($R$3,0,0,'Données projet'!$E$9+1,1))-AVERAGE(OFFSET($H$3,0,0,'Données projet'!$E$9+1,1))</f>
        <v>360.06385535620069</v>
      </c>
      <c r="T7" s="59">
        <f t="shared" si="34"/>
        <v>350.82516032456408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2.1341117843442179</v>
      </c>
      <c r="AK7" s="13">
        <f t="shared" si="35"/>
        <v>0.90042667189585779</v>
      </c>
      <c r="AL7" s="20">
        <f t="shared" si="4"/>
        <v>5.2851544779514645</v>
      </c>
      <c r="AM7" s="59">
        <f t="shared" si="5"/>
        <v>242.90926865592101</v>
      </c>
      <c r="AN7" s="59">
        <f ca="1">AVERAGE(OFFSET($AM$3,0,0,'Données projet'!$E$10+1,1))-AVERAGE(OFFSET($H$3,0,0,'Données projet'!$E$10+1,1))</f>
        <v>448.65237942538027</v>
      </c>
      <c r="AO7" s="59">
        <f t="shared" si="36"/>
        <v>283.56749129825107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1.9999999999999996</v>
      </c>
      <c r="BE7" s="13">
        <f>BD7*VLOOKUP('Données projet'!$B$11,Paramètres!$A$1:$I$89,3,0)*VLOOKUP('Données projet'!$B$11,Paramètres!$A$1:$I$89,5,0)</f>
        <v>1.7159999999999997</v>
      </c>
      <c r="BF7" s="13">
        <f t="shared" si="37"/>
        <v>0.74262837066960552</v>
      </c>
      <c r="BG7" s="20">
        <f t="shared" si="7"/>
        <v>4.2821110789162296</v>
      </c>
      <c r="BH7" s="59">
        <f t="shared" si="8"/>
        <v>241.90622525688576</v>
      </c>
      <c r="BI7" s="59">
        <f ca="1">AVERAGE(OFFSET($BH$3,0,0,'Données projet'!$E$11+1,1))-AVERAGE(OFFSET($H$3,0,0,'Données projet'!$E$11+1,1))</f>
        <v>456.76871853389395</v>
      </c>
      <c r="BJ7" s="59">
        <f t="shared" si="38"/>
        <v>262.12425810289176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11.5</v>
      </c>
      <c r="BY7" s="12">
        <f>IF('Données projet'!$A$114&gt;35,BY6+BX7-CG6,IF(A7&lt;'Données projet'!$A$114,$BV$205^A7,IF(A7='Données projet'!$A$114,'Données projet'!$B$114,BY6+BX7-CG6)))</f>
        <v>6.6723548683562175</v>
      </c>
      <c r="BZ7" s="13">
        <f>BY7*VLOOKUP('Données projet'!$B$12,Paramètres!$A$1:$I$89,3,0)*VLOOKUP('Données projet'!$B$12,Paramètres!$A$1:$I$89,5,0)</f>
        <v>4.8921705894787788</v>
      </c>
      <c r="CA7" s="13">
        <f t="shared" si="39"/>
        <v>1.8741125629997808</v>
      </c>
      <c r="CB7" s="20">
        <f t="shared" si="10"/>
        <v>11.784609823900155</v>
      </c>
      <c r="CC7" s="59">
        <f t="shared" si="11"/>
        <v>249.4087240018697</v>
      </c>
      <c r="CD7" s="59">
        <f ca="1">AVERAGE(OFFSET($CC$3,0,0,'Données projet'!$E$12+1,1))-AVERAGE(OFFSET($H$3,0,0,'Données projet'!$E$12+1,1))</f>
        <v>242.65851607945316</v>
      </c>
      <c r="CE7" s="59">
        <f t="shared" si="40"/>
        <v>218.9349999985487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5.8</v>
      </c>
      <c r="CT7" s="12">
        <f>IF('Données projet'!$A$140&gt;35,CT6+CS7-DB6,IF(A7&lt;'Données projet'!$A$140,$CQ$205^A7,IF(A7='Données projet'!$A$140,'Données projet'!$B$140,CT6+CS7-DB6)))</f>
        <v>3.2900699687263746</v>
      </c>
      <c r="CU7" s="17">
        <f>CT7*VLOOKUP('Données projet'!$B$13,Paramètres!$A$1:$I$89,3,0)*VLOOKUP('Données projet'!$B$13,Paramètres!$A$1:$I$89,5,0)</f>
        <v>2.874205124679361</v>
      </c>
      <c r="CV7" s="13">
        <f t="shared" si="41"/>
        <v>1.1713814899478936</v>
      </c>
      <c r="CW7" s="20">
        <f t="shared" si="13"/>
        <v>7.0460633538091342</v>
      </c>
      <c r="CX7" s="59">
        <f t="shared" si="14"/>
        <v>244.67017753177868</v>
      </c>
      <c r="CY7" s="59">
        <f ca="1">AVERAGE(OFFSET($CX$3,0,0,'Données projet'!$E$13+1,1))-AVERAGE(OFFSET($H$3,0,0,'Données projet'!$E$13+1,1))</f>
        <v>326.9460696675867</v>
      </c>
      <c r="CZ7" s="59">
        <f t="shared" si="42"/>
        <v>393.4020374592568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5.85</v>
      </c>
      <c r="DO7" s="12">
        <f>IF('Données projet'!$A$166&gt;35,DO6+DN7-DW6,IF(A7&lt;'Données projet'!$A$166,$DL$205^A7,IF(A7='Données projet'!$A$166,'Données projet'!$B$166,DO6+DN7-DW6)))</f>
        <v>2.5920129819855133</v>
      </c>
      <c r="DP7" s="17">
        <f>DO7*VLOOKUP('Données projet'!$B$14,Paramètres!$A$1:$I$89,3,0)*VLOOKUP('Données projet'!$B$14,Paramètres!$A$1:$I$89,5,0)</f>
        <v>2.0217701259487004</v>
      </c>
      <c r="DQ7" s="13">
        <f t="shared" si="43"/>
        <v>0.85841374167501538</v>
      </c>
      <c r="DR7" s="20">
        <f t="shared" si="16"/>
        <v>5.0163202361113051</v>
      </c>
      <c r="DS7" s="59">
        <f t="shared" si="17"/>
        <v>242.64043441408086</v>
      </c>
      <c r="DT7" s="59">
        <f ca="1">AVERAGE(OFFSET($DS$3,0,0,'Données projet'!$E$14+1,1))-AVERAGE(OFFSET($H$3,0,0,'Données projet'!$E$14+1,1))</f>
        <v>364.34528546733799</v>
      </c>
      <c r="DU7" s="59">
        <f t="shared" si="44"/>
        <v>346.5839763411152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1.7504516845450688</v>
      </c>
      <c r="EL7" s="13">
        <f t="shared" si="45"/>
        <v>0.75578717481691204</v>
      </c>
      <c r="EM7" s="20">
        <f t="shared" si="19"/>
        <v>4.3650326800554504</v>
      </c>
      <c r="EN7" s="59">
        <f t="shared" si="20"/>
        <v>241.98914685802501</v>
      </c>
      <c r="EO7" s="59">
        <f ca="1">AVERAGE(OFFSET($EN$3,0,0,'Données projet'!$E$15+1,1))-AVERAGE(OFFSET($H$3,0,0,'Données projet'!$E$15+1,1))</f>
        <v>310.38232870602445</v>
      </c>
      <c r="EP7" s="59">
        <f t="shared" si="46"/>
        <v>303.45934457265537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6.7</v>
      </c>
      <c r="FE7" s="12">
        <f>IF('Données projet'!$A$218&gt;35,FE6+FD7-FM6,IF(A7&lt;'Données projet'!$A$218,$FB$205^A7,IF(A7='Données projet'!$A$218,'Données projet'!$B$218,FE6+FD7-FM6)))</f>
        <v>5.3756368340901108</v>
      </c>
      <c r="FF7" s="17">
        <f>FE7*VLOOKUP('Données projet'!$B$16,Paramètres!$A$1:$I$89,3,0)*VLOOKUP('Données projet'!$B$16,Paramètres!$A$1:$I$89,5,0)</f>
        <v>5.1154560113201493</v>
      </c>
      <c r="FG7" s="13">
        <f t="shared" si="47"/>
        <v>1.9494956948617177</v>
      </c>
      <c r="FH7" s="20">
        <f t="shared" si="22"/>
        <v>12.304790888266751</v>
      </c>
      <c r="FI7" s="59">
        <f t="shared" si="23"/>
        <v>249.9289050662363</v>
      </c>
      <c r="FJ7" s="59">
        <f ca="1">AVERAGE(OFFSET($FI$3,0,0,'Données projet'!$E$16+1,1))-AVERAGE(OFFSET($H$3,0,0,'Données projet'!$E$16+1,1))</f>
        <v>457.706832425622</v>
      </c>
      <c r="FK7" s="59">
        <f t="shared" si="48"/>
        <v>474.61768219844873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1.1000000000000001</v>
      </c>
      <c r="FZ7" s="12">
        <f>IF('Données projet'!$A$244&gt;35,FZ6+FY7-GH6,IF(A7&lt;'Données projet'!$A$244,$FW$205^A7,IF(A7='Données projet'!$A$244,'Données projet'!$B$244,FZ6+FY7-GH6)))</f>
        <v>2.6094986352788743</v>
      </c>
      <c r="GA7" s="17">
        <f>FZ7*VLOOKUP('Données projet'!$B$17,Paramètres!$A$1:$I$89,3,0)*VLOOKUP('Données projet'!$B$17,Paramètres!$A$1:$I$89,5,0)</f>
        <v>2.5239070800417274</v>
      </c>
      <c r="GB7" s="13">
        <f t="shared" si="49"/>
        <v>1.0442971372307801</v>
      </c>
      <c r="GC7" s="20">
        <f t="shared" si="25"/>
        <v>6.2146223450829501</v>
      </c>
      <c r="GD7" s="59">
        <f t="shared" si="26"/>
        <v>243.83873652305249</v>
      </c>
      <c r="GE7" s="59">
        <f ca="1">AVERAGE(OFFSET($GD$3,0,0,'Données projet'!$E$17+1,1))-AVERAGE(OFFSET($H$3,0,0,'Données projet'!$E$17+1,1))</f>
        <v>428.11167311086814</v>
      </c>
      <c r="GF7" s="59">
        <f t="shared" si="50"/>
        <v>415.69449942923609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>
        <f>VLOOKUP(A7,'Données projet'!$A$269:$I$289,2,0)</f>
        <v>2.5641025641025639</v>
      </c>
      <c r="GS7" s="12">
        <f>VLOOKUP(A7,'Données projet'!$A$269:$I$289,9,0)</f>
        <v>0.64102564102564097</v>
      </c>
      <c r="GT7" s="12">
        <f t="array" ref="GT7">INDEX(GS:GS,MIN(IF(ISNUMBER(GS7:GS203),ROW(GS7:GS203),"")))</f>
        <v>0.64102564102564097</v>
      </c>
      <c r="GU7" s="12">
        <f>IF('Données projet'!$A$270&gt;35,GU6+GT7-HC6,IF(A7&lt;'Données projet'!$A$270,$GR$205^A7,IF(A7='Données projet'!$A$270,'Données projet'!$B$270,GU6+GT7-HC6)))</f>
        <v>2.5641025641025639</v>
      </c>
      <c r="GV7" s="17">
        <f>GU7*VLOOKUP('Données projet'!$B$18,Paramètres!$A$1:$I$89,3,0)*VLOOKUP('Données projet'!$B$18,Paramètres!$A$1:$I$89,5,0)</f>
        <v>1.4679999999999997</v>
      </c>
      <c r="GW7" s="13">
        <f t="shared" si="51"/>
        <v>0.64695073049631424</v>
      </c>
      <c r="GX7" s="20">
        <f t="shared" si="28"/>
        <v>3.6835391889477465</v>
      </c>
      <c r="GY7" s="59">
        <f t="shared" si="29"/>
        <v>241.30765336691729</v>
      </c>
      <c r="GZ7" s="59">
        <f ca="1">AVERAGE(OFFSET($GY$3,0,0,'Données projet'!$E$18+1,1))-AVERAGE(OFFSET($H$3,0,0,'Données projet'!$E$18+1,1))</f>
        <v>249.88816678272056</v>
      </c>
      <c r="HA7" s="59">
        <f t="shared" si="52"/>
        <v>432.10802787437319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1">
        <f>'Scénario référence'!$B$16*5+'Scénario référence'!$B$17*0+'Scénario référence'!$B$18*5</f>
        <v>1.4000000000000001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5.1333333333333337</v>
      </c>
      <c r="H8" s="65">
        <f t="shared" si="1"/>
        <v>236.13333333333335</v>
      </c>
      <c r="I8" s="6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1.1000000000000001</v>
      </c>
      <c r="N8" s="13">
        <f>IF('Données projet'!$A$36&gt;35,N7+M8-V7,IF(A8&lt;'Données projet'!$A$36,$K$205^A8,IF(A8='Données projet'!$A$36,'Données projet'!$B$36,N7+M8-V7)))</f>
        <v>3.3166247903554016</v>
      </c>
      <c r="O8" s="13">
        <f>N8*VLOOKUP('Données projet'!$B$9,Paramètres!$A$1:$I$89,3,0)*VLOOKUP('Données projet'!$B$9,Paramètres!$A$1:$I$89,5,0)</f>
        <v>2.6387066832067574</v>
      </c>
      <c r="P8" s="13">
        <f t="shared" si="33"/>
        <v>1.0861586266766543</v>
      </c>
      <c r="Q8" s="20">
        <f t="shared" si="2"/>
        <v>6.4874737480469413</v>
      </c>
      <c r="R8" s="59">
        <f t="shared" si="0"/>
        <v>245.74896715345221</v>
      </c>
      <c r="S8" s="59">
        <f ca="1">AVERAGE(OFFSET($R$3,0,0,'Données projet'!$E$9+1,1))-AVERAGE(OFFSET($H$3,0,0,'Données projet'!$E$9+1,1))</f>
        <v>360.06385535620069</v>
      </c>
      <c r="T8" s="59">
        <f t="shared" si="34"/>
        <v>350.82516032456408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2.6447419684939089</v>
      </c>
      <c r="AK8" s="13">
        <f t="shared" si="35"/>
        <v>1.0883534414958294</v>
      </c>
      <c r="AL8" s="20">
        <f t="shared" si="4"/>
        <v>6.5018078390654601</v>
      </c>
      <c r="AM8" s="59">
        <f t="shared" si="5"/>
        <v>245.76330124447074</v>
      </c>
      <c r="AN8" s="59">
        <f ca="1">AVERAGE(OFFSET($AM$3,0,0,'Données projet'!$E$10+1,1))-AVERAGE(OFFSET($H$3,0,0,'Données projet'!$E$10+1,1))</f>
        <v>448.65237942538027</v>
      </c>
      <c r="AO8" s="59">
        <f t="shared" si="36"/>
        <v>283.56749129825107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2.3784142300054416</v>
      </c>
      <c r="BE8" s="13">
        <f>BD8*VLOOKUP('Données projet'!$B$11,Paramètres!$A$1:$I$89,3,0)*VLOOKUP('Données projet'!$B$11,Paramètres!$A$1:$I$89,5,0)</f>
        <v>2.0406794093446692</v>
      </c>
      <c r="BF8" s="13">
        <f t="shared" si="37"/>
        <v>0.86550396667632346</v>
      </c>
      <c r="BG8" s="20">
        <f t="shared" si="7"/>
        <v>5.061602713236562</v>
      </c>
      <c r="BH8" s="59">
        <f t="shared" si="8"/>
        <v>244.32309611864184</v>
      </c>
      <c r="BI8" s="59">
        <f ca="1">AVERAGE(OFFSET($BH$3,0,0,'Données projet'!$E$11+1,1))-AVERAGE(OFFSET($H$3,0,0,'Données projet'!$E$11+1,1))</f>
        <v>456.76871853389395</v>
      </c>
      <c r="BJ8" s="59">
        <f t="shared" si="38"/>
        <v>262.12425810289176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11.5</v>
      </c>
      <c r="BY8" s="12">
        <f>IF('Données projet'!$A$114&gt;35,BY7+BX8-CG7,IF(A8&lt;'Données projet'!$A$114,$BV$205^A8,IF(A8='Données projet'!$A$114,'Données projet'!$B$114,BY7+BX8-CG7)))</f>
        <v>10.723805294763606</v>
      </c>
      <c r="BZ8" s="13">
        <f>BY8*VLOOKUP('Données projet'!$B$12,Paramètres!$A$1:$I$89,3,0)*VLOOKUP('Données projet'!$B$12,Paramètres!$A$1:$I$89,5,0)</f>
        <v>7.8626940421206752</v>
      </c>
      <c r="CA8" s="13">
        <f t="shared" si="39"/>
        <v>2.8502236090239195</v>
      </c>
      <c r="CB8" s="20">
        <f t="shared" si="10"/>
        <v>18.658331575743503</v>
      </c>
      <c r="CC8" s="59">
        <f t="shared" si="11"/>
        <v>257.91982498114879</v>
      </c>
      <c r="CD8" s="59">
        <f ca="1">AVERAGE(OFFSET($CC$3,0,0,'Données projet'!$E$12+1,1))-AVERAGE(OFFSET($H$3,0,0,'Données projet'!$E$12+1,1))</f>
        <v>242.65851607945316</v>
      </c>
      <c r="CE8" s="59">
        <f t="shared" si="40"/>
        <v>218.9349999985487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5.8</v>
      </c>
      <c r="CT8" s="12">
        <f>IF('Données projet'!$A$140&gt;35,CT7+CS8-DB7,IF(A8&lt;'Données projet'!$A$140,$CQ$205^A8,IF(A8='Données projet'!$A$140,'Données projet'!$B$140,CT7+CS8-DB7)))</f>
        <v>4.4310476216936356</v>
      </c>
      <c r="CU8" s="17">
        <f>CT8*VLOOKUP('Données projet'!$B$13,Paramètres!$A$1:$I$89,3,0)*VLOOKUP('Données projet'!$B$13,Paramètres!$A$1:$I$89,5,0)</f>
        <v>3.8709632023115605</v>
      </c>
      <c r="CV8" s="13">
        <f t="shared" si="41"/>
        <v>1.5238736908481918</v>
      </c>
      <c r="CW8" s="20">
        <f t="shared" si="13"/>
        <v>9.3960075889199022</v>
      </c>
      <c r="CX8" s="59">
        <f t="shared" si="14"/>
        <v>248.65750099432518</v>
      </c>
      <c r="CY8" s="59">
        <f ca="1">AVERAGE(OFFSET($CX$3,0,0,'Données projet'!$E$13+1,1))-AVERAGE(OFFSET($H$3,0,0,'Données projet'!$E$13+1,1))</f>
        <v>326.9460696675867</v>
      </c>
      <c r="CZ8" s="59">
        <f t="shared" si="42"/>
        <v>393.4020374592568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5.85</v>
      </c>
      <c r="DO8" s="12">
        <f>IF('Données projet'!$A$166&gt;35,DO7+DN8-DW7,IF(A8&lt;'Données projet'!$A$166,$DL$205^A8,IF(A8='Données projet'!$A$166,'Données projet'!$B$166,DO7+DN8-DW7)))</f>
        <v>3.2888681679860574</v>
      </c>
      <c r="DP8" s="17">
        <f>DO8*VLOOKUP('Données projet'!$B$14,Paramètres!$A$1:$I$89,3,0)*VLOOKUP('Données projet'!$B$14,Paramètres!$A$1:$I$89,5,0)</f>
        <v>2.5653171710291249</v>
      </c>
      <c r="DQ8" s="13">
        <f t="shared" si="43"/>
        <v>1.0594223058937526</v>
      </c>
      <c r="DR8" s="20">
        <f t="shared" si="16"/>
        <v>6.3130879223073455</v>
      </c>
      <c r="DS8" s="59">
        <f t="shared" si="17"/>
        <v>245.57458132771262</v>
      </c>
      <c r="DT8" s="59">
        <f ca="1">AVERAGE(OFFSET($DS$3,0,0,'Données projet'!$E$14+1,1))-AVERAGE(OFFSET($H$3,0,0,'Données projet'!$E$14+1,1))</f>
        <v>364.34528546733799</v>
      </c>
      <c r="DU8" s="59">
        <f t="shared" si="44"/>
        <v>346.5839763411152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2.2247919093704032</v>
      </c>
      <c r="EL8" s="13">
        <f t="shared" si="45"/>
        <v>0.93415076894867155</v>
      </c>
      <c r="EM8" s="20">
        <f t="shared" si="19"/>
        <v>5.5018251647390555</v>
      </c>
      <c r="EN8" s="59">
        <f t="shared" si="20"/>
        <v>244.76331857014432</v>
      </c>
      <c r="EO8" s="59">
        <f ca="1">AVERAGE(OFFSET($EN$3,0,0,'Données projet'!$E$15+1,1))-AVERAGE(OFFSET($H$3,0,0,'Données projet'!$E$15+1,1))</f>
        <v>310.38232870602445</v>
      </c>
      <c r="EP8" s="59">
        <f t="shared" si="46"/>
        <v>303.45934457265537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6.7</v>
      </c>
      <c r="FE8" s="12">
        <f>IF('Données projet'!$A$218&gt;35,FE7+FD8-FM7,IF(A8&lt;'Données projet'!$A$218,$FB$205^A8,IF(A8='Données projet'!$A$218,'Données projet'!$B$218,FE7+FD8-FM7)))</f>
        <v>8.1853527718724486</v>
      </c>
      <c r="FF8" s="17">
        <f>FE8*VLOOKUP('Données projet'!$B$16,Paramètres!$A$1:$I$89,3,0)*VLOOKUP('Données projet'!$B$16,Paramètres!$A$1:$I$89,5,0)</f>
        <v>7.789181697713822</v>
      </c>
      <c r="FG8" s="13">
        <f t="shared" si="47"/>
        <v>2.8266644048319418</v>
      </c>
      <c r="FH8" s="20">
        <f t="shared" si="22"/>
        <v>18.489265295267202</v>
      </c>
      <c r="FI8" s="59">
        <f t="shared" si="23"/>
        <v>257.75075870067246</v>
      </c>
      <c r="FJ8" s="59">
        <f ca="1">AVERAGE(OFFSET($FI$3,0,0,'Données projet'!$E$16+1,1))-AVERAGE(OFFSET($H$3,0,0,'Données projet'!$E$16+1,1))</f>
        <v>457.706832425622</v>
      </c>
      <c r="FK8" s="59">
        <f t="shared" si="48"/>
        <v>474.61768219844873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1.1000000000000001</v>
      </c>
      <c r="FZ8" s="12">
        <f>IF('Données projet'!$A$244&gt;35,FZ7+FY8-GH7,IF(A8&lt;'Données projet'!$A$244,$FW$205^A8,IF(A8='Données projet'!$A$244,'Données projet'!$B$244,FZ7+FY8-GH7)))</f>
        <v>3.3166247903554016</v>
      </c>
      <c r="GA8" s="17">
        <f>FZ8*VLOOKUP('Données projet'!$B$17,Paramètres!$A$1:$I$89,3,0)*VLOOKUP('Données projet'!$B$17,Paramètres!$A$1:$I$89,5,0)</f>
        <v>3.2078394972317446</v>
      </c>
      <c r="GB8" s="13">
        <f t="shared" si="49"/>
        <v>1.2907482506452295</v>
      </c>
      <c r="GC8" s="20">
        <f t="shared" si="25"/>
        <v>7.8350403275523961</v>
      </c>
      <c r="GD8" s="59">
        <f t="shared" si="26"/>
        <v>247.09653373295768</v>
      </c>
      <c r="GE8" s="59">
        <f ca="1">AVERAGE(OFFSET($GD$3,0,0,'Données projet'!$E$17+1,1))-AVERAGE(OFFSET($H$3,0,0,'Données projet'!$E$17+1,1))</f>
        <v>428.11167311086814</v>
      </c>
      <c r="GF8" s="59">
        <f t="shared" si="50"/>
        <v>415.69449942923609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28.205128205128204</v>
      </c>
      <c r="GU8" s="12">
        <f>IF('Données projet'!$A$270&gt;35,GU7+GT8-HC7,IF(A8&lt;'Données projet'!$A$270,$GR$205^A8,IF(A8='Données projet'!$A$270,'Données projet'!$B$270,GU7+GT8-HC7)))</f>
        <v>30.769230769230766</v>
      </c>
      <c r="GV8" s="17">
        <f>GU8*VLOOKUP('Données projet'!$B$18,Paramètres!$A$1:$I$89,3,0)*VLOOKUP('Données projet'!$B$18,Paramètres!$A$1:$I$89,5,0)</f>
        <v>17.616</v>
      </c>
      <c r="GW8" s="13">
        <f t="shared" si="51"/>
        <v>5.8134742959228838</v>
      </c>
      <c r="GX8" s="20">
        <f t="shared" si="28"/>
        <v>40.806334398732353</v>
      </c>
      <c r="GY8" s="59">
        <f t="shared" si="29"/>
        <v>280.06782780413761</v>
      </c>
      <c r="GZ8" s="59">
        <f ca="1">AVERAGE(OFFSET($GY$3,0,0,'Données projet'!$E$18+1,1))-AVERAGE(OFFSET($H$3,0,0,'Données projet'!$E$18+1,1))</f>
        <v>249.88816678272056</v>
      </c>
      <c r="HA8" s="59">
        <f t="shared" si="52"/>
        <v>432.10802787437319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1">
        <f>'Scénario référence'!$B$16*5+'Scénario référence'!$B$17*0+'Scénario référence'!$B$18*5</f>
        <v>1.4000000000000001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5.1333333333333337</v>
      </c>
      <c r="H9" s="65">
        <f t="shared" si="1"/>
        <v>236.13333333333335</v>
      </c>
      <c r="I9" s="6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1.1000000000000001</v>
      </c>
      <c r="N9" s="13">
        <f>IF('Données projet'!$A$36&gt;35,N8+M9-V8,IF(A9&lt;'Données projet'!$A$36,$K$205^A9,IF(A9='Données projet'!$A$36,'Données projet'!$B$36,N8+M9-V8)))</f>
        <v>4.2153691330919028</v>
      </c>
      <c r="O9" s="13">
        <f>N9*VLOOKUP('Données projet'!$B$9,Paramètres!$A$1:$I$89,3,0)*VLOOKUP('Données projet'!$B$9,Paramètres!$A$1:$I$89,5,0)</f>
        <v>3.353747682287918</v>
      </c>
      <c r="P9" s="13">
        <f t="shared" si="33"/>
        <v>1.3424889309030987</v>
      </c>
      <c r="Q9" s="20">
        <f t="shared" si="2"/>
        <v>8.1792787679743544</v>
      </c>
      <c r="R9" s="59">
        <f t="shared" si="0"/>
        <v>249.07094935492685</v>
      </c>
      <c r="S9" s="59">
        <f ca="1">AVERAGE(OFFSET($R$3,0,0,'Données projet'!$E$9+1,1))-AVERAGE(OFFSET($H$3,0,0,'Données projet'!$E$9+1,1))</f>
        <v>360.06385535620069</v>
      </c>
      <c r="T9" s="59">
        <f t="shared" si="34"/>
        <v>350.82516032456408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3.2775509376901719</v>
      </c>
      <c r="AK9" s="13">
        <f t="shared" si="35"/>
        <v>1.315502139804245</v>
      </c>
      <c r="AL9" s="20">
        <f t="shared" si="4"/>
        <v>7.9995674433027766</v>
      </c>
      <c r="AM9" s="59">
        <f t="shared" si="5"/>
        <v>248.89123803025527</v>
      </c>
      <c r="AN9" s="59">
        <f ca="1">AVERAGE(OFFSET($AM$3,0,0,'Données projet'!$E$10+1,1))-AVERAGE(OFFSET($H$3,0,0,'Données projet'!$E$10+1,1))</f>
        <v>448.65237942538027</v>
      </c>
      <c r="AO9" s="59">
        <f t="shared" si="36"/>
        <v>283.56749129825107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2.8284271247461894</v>
      </c>
      <c r="BE9" s="13">
        <f>BD9*VLOOKUP('Données projet'!$B$11,Paramètres!$A$1:$I$89,3,0)*VLOOKUP('Données projet'!$B$11,Paramètres!$A$1:$I$89,5,0)</f>
        <v>2.4267904730322307</v>
      </c>
      <c r="BF9" s="13">
        <f t="shared" si="37"/>
        <v>1.0087106093953995</v>
      </c>
      <c r="BG9" s="20">
        <f t="shared" si="7"/>
        <v>5.9834977185614555</v>
      </c>
      <c r="BH9" s="59">
        <f t="shared" si="8"/>
        <v>246.87516830551397</v>
      </c>
      <c r="BI9" s="59">
        <f ca="1">AVERAGE(OFFSET($BH$3,0,0,'Données projet'!$E$11+1,1))-AVERAGE(OFFSET($H$3,0,0,'Données projet'!$E$11+1,1))</f>
        <v>456.76871853389395</v>
      </c>
      <c r="BJ9" s="59">
        <f t="shared" si="38"/>
        <v>262.12425810289176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11.5</v>
      </c>
      <c r="BY9" s="12">
        <f>IF('Données projet'!$A$114&gt;35,BY8+BX9-CG8,IF(A9&lt;'Données projet'!$A$114,$BV$205^A9,IF(A9='Données projet'!$A$114,'Données projet'!$B$114,BY8+BX9-CG8)))</f>
        <v>17.235294325454703</v>
      </c>
      <c r="BZ9" s="13">
        <f>BY9*VLOOKUP('Données projet'!$B$12,Paramètres!$A$1:$I$89,3,0)*VLOOKUP('Données projet'!$B$12,Paramètres!$A$1:$I$89,5,0)</f>
        <v>12.636917799423388</v>
      </c>
      <c r="CA9" s="13">
        <f t="shared" si="39"/>
        <v>4.3347314253281013</v>
      </c>
      <c r="CB9" s="20">
        <f t="shared" si="10"/>
        <v>29.558955733108835</v>
      </c>
      <c r="CC9" s="59">
        <f t="shared" si="11"/>
        <v>270.45062632006136</v>
      </c>
      <c r="CD9" s="59">
        <f ca="1">AVERAGE(OFFSET($CC$3,0,0,'Données projet'!$E$12+1,1))-AVERAGE(OFFSET($H$3,0,0,'Données projet'!$E$12+1,1))</f>
        <v>242.65851607945316</v>
      </c>
      <c r="CE9" s="59">
        <f t="shared" si="40"/>
        <v>218.9349999985487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5.8</v>
      </c>
      <c r="CT9" s="12">
        <f>IF('Données projet'!$A$140&gt;35,CT8+CS9-DB8,IF(A9&lt;'Données projet'!$A$140,$CQ$205^A9,IF(A9='Données projet'!$A$140,'Données projet'!$B$140,CT8+CS9-DB8)))</f>
        <v>5.9677098701087665</v>
      </c>
      <c r="CU9" s="17">
        <f>CT9*VLOOKUP('Données projet'!$B$13,Paramètres!$A$1:$I$89,3,0)*VLOOKUP('Données projet'!$B$13,Paramètres!$A$1:$I$89,5,0)</f>
        <v>5.2133913425270189</v>
      </c>
      <c r="CV9" s="13">
        <f t="shared" si="41"/>
        <v>1.9824378698032765</v>
      </c>
      <c r="CW9" s="20">
        <f t="shared" si="13"/>
        <v>12.53273587814193</v>
      </c>
      <c r="CX9" s="59">
        <f t="shared" si="14"/>
        <v>253.42440646509442</v>
      </c>
      <c r="CY9" s="59">
        <f ca="1">AVERAGE(OFFSET($CX$3,0,0,'Données projet'!$E$13+1,1))-AVERAGE(OFFSET($H$3,0,0,'Données projet'!$E$13+1,1))</f>
        <v>326.9460696675867</v>
      </c>
      <c r="CZ9" s="59">
        <f t="shared" si="42"/>
        <v>393.4020374592568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5.85</v>
      </c>
      <c r="DO9" s="12">
        <f>IF('Données projet'!$A$166&gt;35,DO8+DN9-DW8,IF(A9&lt;'Données projet'!$A$166,$DL$205^A9,IF(A9='Données projet'!$A$166,'Données projet'!$B$166,DO8+DN9-DW8)))</f>
        <v>4.1730708532587206</v>
      </c>
      <c r="DP9" s="17">
        <f>DO9*VLOOKUP('Données projet'!$B$14,Paramètres!$A$1:$I$89,3,0)*VLOOKUP('Données projet'!$B$14,Paramètres!$A$1:$I$89,5,0)</f>
        <v>3.2549952655418024</v>
      </c>
      <c r="DQ9" s="13">
        <f t="shared" si="43"/>
        <v>1.3074995980786071</v>
      </c>
      <c r="DR9" s="20">
        <f t="shared" si="16"/>
        <v>7.9463452208055463</v>
      </c>
      <c r="DS9" s="59">
        <f t="shared" si="17"/>
        <v>248.83801580775804</v>
      </c>
      <c r="DT9" s="59">
        <f ca="1">AVERAGE(OFFSET($DS$3,0,0,'Données projet'!$E$14+1,1))-AVERAGE(OFFSET($H$3,0,0,'Données projet'!$E$14+1,1))</f>
        <v>364.34528546733799</v>
      </c>
      <c r="DU9" s="59">
        <f t="shared" si="44"/>
        <v>346.5839763411152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2.8276696144780482</v>
      </c>
      <c r="EL9" s="13">
        <f t="shared" si="45"/>
        <v>1.1546076570283019</v>
      </c>
      <c r="EM9" s="20">
        <f t="shared" si="19"/>
        <v>6.9357995812068935</v>
      </c>
      <c r="EN9" s="59">
        <f t="shared" si="20"/>
        <v>247.82747016815938</v>
      </c>
      <c r="EO9" s="59">
        <f ca="1">AVERAGE(OFFSET($EN$3,0,0,'Données projet'!$E$15+1,1))-AVERAGE(OFFSET($H$3,0,0,'Données projet'!$E$15+1,1))</f>
        <v>310.38232870602445</v>
      </c>
      <c r="EP9" s="59">
        <f t="shared" si="46"/>
        <v>303.45934457265537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6.7</v>
      </c>
      <c r="FE9" s="12">
        <f>IF('Données projet'!$A$218&gt;35,FE8+FD9-FM8,IF(A9&lt;'Données projet'!$A$218,$FB$205^A9,IF(A9='Données projet'!$A$218,'Données projet'!$B$218,FE8+FD9-FM8)))</f>
        <v>12.463639577568397</v>
      </c>
      <c r="FF9" s="17">
        <f>FE9*VLOOKUP('Données projet'!$B$16,Paramètres!$A$1:$I$89,3,0)*VLOOKUP('Données projet'!$B$16,Paramètres!$A$1:$I$89,5,0)</f>
        <v>11.860399422014087</v>
      </c>
      <c r="FG9" s="13">
        <f t="shared" si="47"/>
        <v>4.0985120811516644</v>
      </c>
      <c r="FH9" s="20">
        <f t="shared" si="22"/>
        <v>27.795104201347016</v>
      </c>
      <c r="FI9" s="59">
        <f t="shared" si="23"/>
        <v>268.68677478829954</v>
      </c>
      <c r="FJ9" s="59">
        <f ca="1">AVERAGE(OFFSET($FI$3,0,0,'Données projet'!$E$16+1,1))-AVERAGE(OFFSET($H$3,0,0,'Données projet'!$E$16+1,1))</f>
        <v>457.706832425622</v>
      </c>
      <c r="FK9" s="59">
        <f t="shared" si="48"/>
        <v>474.61768219844873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1.1000000000000001</v>
      </c>
      <c r="FZ9" s="12">
        <f>IF('Données projet'!$A$244&gt;35,FZ8+FY9-GH8,IF(A9&lt;'Données projet'!$A$244,$FW$205^A9,IF(A9='Données projet'!$A$244,'Données projet'!$B$244,FZ8+FY9-GH8)))</f>
        <v>4.2153691330919028</v>
      </c>
      <c r="GA9" s="17">
        <f>FZ9*VLOOKUP('Données projet'!$B$17,Paramètres!$A$1:$I$89,3,0)*VLOOKUP('Données projet'!$B$17,Paramètres!$A$1:$I$89,5,0)</f>
        <v>4.077105025526488</v>
      </c>
      <c r="GB9" s="13">
        <f t="shared" si="49"/>
        <v>1.5953611162447752</v>
      </c>
      <c r="GC9" s="20">
        <f t="shared" si="25"/>
        <v>9.8795451969182846</v>
      </c>
      <c r="GD9" s="59">
        <f t="shared" si="26"/>
        <v>250.77121578387079</v>
      </c>
      <c r="GE9" s="59">
        <f ca="1">AVERAGE(OFFSET($GD$3,0,0,'Données projet'!$E$17+1,1))-AVERAGE(OFFSET($H$3,0,0,'Données projet'!$E$17+1,1))</f>
        <v>428.11167311086814</v>
      </c>
      <c r="GF9" s="59">
        <f t="shared" si="50"/>
        <v>415.69449942923609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28.205128205128204</v>
      </c>
      <c r="GU9" s="12">
        <f>IF('Données projet'!$A$270&gt;35,GU8+GT9-HC8,IF(A9&lt;'Données projet'!$A$270,$GR$205^A9,IF(A9='Données projet'!$A$270,'Données projet'!$B$270,GU8+GT9-HC8)))</f>
        <v>58.974358974358971</v>
      </c>
      <c r="GV9" s="17">
        <f>GU9*VLOOKUP('Données projet'!$B$18,Paramètres!$A$1:$I$89,3,0)*VLOOKUP('Données projet'!$B$18,Paramètres!$A$1:$I$89,5,0)</f>
        <v>33.764000000000003</v>
      </c>
      <c r="GW9" s="13">
        <f t="shared" si="51"/>
        <v>10.329847819368689</v>
      </c>
      <c r="GX9" s="20">
        <f t="shared" si="28"/>
        <v>76.796784952067128</v>
      </c>
      <c r="GY9" s="59">
        <f t="shared" si="29"/>
        <v>317.68845553901963</v>
      </c>
      <c r="GZ9" s="59">
        <f ca="1">AVERAGE(OFFSET($GY$3,0,0,'Données projet'!$E$18+1,1))-AVERAGE(OFFSET($H$3,0,0,'Données projet'!$E$18+1,1))</f>
        <v>249.88816678272056</v>
      </c>
      <c r="HA9" s="59">
        <f t="shared" si="52"/>
        <v>432.10802787437319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1">
        <f>'Scénario référence'!$B$16*5+'Scénario référence'!$B$17*0+'Scénario référence'!$B$18*5</f>
        <v>1.4000000000000001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5.1333333333333337</v>
      </c>
      <c r="H10" s="65">
        <f t="shared" si="1"/>
        <v>236.13333333333335</v>
      </c>
      <c r="I10" s="6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1.1000000000000001</v>
      </c>
      <c r="N10" s="13">
        <f>IF('Données projet'!$A$36&gt;35,N9+M10-V9,IF(A10&lt;'Données projet'!$A$36,$K$205^A10,IF(A10='Données projet'!$A$36,'Données projet'!$B$36,N9+M10-V9)))</f>
        <v>5.3576566694841175</v>
      </c>
      <c r="O10" s="13">
        <f>N10*VLOOKUP('Données projet'!$B$9,Paramètres!$A$1:$I$89,3,0)*VLOOKUP('Données projet'!$B$9,Paramètres!$A$1:$I$89,5,0)</f>
        <v>4.2625516462415645</v>
      </c>
      <c r="P10" s="13">
        <f t="shared" si="33"/>
        <v>1.6593124478620722</v>
      </c>
      <c r="Q10" s="20">
        <f t="shared" si="2"/>
        <v>10.313913297230501</v>
      </c>
      <c r="R10" s="59">
        <f t="shared" si="0"/>
        <v>252.8286839592366</v>
      </c>
      <c r="S10" s="59">
        <f ca="1">AVERAGE(OFFSET($R$3,0,0,'Données projet'!$E$9+1,1))-AVERAGE(OFFSET($H$3,0,0,'Données projet'!$E$9+1,1))</f>
        <v>360.06385535620069</v>
      </c>
      <c r="T10" s="59">
        <f t="shared" si="34"/>
        <v>350.82516032456408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4.0617724818240486</v>
      </c>
      <c r="AK10" s="13">
        <f t="shared" si="35"/>
        <v>1.590058719758437</v>
      </c>
      <c r="AL10" s="20">
        <f t="shared" si="4"/>
        <v>9.8436060094228282</v>
      </c>
      <c r="AM10" s="59">
        <f t="shared" si="5"/>
        <v>252.35837667142891</v>
      </c>
      <c r="AN10" s="59">
        <f ca="1">AVERAGE(OFFSET($AM$3,0,0,'Données projet'!$E$10+1,1))-AVERAGE(OFFSET($H$3,0,0,'Données projet'!$E$10+1,1))</f>
        <v>448.65237942538027</v>
      </c>
      <c r="AO10" s="59">
        <f t="shared" si="36"/>
        <v>283.56749129825107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3.3635856610148567</v>
      </c>
      <c r="BE10" s="13">
        <f>BD10*VLOOKUP('Données projet'!$B$11,Paramètres!$A$1:$I$89,3,0)*VLOOKUP('Données projet'!$B$11,Paramètres!$A$1:$I$89,5,0)</f>
        <v>2.8859564971507474</v>
      </c>
      <c r="BF10" s="13">
        <f t="shared" si="37"/>
        <v>1.1756122821876749</v>
      </c>
      <c r="BG10" s="20">
        <f t="shared" si="7"/>
        <v>7.073898957347752</v>
      </c>
      <c r="BH10" s="59">
        <f t="shared" si="8"/>
        <v>249.58866961935385</v>
      </c>
      <c r="BI10" s="59">
        <f ca="1">AVERAGE(OFFSET($BH$3,0,0,'Données projet'!$E$11+1,1))-AVERAGE(OFFSET($H$3,0,0,'Données projet'!$E$11+1,1))</f>
        <v>456.76871853389395</v>
      </c>
      <c r="BJ10" s="59">
        <f t="shared" si="38"/>
        <v>262.12425810289176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11.5</v>
      </c>
      <c r="BY10" s="12">
        <f>IF('Données projet'!$A$114&gt;35,BY9+BX10-CG9,IF(A10&lt;'Données projet'!$A$114,$BV$205^A10,IF(A10='Données projet'!$A$114,'Données projet'!$B$114,BY9+BX10-CG9)))</f>
        <v>27.700556129091794</v>
      </c>
      <c r="BZ10" s="13">
        <f>BY10*VLOOKUP('Données projet'!$B$12,Paramètres!$A$1:$I$89,3,0)*VLOOKUP('Données projet'!$B$12,Paramètres!$A$1:$I$89,5,0)</f>
        <v>20.310047753850103</v>
      </c>
      <c r="CA10" s="13">
        <f t="shared" si="39"/>
        <v>6.5924289133797958</v>
      </c>
      <c r="CB10" s="20">
        <f t="shared" si="10"/>
        <v>46.855146862092077</v>
      </c>
      <c r="CC10" s="59">
        <f t="shared" si="11"/>
        <v>289.36991752409818</v>
      </c>
      <c r="CD10" s="59">
        <f ca="1">AVERAGE(OFFSET($CC$3,0,0,'Données projet'!$E$12+1,1))-AVERAGE(OFFSET($H$3,0,0,'Données projet'!$E$12+1,1))</f>
        <v>242.65851607945316</v>
      </c>
      <c r="CE10" s="59">
        <f t="shared" si="40"/>
        <v>218.9349999985487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5.8</v>
      </c>
      <c r="CT10" s="12">
        <f>IF('Données projet'!$A$140&gt;35,CT9+CS10-DB9,IF(A10&lt;'Données projet'!$A$140,$CQ$205^A10,IF(A10='Données projet'!$A$140,'Données projet'!$B$140,CT9+CS10-DB9)))</f>
        <v>8.0372778932539148</v>
      </c>
      <c r="CU10" s="17">
        <f>CT10*VLOOKUP('Données projet'!$B$13,Paramètres!$A$1:$I$89,3,0)*VLOOKUP('Données projet'!$B$13,Paramètres!$A$1:$I$89,5,0)</f>
        <v>7.0213659675466209</v>
      </c>
      <c r="CV10" s="13">
        <f t="shared" si="41"/>
        <v>2.5789932139603198</v>
      </c>
      <c r="CW10" s="20">
        <f t="shared" si="13"/>
        <v>16.72062557445792</v>
      </c>
      <c r="CX10" s="59">
        <f t="shared" si="14"/>
        <v>259.235396236464</v>
      </c>
      <c r="CY10" s="59">
        <f ca="1">AVERAGE(OFFSET($CX$3,0,0,'Données projet'!$E$13+1,1))-AVERAGE(OFFSET($H$3,0,0,'Données projet'!$E$13+1,1))</f>
        <v>326.9460696675867</v>
      </c>
      <c r="CZ10" s="59">
        <f t="shared" si="42"/>
        <v>393.4020374592568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5.85</v>
      </c>
      <c r="DO10" s="12">
        <f>IF('Données projet'!$A$166&gt;35,DO9+DN10-DW9,IF(A10&lt;'Données projet'!$A$166,$DL$205^A10,IF(A10='Données projet'!$A$166,'Données projet'!$B$166,DO9+DN10-DW9)))</f>
        <v>5.2949888705880443</v>
      </c>
      <c r="DP10" s="17">
        <f>DO10*VLOOKUP('Données projet'!$B$14,Paramètres!$A$1:$I$89,3,0)*VLOOKUP('Données projet'!$B$14,Paramètres!$A$1:$I$89,5,0)</f>
        <v>4.1300913190586748</v>
      </c>
      <c r="DQ10" s="13">
        <f t="shared" si="43"/>
        <v>1.6136673633027767</v>
      </c>
      <c r="DR10" s="20">
        <f t="shared" si="16"/>
        <v>10.003713038446195</v>
      </c>
      <c r="DS10" s="59">
        <f t="shared" si="17"/>
        <v>252.51848370045229</v>
      </c>
      <c r="DT10" s="59">
        <f ca="1">AVERAGE(OFFSET($DS$3,0,0,'Données projet'!$E$14+1,1))-AVERAGE(OFFSET($H$3,0,0,'Données projet'!$E$14+1,1))</f>
        <v>364.34528546733799</v>
      </c>
      <c r="DU10" s="59">
        <f t="shared" si="44"/>
        <v>346.5839763411152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3.5939160938899462</v>
      </c>
      <c r="EL10" s="13">
        <f t="shared" si="45"/>
        <v>1.4270917350619183</v>
      </c>
      <c r="EM10" s="20">
        <f t="shared" si="19"/>
        <v>8.7449219687578292</v>
      </c>
      <c r="EN10" s="59">
        <f t="shared" si="20"/>
        <v>251.25969263076394</v>
      </c>
      <c r="EO10" s="59">
        <f ca="1">AVERAGE(OFFSET($EN$3,0,0,'Données projet'!$E$15+1,1))-AVERAGE(OFFSET($H$3,0,0,'Données projet'!$E$15+1,1))</f>
        <v>310.38232870602445</v>
      </c>
      <c r="EP10" s="59">
        <f t="shared" si="46"/>
        <v>303.45934457265537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6.7</v>
      </c>
      <c r="FE10" s="12">
        <f>IF('Données projet'!$A$218&gt;35,FE9+FD10-FM9,IF(A10&lt;'Données projet'!$A$218,$FB$205^A10,IF(A10='Données projet'!$A$218,'Données projet'!$B$218,FE9+FD10-FM9)))</f>
        <v>18.978083883364974</v>
      </c>
      <c r="FF10" s="17">
        <f>FE10*VLOOKUP('Données projet'!$B$16,Paramètres!$A$1:$I$89,3,0)*VLOOKUP('Données projet'!$B$16,Paramètres!$A$1:$I$89,5,0)</f>
        <v>18.059544623410108</v>
      </c>
      <c r="FG10" s="13">
        <f t="shared" si="47"/>
        <v>5.942623132279782</v>
      </c>
      <c r="FH10" s="20">
        <f t="shared" si="22"/>
        <v>41.80377550782655</v>
      </c>
      <c r="FI10" s="59">
        <f t="shared" si="23"/>
        <v>284.31854616983264</v>
      </c>
      <c r="FJ10" s="59">
        <f ca="1">AVERAGE(OFFSET($FI$3,0,0,'Données projet'!$E$16+1,1))-AVERAGE(OFFSET($H$3,0,0,'Données projet'!$E$16+1,1))</f>
        <v>457.706832425622</v>
      </c>
      <c r="FK10" s="59">
        <f t="shared" si="48"/>
        <v>474.61768219844873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1.1000000000000001</v>
      </c>
      <c r="FZ10" s="12">
        <f>IF('Données projet'!$A$244&gt;35,FZ9+FY10-GH9,IF(A10&lt;'Données projet'!$A$244,$FW$205^A10,IF(A10='Données projet'!$A$244,'Données projet'!$B$244,FZ9+FY10-GH9)))</f>
        <v>5.3576566694841175</v>
      </c>
      <c r="GA10" s="17">
        <f>FZ10*VLOOKUP('Données projet'!$B$17,Paramètres!$A$1:$I$89,3,0)*VLOOKUP('Données projet'!$B$17,Paramètres!$A$1:$I$89,5,0)</f>
        <v>5.1819255307250387</v>
      </c>
      <c r="GB10" s="13">
        <f t="shared" si="49"/>
        <v>1.9718617398501002</v>
      </c>
      <c r="GC10" s="20">
        <f t="shared" si="25"/>
        <v>12.459512829585032</v>
      </c>
      <c r="GD10" s="59">
        <f t="shared" si="26"/>
        <v>254.97428349159114</v>
      </c>
      <c r="GE10" s="59">
        <f ca="1">AVERAGE(OFFSET($GD$3,0,0,'Données projet'!$E$17+1,1))-AVERAGE(OFFSET($H$3,0,0,'Données projet'!$E$17+1,1))</f>
        <v>428.11167311086814</v>
      </c>
      <c r="GF10" s="59">
        <f t="shared" si="50"/>
        <v>415.69449942923609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28.205128205128204</v>
      </c>
      <c r="GU10" s="12">
        <f>IF('Données projet'!$A$270&gt;35,GU9+GT10-HC9,IF(A10&lt;'Données projet'!$A$270,$GR$205^A10,IF(A10='Données projet'!$A$270,'Données projet'!$B$270,GU9+GT10-HC9)))</f>
        <v>87.179487179487182</v>
      </c>
      <c r="GV10" s="17">
        <f>GU10*VLOOKUP('Données projet'!$B$18,Paramètres!$A$1:$I$89,3,0)*VLOOKUP('Données projet'!$B$18,Paramètres!$A$1:$I$89,5,0)</f>
        <v>49.911999999999999</v>
      </c>
      <c r="GW10" s="13">
        <f t="shared" si="51"/>
        <v>14.59103095027077</v>
      </c>
      <c r="GX10" s="20">
        <f t="shared" si="28"/>
        <v>112.34277890505491</v>
      </c>
      <c r="GY10" s="59">
        <f t="shared" si="29"/>
        <v>354.85754956706103</v>
      </c>
      <c r="GZ10" s="59">
        <f ca="1">AVERAGE(OFFSET($GY$3,0,0,'Données projet'!$E$18+1,1))-AVERAGE(OFFSET($H$3,0,0,'Données projet'!$E$18+1,1))</f>
        <v>249.88816678272056</v>
      </c>
      <c r="HA10" s="59">
        <f t="shared" si="52"/>
        <v>432.10802787437319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1">
        <f>'Scénario référence'!$B$16*5+'Scénario référence'!$B$17*0+'Scénario référence'!$B$18*5</f>
        <v>1.4000000000000001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5.1333333333333337</v>
      </c>
      <c r="H11" s="65">
        <f t="shared" si="1"/>
        <v>236.13333333333335</v>
      </c>
      <c r="I11" s="6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1.1000000000000001</v>
      </c>
      <c r="N11" s="13">
        <f>IF('Données projet'!$A$36&gt;35,N10+M11-V10,IF(A11&lt;'Données projet'!$A$36,$K$205^A11,IF(A11='Données projet'!$A$36,'Données projet'!$B$36,N10+M11-V10)))</f>
        <v>6.8094831275223076</v>
      </c>
      <c r="O11" s="13">
        <f>N11*VLOOKUP('Données projet'!$B$9,Paramètres!$A$1:$I$89,3,0)*VLOOKUP('Données projet'!$B$9,Paramètres!$A$1:$I$89,5,0)</f>
        <v>5.4176247762567487</v>
      </c>
      <c r="P11" s="13">
        <f t="shared" si="33"/>
        <v>2.0509054013412618</v>
      </c>
      <c r="Q11" s="20">
        <f t="shared" si="2"/>
        <v>13.007690059316532</v>
      </c>
      <c r="R11" s="59">
        <f t="shared" si="0"/>
        <v>257.13860646185833</v>
      </c>
      <c r="S11" s="59">
        <f ca="1">AVERAGE(OFFSET($R$3,0,0,'Données projet'!$E$9+1,1))-AVERAGE(OFFSET($H$3,0,0,'Données projet'!$E$9+1,1))</f>
        <v>360.06385535620069</v>
      </c>
      <c r="T11" s="59">
        <f t="shared" si="34"/>
        <v>350.82516032456408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5.0336351769196082</v>
      </c>
      <c r="AK11" s="13">
        <f t="shared" si="35"/>
        <v>1.9219176128866391</v>
      </c>
      <c r="AL11" s="20">
        <f t="shared" si="4"/>
        <v>12.11425444224588</v>
      </c>
      <c r="AM11" s="59">
        <f t="shared" si="5"/>
        <v>256.24517084478765</v>
      </c>
      <c r="AN11" s="59">
        <f ca="1">AVERAGE(OFFSET($AM$3,0,0,'Données projet'!$E$10+1,1))-AVERAGE(OFFSET($H$3,0,0,'Données projet'!$E$10+1,1))</f>
        <v>448.65237942538027</v>
      </c>
      <c r="AO11" s="59">
        <f t="shared" si="36"/>
        <v>283.56749129825107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3.9999999999999982</v>
      </c>
      <c r="BE11" s="13">
        <f>BD11*VLOOKUP('Données projet'!$B$11,Paramètres!$A$1:$I$89,3,0)*VLOOKUP('Données projet'!$B$11,Paramètres!$A$1:$I$89,5,0)</f>
        <v>3.4319999999999991</v>
      </c>
      <c r="BF11" s="13">
        <f t="shared" si="37"/>
        <v>1.3701295744860806</v>
      </c>
      <c r="BG11" s="20">
        <f t="shared" si="7"/>
        <v>8.3637090088965884</v>
      </c>
      <c r="BH11" s="59">
        <f t="shared" si="8"/>
        <v>252.49462541143836</v>
      </c>
      <c r="BI11" s="59">
        <f ca="1">AVERAGE(OFFSET($BH$3,0,0,'Données projet'!$E$11+1,1))-AVERAGE(OFFSET($H$3,0,0,'Données projet'!$E$11+1,1))</f>
        <v>456.76871853389395</v>
      </c>
      <c r="BJ11" s="59">
        <f t="shared" si="38"/>
        <v>262.12425810289176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11.5</v>
      </c>
      <c r="BY11" s="12">
        <f>IF('Données projet'!$A$114&gt;35,BY10+BX11-CG10,IF(A11&lt;'Données projet'!$A$114,$BV$205^A11,IF(A11='Données projet'!$A$114,'Données projet'!$B$114,BY10+BX11-CG10)))</f>
        <v>44.520319489276915</v>
      </c>
      <c r="BZ11" s="13">
        <f>BY11*VLOOKUP('Données projet'!$B$12,Paramètres!$A$1:$I$89,3,0)*VLOOKUP('Données projet'!$B$12,Paramètres!$A$1:$I$89,5,0)</f>
        <v>32.642298249537831</v>
      </c>
      <c r="CA11" s="13">
        <f t="shared" si="39"/>
        <v>10.026023463420534</v>
      </c>
      <c r="CB11" s="20">
        <f t="shared" si="10"/>
        <v>74.31399365006915</v>
      </c>
      <c r="CC11" s="59">
        <f t="shared" si="11"/>
        <v>318.44491005261091</v>
      </c>
      <c r="CD11" s="59">
        <f ca="1">AVERAGE(OFFSET($CC$3,0,0,'Données projet'!$E$12+1,1))-AVERAGE(OFFSET($H$3,0,0,'Données projet'!$E$12+1,1))</f>
        <v>242.65851607945316</v>
      </c>
      <c r="CE11" s="59">
        <f t="shared" si="40"/>
        <v>218.9349999985487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5.8</v>
      </c>
      <c r="CT11" s="12">
        <f>IF('Données projet'!$A$140&gt;35,CT10+CS11-DB10,IF(A11&lt;'Données projet'!$A$140,$CQ$205^A11,IF(A11='Données projet'!$A$140,'Données projet'!$B$140,CT10+CS11-DB10)))</f>
        <v>10.824560399115168</v>
      </c>
      <c r="CU11" s="17">
        <f>CT11*VLOOKUP('Données projet'!$B$13,Paramètres!$A$1:$I$89,3,0)*VLOOKUP('Données projet'!$B$13,Paramètres!$A$1:$I$89,5,0)</f>
        <v>9.4563359646670122</v>
      </c>
      <c r="CV11" s="13">
        <f t="shared" si="41"/>
        <v>3.3550640345230081</v>
      </c>
      <c r="CW11" s="20">
        <f t="shared" si="13"/>
        <v>22.313188331922618</v>
      </c>
      <c r="CX11" s="59">
        <f t="shared" si="14"/>
        <v>266.44410473446442</v>
      </c>
      <c r="CY11" s="59">
        <f ca="1">AVERAGE(OFFSET($CX$3,0,0,'Données projet'!$E$13+1,1))-AVERAGE(OFFSET($H$3,0,0,'Données projet'!$E$13+1,1))</f>
        <v>326.9460696675867</v>
      </c>
      <c r="CZ11" s="59">
        <f t="shared" si="42"/>
        <v>393.4020374592568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5.85</v>
      </c>
      <c r="DO11" s="12">
        <f>IF('Données projet'!$A$166&gt;35,DO10+DN11-DW10,IF(A11&lt;'Données projet'!$A$166,$DL$205^A11,IF(A11='Données projet'!$A$166,'Données projet'!$B$166,DO10+DN11-DW10)))</f>
        <v>6.718531298781433</v>
      </c>
      <c r="DP11" s="17">
        <f>DO11*VLOOKUP('Données projet'!$B$14,Paramètres!$A$1:$I$89,3,0)*VLOOKUP('Données projet'!$B$14,Paramètres!$A$1:$I$89,5,0)</f>
        <v>5.2404544130495179</v>
      </c>
      <c r="DQ11" s="13">
        <f t="shared" si="43"/>
        <v>1.9915282293126844</v>
      </c>
      <c r="DR11" s="20">
        <f t="shared" si="16"/>
        <v>12.59570310211417</v>
      </c>
      <c r="DS11" s="59">
        <f t="shared" si="17"/>
        <v>256.72661950465596</v>
      </c>
      <c r="DT11" s="59">
        <f ca="1">AVERAGE(OFFSET($DS$3,0,0,'Données projet'!$E$14+1,1))-AVERAGE(OFFSET($H$3,0,0,'Données projet'!$E$14+1,1))</f>
        <v>364.34528546733799</v>
      </c>
      <c r="DU11" s="59">
        <f t="shared" si="44"/>
        <v>346.5839763411152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4.5678012819419642</v>
      </c>
      <c r="EL11" s="13">
        <f t="shared" si="45"/>
        <v>1.7638812698711521</v>
      </c>
      <c r="EM11" s="20">
        <f t="shared" si="19"/>
        <v>11.027680444407844</v>
      </c>
      <c r="EN11" s="59">
        <f t="shared" si="20"/>
        <v>255.15859684694962</v>
      </c>
      <c r="EO11" s="59">
        <f ca="1">AVERAGE(OFFSET($EN$3,0,0,'Données projet'!$E$15+1,1))-AVERAGE(OFFSET($H$3,0,0,'Données projet'!$E$15+1,1))</f>
        <v>310.38232870602445</v>
      </c>
      <c r="EP11" s="59">
        <f t="shared" si="46"/>
        <v>303.45934457265537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6.7</v>
      </c>
      <c r="FE11" s="12">
        <f>IF('Données projet'!$A$218&gt;35,FE10+FD11-FM10,IF(A11&lt;'Données projet'!$A$218,$FB$205^A11,IF(A11='Données projet'!$A$218,'Données projet'!$B$218,FE10+FD11-FM10)))</f>
        <v>28.897471372026349</v>
      </c>
      <c r="FF11" s="17">
        <f>FE11*VLOOKUP('Données projet'!$B$16,Paramètres!$A$1:$I$89,3,0)*VLOOKUP('Données projet'!$B$16,Paramètres!$A$1:$I$89,5,0)</f>
        <v>27.498833757620275</v>
      </c>
      <c r="FG11" s="13">
        <f t="shared" si="47"/>
        <v>8.6164854447332626</v>
      </c>
      <c r="FH11" s="20">
        <f t="shared" si="22"/>
        <v>62.900847610765744</v>
      </c>
      <c r="FI11" s="59">
        <f t="shared" si="23"/>
        <v>307.03176401330751</v>
      </c>
      <c r="FJ11" s="59">
        <f ca="1">AVERAGE(OFFSET($FI$3,0,0,'Données projet'!$E$16+1,1))-AVERAGE(OFFSET($H$3,0,0,'Données projet'!$E$16+1,1))</f>
        <v>457.706832425622</v>
      </c>
      <c r="FK11" s="59">
        <f t="shared" si="48"/>
        <v>474.61768219844873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1.1000000000000001</v>
      </c>
      <c r="FZ11" s="12">
        <f>IF('Données projet'!$A$244&gt;35,FZ10+FY11-GH10,IF(A11&lt;'Données projet'!$A$244,$FW$205^A11,IF(A11='Données projet'!$A$244,'Données projet'!$B$244,FZ10+FY11-GH10)))</f>
        <v>6.8094831275223076</v>
      </c>
      <c r="GA11" s="17">
        <f>FZ11*VLOOKUP('Données projet'!$B$17,Paramètres!$A$1:$I$89,3,0)*VLOOKUP('Données projet'!$B$17,Paramètres!$A$1:$I$89,5,0)</f>
        <v>6.586132080939576</v>
      </c>
      <c r="GB11" s="13">
        <f t="shared" si="49"/>
        <v>2.4372154250800317</v>
      </c>
      <c r="GC11" s="20">
        <f t="shared" si="25"/>
        <v>15.715663572984148</v>
      </c>
      <c r="GD11" s="59">
        <f t="shared" si="26"/>
        <v>259.84657997552591</v>
      </c>
      <c r="GE11" s="59">
        <f ca="1">AVERAGE(OFFSET($GD$3,0,0,'Données projet'!$E$17+1,1))-AVERAGE(OFFSET($H$3,0,0,'Données projet'!$E$17+1,1))</f>
        <v>428.11167311086814</v>
      </c>
      <c r="GF11" s="59">
        <f t="shared" si="50"/>
        <v>415.69449942923609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28.205128205128204</v>
      </c>
      <c r="GU11" s="12">
        <f>IF('Données projet'!$A$270&gt;35,GU10+GT11-HC10,IF(A11&lt;'Données projet'!$A$270,$GR$205^A11,IF(A11='Données projet'!$A$270,'Données projet'!$B$270,GU10+GT11-HC10)))</f>
        <v>115.38461538461539</v>
      </c>
      <c r="GV11" s="17">
        <f>GU11*VLOOKUP('Données projet'!$B$18,Paramètres!$A$1:$I$89,3,0)*VLOOKUP('Données projet'!$B$18,Paramètres!$A$1:$I$89,5,0)</f>
        <v>66.06</v>
      </c>
      <c r="GW11" s="13">
        <f t="shared" si="51"/>
        <v>18.691742295935338</v>
      </c>
      <c r="GX11" s="20">
        <f t="shared" si="28"/>
        <v>147.60928449875405</v>
      </c>
      <c r="GY11" s="59">
        <f t="shared" si="29"/>
        <v>391.74020090129579</v>
      </c>
      <c r="GZ11" s="59">
        <f ca="1">AVERAGE(OFFSET($GY$3,0,0,'Données projet'!$E$18+1,1))-AVERAGE(OFFSET($H$3,0,0,'Données projet'!$E$18+1,1))</f>
        <v>249.88816678272056</v>
      </c>
      <c r="HA11" s="59">
        <f t="shared" si="52"/>
        <v>432.10802787437319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1">
        <f>'Scénario référence'!$B$16*5+'Scénario référence'!$B$17*0+'Scénario référence'!$B$18*5</f>
        <v>1.4000000000000001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5.1333333333333337</v>
      </c>
      <c r="H12" s="65">
        <f t="shared" si="1"/>
        <v>236.13333333333335</v>
      </c>
      <c r="I12" s="6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1.1000000000000001</v>
      </c>
      <c r="N12" s="13">
        <f>IF('Données projet'!$A$36&gt;35,N11+M12-V11,IF(A12&lt;'Données projet'!$A$36,$K$205^A12,IF(A12='Données projet'!$A$36,'Données projet'!$B$36,N11+M12-V11)))</f>
        <v>8.6547278641645029</v>
      </c>
      <c r="O12" s="13">
        <f>N12*VLOOKUP('Données projet'!$B$9,Paramètres!$A$1:$I$89,3,0)*VLOOKUP('Données projet'!$B$9,Paramètres!$A$1:$I$89,5,0)</f>
        <v>6.8857014887292793</v>
      </c>
      <c r="P12" s="13">
        <f t="shared" si="33"/>
        <v>2.5349131627802968</v>
      </c>
      <c r="Q12" s="20">
        <f t="shared" si="2"/>
        <v>16.407570518045844</v>
      </c>
      <c r="R12" s="59">
        <f t="shared" si="0"/>
        <v>262.14779896876155</v>
      </c>
      <c r="S12" s="59">
        <f ca="1">AVERAGE(OFFSET($R$3,0,0,'Données projet'!$E$9+1,1))-AVERAGE(OFFSET($H$3,0,0,'Données projet'!$E$9+1,1))</f>
        <v>360.06385535620069</v>
      </c>
      <c r="T12" s="59">
        <f t="shared" si="34"/>
        <v>350.82516032456408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6.2380360317336141</v>
      </c>
      <c r="AK12" s="13">
        <f t="shared" si="35"/>
        <v>2.3230383034439352</v>
      </c>
      <c r="AL12" s="20">
        <f t="shared" si="4"/>
        <v>14.910537800434229</v>
      </c>
      <c r="AM12" s="59">
        <f t="shared" si="5"/>
        <v>260.65076625114995</v>
      </c>
      <c r="AN12" s="59">
        <f ca="1">AVERAGE(OFFSET($AM$3,0,0,'Données projet'!$E$10+1,1))-AVERAGE(OFFSET($H$3,0,0,'Données projet'!$E$10+1,1))</f>
        <v>448.65237942538027</v>
      </c>
      <c r="AO12" s="59">
        <f t="shared" si="36"/>
        <v>283.56749129825107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4.7568284600108823</v>
      </c>
      <c r="BE12" s="13">
        <f>BD12*VLOOKUP('Données projet'!$B$11,Paramètres!$A$1:$I$89,3,0)*VLOOKUP('Données projet'!$B$11,Paramètres!$A$1:$I$89,5,0)</f>
        <v>4.0813588186893375</v>
      </c>
      <c r="BF12" s="13">
        <f t="shared" si="37"/>
        <v>1.5968317780655192</v>
      </c>
      <c r="BG12" s="20">
        <f t="shared" si="7"/>
        <v>9.8895152893480418</v>
      </c>
      <c r="BH12" s="59">
        <f t="shared" si="8"/>
        <v>255.62974374006376</v>
      </c>
      <c r="BI12" s="59">
        <f ca="1">AVERAGE(OFFSET($BH$3,0,0,'Données projet'!$E$11+1,1))-AVERAGE(OFFSET($H$3,0,0,'Données projet'!$E$11+1,1))</f>
        <v>456.76871853389395</v>
      </c>
      <c r="BJ12" s="59">
        <f t="shared" si="38"/>
        <v>262.12425810289176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11.5</v>
      </c>
      <c r="BY12" s="12">
        <f>IF('Données projet'!$A$114&gt;35,BY11+BX12-CG11,IF(A12&lt;'Données projet'!$A$114,$BV$205^A12,IF(A12='Données projet'!$A$114,'Données projet'!$B$114,BY11+BX12-CG11)))</f>
        <v>71.553034465820133</v>
      </c>
      <c r="BZ12" s="13">
        <f>BY12*VLOOKUP('Données projet'!$B$12,Paramètres!$A$1:$I$89,3,0)*VLOOKUP('Données projet'!$B$12,Paramètres!$A$1:$I$89,5,0)</f>
        <v>52.462684870339316</v>
      </c>
      <c r="CA12" s="13">
        <f t="shared" si="39"/>
        <v>15.247968208658939</v>
      </c>
      <c r="CB12" s="20">
        <f t="shared" si="10"/>
        <v>117.92938744592196</v>
      </c>
      <c r="CC12" s="59">
        <f t="shared" si="11"/>
        <v>363.66961589663765</v>
      </c>
      <c r="CD12" s="59">
        <f ca="1">AVERAGE(OFFSET($CC$3,0,0,'Données projet'!$E$12+1,1))-AVERAGE(OFFSET($H$3,0,0,'Données projet'!$E$12+1,1))</f>
        <v>242.65851607945316</v>
      </c>
      <c r="CE12" s="59">
        <f t="shared" si="40"/>
        <v>218.9349999985487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5.8</v>
      </c>
      <c r="CT12" s="12">
        <f>IF('Données projet'!$A$140&gt;35,CT11+CS12-DB11,IF(A12&lt;'Données projet'!$A$140,$CQ$205^A12,IF(A12='Données projet'!$A$140,'Données projet'!$B$140,CT11+CS12-DB11)))</f>
        <v>14.578456710130657</v>
      </c>
      <c r="CU12" s="17">
        <f>CT12*VLOOKUP('Données projet'!$B$13,Paramètres!$A$1:$I$89,3,0)*VLOOKUP('Données projet'!$B$13,Paramètres!$A$1:$I$89,5,0)</f>
        <v>12.735739781970144</v>
      </c>
      <c r="CV12" s="13">
        <f t="shared" si="41"/>
        <v>4.364670141362768</v>
      </c>
      <c r="CW12" s="20">
        <f t="shared" si="13"/>
        <v>29.783213949804821</v>
      </c>
      <c r="CX12" s="59">
        <f t="shared" si="14"/>
        <v>275.52344240052054</v>
      </c>
      <c r="CY12" s="59">
        <f ca="1">AVERAGE(OFFSET($CX$3,0,0,'Données projet'!$E$13+1,1))-AVERAGE(OFFSET($H$3,0,0,'Données projet'!$E$13+1,1))</f>
        <v>326.9460696675867</v>
      </c>
      <c r="CZ12" s="59">
        <f t="shared" si="42"/>
        <v>393.4020374592568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5.85</v>
      </c>
      <c r="DO12" s="12">
        <f>IF('Données projet'!$A$166&gt;35,DO11+DN12-DW11,IF(A12&lt;'Données projet'!$A$166,$DL$205^A12,IF(A12='Données projet'!$A$166,'Données projet'!$B$166,DO11+DN12-DW11)))</f>
        <v>8.5247889874587734</v>
      </c>
      <c r="DP12" s="17">
        <f>DO12*VLOOKUP('Données projet'!$B$14,Paramètres!$A$1:$I$89,3,0)*VLOOKUP('Données projet'!$B$14,Paramètres!$A$1:$I$89,5,0)</f>
        <v>6.6493354102178435</v>
      </c>
      <c r="DQ12" s="13">
        <f t="shared" si="43"/>
        <v>2.4578700532379361</v>
      </c>
      <c r="DR12" s="20">
        <f t="shared" si="16"/>
        <v>15.86171618218548</v>
      </c>
      <c r="DS12" s="59">
        <f t="shared" si="17"/>
        <v>261.60194463290117</v>
      </c>
      <c r="DT12" s="59">
        <f ca="1">AVERAGE(OFFSET($DS$3,0,0,'Données projet'!$E$14+1,1))-AVERAGE(OFFSET($H$3,0,0,'Données projet'!$E$14+1,1))</f>
        <v>364.34528546733799</v>
      </c>
      <c r="DU12" s="59">
        <f t="shared" si="44"/>
        <v>346.5839763411152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5.8055914512815487</v>
      </c>
      <c r="EL12" s="13">
        <f t="shared" si="45"/>
        <v>2.1801521638461985</v>
      </c>
      <c r="EM12" s="20">
        <f t="shared" si="19"/>
        <v>13.908503463014158</v>
      </c>
      <c r="EN12" s="59">
        <f t="shared" si="20"/>
        <v>259.64873191372988</v>
      </c>
      <c r="EO12" s="59">
        <f ca="1">AVERAGE(OFFSET($EN$3,0,0,'Données projet'!$E$15+1,1))-AVERAGE(OFFSET($H$3,0,0,'Données projet'!$E$15+1,1))</f>
        <v>310.38232870602445</v>
      </c>
      <c r="EP12" s="59">
        <f t="shared" si="46"/>
        <v>303.45934457265537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6.7</v>
      </c>
      <c r="FE12" s="12">
        <f>IF('Données projet'!$A$218&gt;35,FE11+FD12-FM11,IF(A12&lt;'Données projet'!$A$218,$FB$205^A12,IF(A12='Données projet'!$A$218,'Données projet'!$B$218,FE11+FD12-FM11)))</f>
        <v>44.001483860499121</v>
      </c>
      <c r="FF12" s="17">
        <f>FE12*VLOOKUP('Données projet'!$B$16,Paramètres!$A$1:$I$89,3,0)*VLOOKUP('Données projet'!$B$16,Paramètres!$A$1:$I$89,5,0)</f>
        <v>41.871812041650962</v>
      </c>
      <c r="FG12" s="13">
        <f t="shared" si="47"/>
        <v>12.493442671135341</v>
      </c>
      <c r="FH12" s="20">
        <f t="shared" si="22"/>
        <v>94.686151958102812</v>
      </c>
      <c r="FI12" s="59">
        <f t="shared" si="23"/>
        <v>340.42638040881855</v>
      </c>
      <c r="FJ12" s="59">
        <f ca="1">AVERAGE(OFFSET($FI$3,0,0,'Données projet'!$E$16+1,1))-AVERAGE(OFFSET($H$3,0,0,'Données projet'!$E$16+1,1))</f>
        <v>457.706832425622</v>
      </c>
      <c r="FK12" s="59">
        <f t="shared" si="48"/>
        <v>474.61768219844873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1.1000000000000001</v>
      </c>
      <c r="FZ12" s="12">
        <f>IF('Données projet'!$A$244&gt;35,FZ11+FY12-GH11,IF(A12&lt;'Données projet'!$A$244,$FW$205^A12,IF(A12='Données projet'!$A$244,'Données projet'!$B$244,FZ11+FY12-GH11)))</f>
        <v>8.6547278641645029</v>
      </c>
      <c r="GA12" s="17">
        <f>FZ12*VLOOKUP('Données projet'!$B$17,Paramètres!$A$1:$I$89,3,0)*VLOOKUP('Données projet'!$B$17,Paramètres!$A$1:$I$89,5,0)</f>
        <v>8.3708527902199066</v>
      </c>
      <c r="GB12" s="13">
        <f t="shared" si="49"/>
        <v>3.0123912382921927</v>
      </c>
      <c r="GC12" s="20">
        <f t="shared" si="25"/>
        <v>19.825816682991903</v>
      </c>
      <c r="GD12" s="59">
        <f t="shared" si="26"/>
        <v>265.56604513370763</v>
      </c>
      <c r="GE12" s="59">
        <f ca="1">AVERAGE(OFFSET($GD$3,0,0,'Données projet'!$E$17+1,1))-AVERAGE(OFFSET($H$3,0,0,'Données projet'!$E$17+1,1))</f>
        <v>428.11167311086814</v>
      </c>
      <c r="GF12" s="59">
        <f t="shared" si="50"/>
        <v>415.69449942923609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>
        <f>VLOOKUP(A12,'Données projet'!$A$269:$I$289,2,0)</f>
        <v>143.58974358974359</v>
      </c>
      <c r="GS12" s="12">
        <f>VLOOKUP(A12,'Données projet'!$A$269:$I$289,9,0)</f>
        <v>28.205128205128204</v>
      </c>
      <c r="GT12" s="12">
        <f t="array" ref="GT12">INDEX(GS:GS,MIN(IF(ISNUMBER(GS12:GS208),ROW(GS12:GS208),"")))</f>
        <v>28.205128205128204</v>
      </c>
      <c r="GU12" s="12">
        <f>IF('Données projet'!$A$270&gt;35,GU11+GT12-HC11,IF(A12&lt;'Données projet'!$A$270,$GR$205^A12,IF(A12='Données projet'!$A$270,'Données projet'!$B$270,GU11+GT12-HC11)))</f>
        <v>143.58974358974359</v>
      </c>
      <c r="GV12" s="17">
        <f>GU12*VLOOKUP('Données projet'!$B$18,Paramètres!$A$1:$I$89,3,0)*VLOOKUP('Données projet'!$B$18,Paramètres!$A$1:$I$89,5,0)</f>
        <v>82.207999999999998</v>
      </c>
      <c r="GW12" s="13">
        <f t="shared" si="51"/>
        <v>22.676193186498271</v>
      </c>
      <c r="GX12" s="20">
        <f t="shared" si="28"/>
        <v>182.67330313315111</v>
      </c>
      <c r="GY12" s="59">
        <f t="shared" si="29"/>
        <v>428.41353158386681</v>
      </c>
      <c r="GZ12" s="59">
        <f ca="1">AVERAGE(OFFSET($GY$3,0,0,'Données projet'!$E$18+1,1))-AVERAGE(OFFSET($H$3,0,0,'Données projet'!$E$18+1,1))</f>
        <v>249.88816678272056</v>
      </c>
      <c r="HA12" s="59">
        <f t="shared" si="52"/>
        <v>432.10802787437319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1">
        <f>'Scénario référence'!$B$16*5+'Scénario référence'!$B$17*0+'Scénario référence'!$B$18*5</f>
        <v>1.4000000000000001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5.1333333333333337</v>
      </c>
      <c r="H13" s="65">
        <f t="shared" si="1"/>
        <v>236.13333333333335</v>
      </c>
      <c r="I13" s="6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11</v>
      </c>
      <c r="L13" s="12">
        <f>VLOOKUP(A13,'Données projet'!$A$35:$I$55,9,0)</f>
        <v>1.1000000000000001</v>
      </c>
      <c r="M13" s="12">
        <f t="array" ref="M13">INDEX(L:L,MIN(IF(ISNUMBER(L13:L209),ROW(L13:L209),"")))</f>
        <v>1.1000000000000001</v>
      </c>
      <c r="N13" s="13">
        <f>IF('Données projet'!$A$36&gt;35,N12+M13-V12,IF(A13&lt;'Données projet'!$A$36,$K$205^A13,IF(A13='Données projet'!$A$36,'Données projet'!$B$36,N12+M13-V12)))</f>
        <v>11</v>
      </c>
      <c r="O13" s="13">
        <f>N13*VLOOKUP('Données projet'!$B$9,Paramètres!$A$1:$I$89,3,0)*VLOOKUP('Données projet'!$B$9,Paramètres!$A$1:$I$89,5,0)</f>
        <v>8.7516000000000016</v>
      </c>
      <c r="P13" s="13">
        <f t="shared" si="33"/>
        <v>3.1331453604025001</v>
      </c>
      <c r="Q13" s="20">
        <f t="shared" si="2"/>
        <v>20.699264836034356</v>
      </c>
      <c r="R13" s="59">
        <f t="shared" si="0"/>
        <v>268.04209019184691</v>
      </c>
      <c r="S13" s="59">
        <f ca="1">AVERAGE(OFFSET($R$3,0,0,'Données projet'!$E$9+1,1))-AVERAGE(OFFSET($H$3,0,0,'Données projet'!$E$9+1,1))</f>
        <v>360.06385535620069</v>
      </c>
      <c r="T13" s="59">
        <f t="shared" si="34"/>
        <v>350.82516032456408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7.7306145887633031</v>
      </c>
      <c r="AK13" s="13">
        <f t="shared" si="35"/>
        <v>2.8078763226288115</v>
      </c>
      <c r="AL13" s="20">
        <f t="shared" si="4"/>
        <v>18.354538337341264</v>
      </c>
      <c r="AM13" s="59">
        <f t="shared" si="5"/>
        <v>265.69736369315382</v>
      </c>
      <c r="AN13" s="59">
        <f ca="1">AVERAGE(OFFSET($AM$3,0,0,'Données projet'!$E$10+1,1))-AVERAGE(OFFSET($H$3,0,0,'Données projet'!$E$10+1,1))</f>
        <v>448.65237942538027</v>
      </c>
      <c r="AO13" s="59">
        <f t="shared" si="36"/>
        <v>283.56749129825107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5.656854249492377</v>
      </c>
      <c r="BE13" s="13">
        <f>BD13*VLOOKUP('Données projet'!$B$11,Paramètres!$A$1:$I$89,3,0)*VLOOKUP('Données projet'!$B$11,Paramètres!$A$1:$I$89,5,0)</f>
        <v>4.8535809460644597</v>
      </c>
      <c r="BF13" s="13">
        <f t="shared" si="37"/>
        <v>1.8610442215994896</v>
      </c>
      <c r="BG13" s="20">
        <f t="shared" si="7"/>
        <v>11.694638833681379</v>
      </c>
      <c r="BH13" s="59">
        <f t="shared" si="8"/>
        <v>259.03746418949396</v>
      </c>
      <c r="BI13" s="59">
        <f ca="1">AVERAGE(OFFSET($BH$3,0,0,'Données projet'!$E$11+1,1))-AVERAGE(OFFSET($H$3,0,0,'Données projet'!$E$11+1,1))</f>
        <v>456.76871853389395</v>
      </c>
      <c r="BJ13" s="59">
        <f t="shared" si="38"/>
        <v>262.12425810289176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115</v>
      </c>
      <c r="BW13" s="12">
        <f>VLOOKUP(A13,'Données projet'!$A$113:$I$133,9,0)</f>
        <v>11.5</v>
      </c>
      <c r="BX13" s="12">
        <f t="array" ref="BX13">INDEX(BW:BW,MIN(IF(ISNUMBER(BW13:BW209),ROW(BW13:BW209),"")))</f>
        <v>11.5</v>
      </c>
      <c r="BY13" s="12">
        <f>IF('Données projet'!$A$114&gt;35,BY12+BX13-CG12,IF(A13&lt;'Données projet'!$A$114,$BV$205^A13,IF(A13='Données projet'!$A$114,'Données projet'!$B$114,BY12+BX13-CG12)))</f>
        <v>115</v>
      </c>
      <c r="BZ13" s="13">
        <f>BY13*VLOOKUP('Données projet'!$B$12,Paramètres!$A$1:$I$89,3,0)*VLOOKUP('Données projet'!$B$12,Paramètres!$A$1:$I$89,5,0)</f>
        <v>84.317999999999998</v>
      </c>
      <c r="CA13" s="13">
        <f t="shared" si="39"/>
        <v>23.189705803157239</v>
      </c>
      <c r="CB13" s="20">
        <f t="shared" si="10"/>
        <v>187.24258760716552</v>
      </c>
      <c r="CC13" s="59">
        <f t="shared" si="11"/>
        <v>434.58541296297813</v>
      </c>
      <c r="CD13" s="59">
        <f ca="1">AVERAGE(OFFSET($CC$3,0,0,'Données projet'!$E$12+1,1))-AVERAGE(OFFSET($H$3,0,0,'Données projet'!$E$12+1,1))</f>
        <v>242.65851607945316</v>
      </c>
      <c r="CE13" s="59">
        <f t="shared" si="40"/>
        <v>218.9349999985487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5.8</v>
      </c>
      <c r="CT13" s="12">
        <f>IF('Données projet'!$A$140&gt;35,CT12+CS13-DB12,IF(A13&lt;'Données projet'!$A$140,$CQ$205^A13,IF(A13='Données projet'!$A$140,'Données projet'!$B$140,CT12+CS13-DB12)))</f>
        <v>19.634183025716826</v>
      </c>
      <c r="CU13" s="17">
        <f>CT13*VLOOKUP('Données projet'!$B$13,Paramètres!$A$1:$I$89,3,0)*VLOOKUP('Données projet'!$B$13,Paramètres!$A$1:$I$89,5,0)</f>
        <v>17.152422291266223</v>
      </c>
      <c r="CV13" s="13">
        <f t="shared" si="41"/>
        <v>5.678086989362658</v>
      </c>
      <c r="CW13" s="20">
        <f t="shared" si="13"/>
        <v>39.763136997095295</v>
      </c>
      <c r="CX13" s="59">
        <f t="shared" si="14"/>
        <v>287.10596235290785</v>
      </c>
      <c r="CY13" s="59">
        <f ca="1">AVERAGE(OFFSET($CX$3,0,0,'Données projet'!$E$13+1,1))-AVERAGE(OFFSET($H$3,0,0,'Données projet'!$E$13+1,1))</f>
        <v>326.9460696675867</v>
      </c>
      <c r="CZ13" s="59">
        <f t="shared" si="42"/>
        <v>393.4020374592568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5.85</v>
      </c>
      <c r="DO13" s="12">
        <f>IF('Données projet'!$A$166&gt;35,DO12+DN13-DW12,IF(A13&lt;'Données projet'!$A$166,$DL$205^A13,IF(A13='Données projet'!$A$166,'Données projet'!$B$166,DO12+DN13-DW12)))</f>
        <v>10.816653826391967</v>
      </c>
      <c r="DP13" s="17">
        <f>DO13*VLOOKUP('Données projet'!$B$14,Paramètres!$A$1:$I$89,3,0)*VLOOKUP('Données projet'!$B$14,Paramètres!$A$1:$I$89,5,0)</f>
        <v>8.4369899845857343</v>
      </c>
      <c r="DQ13" s="13">
        <f t="shared" si="43"/>
        <v>3.0334117838182832</v>
      </c>
      <c r="DR13" s="20">
        <f t="shared" si="16"/>
        <v>19.977616413303661</v>
      </c>
      <c r="DS13" s="59">
        <f t="shared" si="17"/>
        <v>267.32044176911626</v>
      </c>
      <c r="DT13" s="59">
        <f ca="1">AVERAGE(OFFSET($DS$3,0,0,'Données projet'!$E$14+1,1))-AVERAGE(OFFSET($H$3,0,0,'Données projet'!$E$14+1,1))</f>
        <v>364.34528546733799</v>
      </c>
      <c r="DU13" s="59">
        <f t="shared" si="44"/>
        <v>346.5839763411152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7.3787999999999991</v>
      </c>
      <c r="EL13" s="13">
        <f t="shared" si="45"/>
        <v>2.6946617885853841</v>
      </c>
      <c r="EM13" s="20">
        <f t="shared" si="19"/>
        <v>17.544612615119544</v>
      </c>
      <c r="EN13" s="59">
        <f t="shared" si="20"/>
        <v>264.88743797093213</v>
      </c>
      <c r="EO13" s="59">
        <f ca="1">AVERAGE(OFFSET($EN$3,0,0,'Données projet'!$E$15+1,1))-AVERAGE(OFFSET($H$3,0,0,'Données projet'!$E$15+1,1))</f>
        <v>310.38232870602445</v>
      </c>
      <c r="EP13" s="59">
        <f t="shared" si="46"/>
        <v>303.45934457265537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67</v>
      </c>
      <c r="FC13" s="12">
        <f>VLOOKUP(A13,'Données projet'!$A$217:$I$237,9,0)</f>
        <v>6.7</v>
      </c>
      <c r="FD13" s="12">
        <f t="array" ref="FD13">INDEX(FC:FC,MIN(IF(ISNUMBER(FC13:FC209),ROW(FC13:FC209),"")))</f>
        <v>6.7</v>
      </c>
      <c r="FE13" s="12">
        <f>IF('Données projet'!$A$218&gt;35,FE12+FD13-FM12,IF(A13&lt;'Données projet'!$A$218,$FB$205^A13,IF(A13='Données projet'!$A$218,'Données projet'!$B$218,FE12+FD13-FM12)))</f>
        <v>67</v>
      </c>
      <c r="FF13" s="17">
        <f>FE13*VLOOKUP('Données projet'!$B$16,Paramètres!$A$1:$I$89,3,0)*VLOOKUP('Données projet'!$B$16,Paramètres!$A$1:$I$89,5,0)</f>
        <v>63.757199999999997</v>
      </c>
      <c r="FG13" s="13">
        <f t="shared" si="47"/>
        <v>18.114823123429215</v>
      </c>
      <c r="FH13" s="20">
        <f t="shared" si="22"/>
        <v>142.59377360663922</v>
      </c>
      <c r="FI13" s="59">
        <f t="shared" si="23"/>
        <v>389.9365989624518</v>
      </c>
      <c r="FJ13" s="59">
        <f ca="1">AVERAGE(OFFSET($FI$3,0,0,'Données projet'!$E$16+1,1))-AVERAGE(OFFSET($H$3,0,0,'Données projet'!$E$16+1,1))</f>
        <v>457.706832425622</v>
      </c>
      <c r="FK13" s="59">
        <f t="shared" si="48"/>
        <v>474.61768219844873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10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11</v>
      </c>
      <c r="FX13" s="12">
        <f>VLOOKUP(A13,'Données projet'!$A$243:$I$263,9,0)</f>
        <v>1.1000000000000001</v>
      </c>
      <c r="FY13" s="12">
        <f t="array" ref="FY13">INDEX(FX:FX,MIN(IF(ISNUMBER(FX13:FX209),ROW(FX13:FX209),"")))</f>
        <v>1.1000000000000001</v>
      </c>
      <c r="FZ13" s="12">
        <f>IF('Données projet'!$A$244&gt;35,FZ12+FY13-GH12,IF(A13&lt;'Données projet'!$A$244,$FW$205^A13,IF(A13='Données projet'!$A$244,'Données projet'!$B$244,FZ12+FY13-GH12)))</f>
        <v>11</v>
      </c>
      <c r="GA13" s="17">
        <f>FZ13*VLOOKUP('Données projet'!$B$17,Paramètres!$A$1:$I$89,3,0)*VLOOKUP('Données projet'!$B$17,Paramètres!$A$1:$I$89,5,0)</f>
        <v>10.639200000000001</v>
      </c>
      <c r="GB13" s="13">
        <f t="shared" si="49"/>
        <v>3.7233068850454925</v>
      </c>
      <c r="GC13" s="20">
        <f t="shared" si="25"/>
        <v>25.014699491454234</v>
      </c>
      <c r="GD13" s="59">
        <f t="shared" si="26"/>
        <v>272.3575248472668</v>
      </c>
      <c r="GE13" s="59">
        <f ca="1">AVERAGE(OFFSET($GD$3,0,0,'Données projet'!$E$17+1,1))-AVERAGE(OFFSET($H$3,0,0,'Données projet'!$E$17+1,1))</f>
        <v>428.11167311086814</v>
      </c>
      <c r="GF13" s="59">
        <f t="shared" si="50"/>
        <v>415.69449942923609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30.769230769230763</v>
      </c>
      <c r="GU13" s="12">
        <f>IF('Données projet'!$A$270&gt;35,GU12+GT13-HC12,IF(A13&lt;'Données projet'!$A$270,$GR$205^A13,IF(A13='Données projet'!$A$270,'Données projet'!$B$270,GU12+GT13-HC12)))</f>
        <v>174.35897435897436</v>
      </c>
      <c r="GV13" s="17">
        <f>GU13*VLOOKUP('Données projet'!$B$18,Paramètres!$A$1:$I$89,3,0)*VLOOKUP('Données projet'!$B$18,Paramètres!$A$1:$I$89,5,0)</f>
        <v>99.823999999999998</v>
      </c>
      <c r="GW13" s="13">
        <f t="shared" si="51"/>
        <v>26.920063677586004</v>
      </c>
      <c r="GX13" s="20">
        <f t="shared" si="28"/>
        <v>220.74591090512891</v>
      </c>
      <c r="GY13" s="59">
        <f t="shared" si="29"/>
        <v>468.08873626094146</v>
      </c>
      <c r="GZ13" s="59">
        <f ca="1">AVERAGE(OFFSET($GY$3,0,0,'Données projet'!$E$18+1,1))-AVERAGE(OFFSET($H$3,0,0,'Données projet'!$E$18+1,1))</f>
        <v>249.88816678272056</v>
      </c>
      <c r="HA13" s="59">
        <f t="shared" si="52"/>
        <v>432.10802787437319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1">
        <f>'Scénario référence'!$B$16*5+'Scénario référence'!$B$17*0+'Scénario référence'!$B$18*5</f>
        <v>1.4000000000000001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5.1333333333333337</v>
      </c>
      <c r="H14" s="65">
        <f t="shared" si="1"/>
        <v>236.13333333333335</v>
      </c>
      <c r="I14" s="6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10.8</v>
      </c>
      <c r="N14" s="13">
        <f>IF('Données projet'!$A$36&gt;35,N13+M14-V13,IF(A14&lt;'Données projet'!$A$36,$K$205^A14,IF(A14='Données projet'!$A$36,'Données projet'!$B$36,N13+M14-V13)))</f>
        <v>21.8</v>
      </c>
      <c r="O14" s="13">
        <f>N14*VLOOKUP('Données projet'!$B$9,Paramètres!$A$1:$I$89,3,0)*VLOOKUP('Données projet'!$B$9,Paramètres!$A$1:$I$89,5,0)</f>
        <v>17.344080000000002</v>
      </c>
      <c r="P14" s="13">
        <f t="shared" si="33"/>
        <v>5.7341113912136308</v>
      </c>
      <c r="Q14" s="20">
        <f t="shared" si="2"/>
        <v>40.194516673030414</v>
      </c>
      <c r="R14" s="59">
        <f t="shared" si="0"/>
        <v>289.13334028358236</v>
      </c>
      <c r="S14" s="59">
        <f ca="1">AVERAGE(OFFSET($R$3,0,0,'Données projet'!$E$9+1,1))-AVERAGE(OFFSET($H$3,0,0,'Données projet'!$E$9+1,1))</f>
        <v>360.06385535620069</v>
      </c>
      <c r="T14" s="59">
        <f t="shared" si="34"/>
        <v>350.82516032456408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9.5803232966244067</v>
      </c>
      <c r="AK14" s="13">
        <f t="shared" si="35"/>
        <v>3.3939041949894282</v>
      </c>
      <c r="AL14" s="20">
        <f t="shared" si="4"/>
        <v>22.596779547894098</v>
      </c>
      <c r="AM14" s="59">
        <f t="shared" si="5"/>
        <v>271.53560315844601</v>
      </c>
      <c r="AN14" s="59">
        <f ca="1">AVERAGE(OFFSET($AM$3,0,0,'Données projet'!$E$10+1,1))-AVERAGE(OFFSET($H$3,0,0,'Données projet'!$E$10+1,1))</f>
        <v>448.65237942538027</v>
      </c>
      <c r="AO14" s="59">
        <f t="shared" si="36"/>
        <v>283.56749129825107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6.7271713220297125</v>
      </c>
      <c r="BE14" s="13">
        <f>BD14*VLOOKUP('Données projet'!$B$11,Paramètres!$A$1:$I$89,3,0)*VLOOKUP('Données projet'!$B$11,Paramètres!$A$1:$I$89,5,0)</f>
        <v>5.771912994301494</v>
      </c>
      <c r="BF14" s="13">
        <f t="shared" si="37"/>
        <v>2.1689733648366443</v>
      </c>
      <c r="BG14" s="20">
        <f t="shared" si="7"/>
        <v>13.830377075498925</v>
      </c>
      <c r="BH14" s="59">
        <f t="shared" si="8"/>
        <v>262.76920068605085</v>
      </c>
      <c r="BI14" s="59">
        <f ca="1">AVERAGE(OFFSET($BH$3,0,0,'Données projet'!$E$11+1,1))-AVERAGE(OFFSET($H$3,0,0,'Données projet'!$E$11+1,1))</f>
        <v>456.76871853389395</v>
      </c>
      <c r="BJ14" s="59">
        <f t="shared" si="38"/>
        <v>262.12425810289176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13.8</v>
      </c>
      <c r="BY14" s="12">
        <f>IF('Données projet'!$A$114&gt;35,BY13+BX14-CG13,IF(A14&lt;'Données projet'!$A$114,$BV$205^A14,IF(A14='Données projet'!$A$114,'Données projet'!$B$114,BY13+BX14-CG13)))</f>
        <v>128.80000000000001</v>
      </c>
      <c r="BZ14" s="13">
        <f>BY14*VLOOKUP('Données projet'!$B$12,Paramètres!$A$1:$I$89,3,0)*VLOOKUP('Données projet'!$B$12,Paramètres!$A$1:$I$89,5,0)</f>
        <v>94.436160000000001</v>
      </c>
      <c r="CA14" s="13">
        <f t="shared" si="39"/>
        <v>25.632105611020013</v>
      </c>
      <c r="CB14" s="20">
        <f t="shared" si="10"/>
        <v>209.11889593919318</v>
      </c>
      <c r="CC14" s="59">
        <f t="shared" si="11"/>
        <v>458.05771954974512</v>
      </c>
      <c r="CD14" s="59">
        <f ca="1">AVERAGE(OFFSET($CC$3,0,0,'Données projet'!$E$12+1,1))-AVERAGE(OFFSET($H$3,0,0,'Données projet'!$E$12+1,1))</f>
        <v>242.65851607945316</v>
      </c>
      <c r="CE14" s="59">
        <f t="shared" si="40"/>
        <v>218.9349999985487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5.8</v>
      </c>
      <c r="CT14" s="12">
        <f>IF('Données projet'!$A$140&gt;35,CT13+CS14-DB13,IF(A14&lt;'Données projet'!$A$140,$CQ$205^A14,IF(A14='Données projet'!$A$140,'Données projet'!$B$140,CT13+CS14-DB13)))</f>
        <v>26.443206626903088</v>
      </c>
      <c r="CU14" s="17">
        <f>CT14*VLOOKUP('Données projet'!$B$13,Paramètres!$A$1:$I$89,3,0)*VLOOKUP('Données projet'!$B$13,Paramètres!$A$1:$I$89,5,0)</f>
        <v>23.100785309262541</v>
      </c>
      <c r="CV14" s="13">
        <f t="shared" si="41"/>
        <v>7.3867373282653306</v>
      </c>
      <c r="CW14" s="20">
        <f t="shared" si="13"/>
        <v>53.099101927027704</v>
      </c>
      <c r="CX14" s="59">
        <f t="shared" si="14"/>
        <v>302.03792553757967</v>
      </c>
      <c r="CY14" s="59">
        <f ca="1">AVERAGE(OFFSET($CX$3,0,0,'Données projet'!$E$13+1,1))-AVERAGE(OFFSET($H$3,0,0,'Données projet'!$E$13+1,1))</f>
        <v>326.9460696675867</v>
      </c>
      <c r="CZ14" s="59">
        <f t="shared" si="42"/>
        <v>393.4020374592568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5.85</v>
      </c>
      <c r="DO14" s="12">
        <f>IF('Données projet'!$A$166&gt;35,DO13+DN14-DW13,IF(A14&lt;'Données projet'!$A$166,$DL$205^A14,IF(A14='Données projet'!$A$166,'Données projet'!$B$166,DO13+DN14-DW13)))</f>
        <v>13.724679892033022</v>
      </c>
      <c r="DP14" s="17">
        <f>DO14*VLOOKUP('Données projet'!$B$14,Paramètres!$A$1:$I$89,3,0)*VLOOKUP('Données projet'!$B$14,Paramètres!$A$1:$I$89,5,0)</f>
        <v>10.705250315785758</v>
      </c>
      <c r="DQ14" s="13">
        <f t="shared" si="43"/>
        <v>3.7437239768171127</v>
      </c>
      <c r="DR14" s="20">
        <f t="shared" si="16"/>
        <v>25.165296892949996</v>
      </c>
      <c r="DS14" s="59">
        <f t="shared" si="17"/>
        <v>274.10412050350192</v>
      </c>
      <c r="DT14" s="59">
        <f ca="1">AVERAGE(OFFSET($DS$3,0,0,'Données projet'!$E$14+1,1))-AVERAGE(OFFSET($H$3,0,0,'Données projet'!$E$14+1,1))</f>
        <v>364.34528546733799</v>
      </c>
      <c r="DU14" s="59">
        <f t="shared" si="44"/>
        <v>346.5839763411152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14.623440000000002</v>
      </c>
      <c r="EL14" s="13">
        <f t="shared" si="45"/>
        <v>4.9316227241402482</v>
      </c>
      <c r="EM14" s="20">
        <f t="shared" si="19"/>
        <v>34.058400911210931</v>
      </c>
      <c r="EN14" s="59">
        <f t="shared" si="20"/>
        <v>282.99722452176286</v>
      </c>
      <c r="EO14" s="59">
        <f ca="1">AVERAGE(OFFSET($EN$3,0,0,'Données projet'!$E$15+1,1))-AVERAGE(OFFSET($H$3,0,0,'Données projet'!$E$15+1,1))</f>
        <v>310.38232870602445</v>
      </c>
      <c r="EP14" s="59">
        <f t="shared" si="46"/>
        <v>303.45934457265537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12.2</v>
      </c>
      <c r="FE14" s="12">
        <f>IF('Données projet'!$A$218&gt;35,FE13+FD14-FM13,IF(A14&lt;'Données projet'!$A$218,$FB$205^A14,IF(A14='Données projet'!$A$218,'Données projet'!$B$218,FE13+FD14-FM13)))</f>
        <v>69.2</v>
      </c>
      <c r="FF14" s="17">
        <f>FE14*VLOOKUP('Données projet'!$B$16,Paramètres!$A$1:$I$89,3,0)*VLOOKUP('Données projet'!$B$16,Paramètres!$A$1:$I$89,5,0)</f>
        <v>65.85072000000001</v>
      </c>
      <c r="FG14" s="13">
        <f t="shared" si="47"/>
        <v>18.639409394765782</v>
      </c>
      <c r="FH14" s="20">
        <f t="shared" si="22"/>
        <v>147.15364202921708</v>
      </c>
      <c r="FI14" s="59">
        <f t="shared" si="23"/>
        <v>396.09246563976899</v>
      </c>
      <c r="FJ14" s="59">
        <f ca="1">AVERAGE(OFFSET($FI$3,0,0,'Données projet'!$E$16+1,1))-AVERAGE(OFFSET($H$3,0,0,'Données projet'!$E$16+1,1))</f>
        <v>457.706832425622</v>
      </c>
      <c r="FK14" s="59">
        <f t="shared" si="48"/>
        <v>474.61768219844873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10.8</v>
      </c>
      <c r="FZ14" s="12">
        <f>IF('Données projet'!$A$244&gt;35,FZ13+FY14-GH13,IF(A14&lt;'Données projet'!$A$244,$FW$205^A14,IF(A14='Données projet'!$A$244,'Données projet'!$B$244,FZ13+FY14-GH13)))</f>
        <v>21.8</v>
      </c>
      <c r="GA14" s="17">
        <f>FZ14*VLOOKUP('Données projet'!$B$17,Paramètres!$A$1:$I$89,3,0)*VLOOKUP('Données projet'!$B$17,Paramètres!$A$1:$I$89,5,0)</f>
        <v>21.084960000000002</v>
      </c>
      <c r="GB14" s="13">
        <f t="shared" si="49"/>
        <v>6.8141927573321395</v>
      </c>
      <c r="GC14" s="20">
        <f t="shared" si="25"/>
        <v>48.591024385686815</v>
      </c>
      <c r="GD14" s="59">
        <f t="shared" si="26"/>
        <v>297.52984799623874</v>
      </c>
      <c r="GE14" s="59">
        <f ca="1">AVERAGE(OFFSET($GD$3,0,0,'Données projet'!$E$17+1,1))-AVERAGE(OFFSET($H$3,0,0,'Données projet'!$E$17+1,1))</f>
        <v>428.11167311086814</v>
      </c>
      <c r="GF14" s="59">
        <f t="shared" si="50"/>
        <v>415.69449942923609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30.769230769230763</v>
      </c>
      <c r="GU14" s="12">
        <f>IF('Données projet'!$A$270&gt;35,GU13+GT14-HC13,IF(A14&lt;'Données projet'!$A$270,$GR$205^A14,IF(A14='Données projet'!$A$270,'Données projet'!$B$270,GU13+GT14-HC13)))</f>
        <v>205.12820512820514</v>
      </c>
      <c r="GV14" s="17">
        <f>GU14*VLOOKUP('Données projet'!$B$18,Paramètres!$A$1:$I$89,3,0)*VLOOKUP('Données projet'!$B$18,Paramètres!$A$1:$I$89,5,0)</f>
        <v>117.44000000000001</v>
      </c>
      <c r="GW14" s="13">
        <f t="shared" si="51"/>
        <v>31.077174049454253</v>
      </c>
      <c r="GX14" s="20">
        <f t="shared" si="28"/>
        <v>258.66741146946623</v>
      </c>
      <c r="GY14" s="59">
        <f t="shared" si="29"/>
        <v>507.60623508001817</v>
      </c>
      <c r="GZ14" s="59">
        <f ca="1">AVERAGE(OFFSET($GY$3,0,0,'Données projet'!$E$18+1,1))-AVERAGE(OFFSET($H$3,0,0,'Données projet'!$E$18+1,1))</f>
        <v>249.88816678272056</v>
      </c>
      <c r="HA14" s="59">
        <f t="shared" si="52"/>
        <v>432.10802787437319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1">
        <f>'Scénario référence'!$B$16*5+'Scénario référence'!$B$17*0+'Scénario référence'!$B$18*5</f>
        <v>1.4000000000000001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5.1333333333333337</v>
      </c>
      <c r="H15" s="65">
        <f t="shared" si="1"/>
        <v>236.13333333333335</v>
      </c>
      <c r="I15" s="6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10.8</v>
      </c>
      <c r="N15" s="13">
        <f>IF('Données projet'!$A$36&gt;35,N14+M15-V14,IF(A15&lt;'Données projet'!$A$36,$K$205^A15,IF(A15='Données projet'!$A$36,'Données projet'!$B$36,N14+M15-V14)))</f>
        <v>32.6</v>
      </c>
      <c r="O15" s="13">
        <f>N15*VLOOKUP('Données projet'!$B$9,Paramètres!$A$1:$I$89,3,0)*VLOOKUP('Données projet'!$B$9,Paramètres!$A$1:$I$89,5,0)</f>
        <v>25.936560000000004</v>
      </c>
      <c r="P15" s="13">
        <f t="shared" si="33"/>
        <v>8.1824816304360635</v>
      </c>
      <c r="Q15" s="20">
        <f t="shared" si="2"/>
        <v>59.423997506342801</v>
      </c>
      <c r="R15" s="59">
        <f t="shared" si="0"/>
        <v>309.95233519310801</v>
      </c>
      <c r="S15" s="59">
        <f ca="1">AVERAGE(OFFSET($R$3,0,0,'Données projet'!$E$9+1,1))-AVERAGE(OFFSET($H$3,0,0,'Données projet'!$E$9+1,1))</f>
        <v>360.06385535620069</v>
      </c>
      <c r="T15" s="59">
        <f t="shared" si="34"/>
        <v>350.82516032456408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11.872612896942668</v>
      </c>
      <c r="AK15" s="13">
        <f t="shared" si="35"/>
        <v>4.1022411108131784</v>
      </c>
      <c r="AL15" s="20">
        <f t="shared" si="4"/>
        <v>27.822870730174767</v>
      </c>
      <c r="AM15" s="59">
        <f t="shared" si="5"/>
        <v>278.35120841693998</v>
      </c>
      <c r="AN15" s="59">
        <f ca="1">AVERAGE(OFFSET($AM$3,0,0,'Données projet'!$E$10+1,1))-AVERAGE(OFFSET($H$3,0,0,'Données projet'!$E$10+1,1))</f>
        <v>448.65237942538027</v>
      </c>
      <c r="AO15" s="59">
        <f t="shared" si="36"/>
        <v>283.56749129825107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7.9999999999999947</v>
      </c>
      <c r="BE15" s="13">
        <f>BD15*VLOOKUP('Données projet'!$B$11,Paramètres!$A$1:$I$89,3,0)*VLOOKUP('Données projet'!$B$11,Paramètres!$A$1:$I$89,5,0)</f>
        <v>6.8639999999999963</v>
      </c>
      <c r="BF15" s="13">
        <f t="shared" si="37"/>
        <v>2.5278525909113112</v>
      </c>
      <c r="BG15" s="20">
        <f t="shared" si="7"/>
        <v>16.357476595837191</v>
      </c>
      <c r="BH15" s="59">
        <f t="shared" si="8"/>
        <v>266.88581428260238</v>
      </c>
      <c r="BI15" s="59">
        <f ca="1">AVERAGE(OFFSET($BH$3,0,0,'Données projet'!$E$11+1,1))-AVERAGE(OFFSET($H$3,0,0,'Données projet'!$E$11+1,1))</f>
        <v>456.76871853389395</v>
      </c>
      <c r="BJ15" s="59">
        <f t="shared" si="38"/>
        <v>262.12425810289176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13.8</v>
      </c>
      <c r="BY15" s="12">
        <f>IF('Données projet'!$A$114&gt;35,BY14+BX15-CG14,IF(A15&lt;'Données projet'!$A$114,$BV$205^A15,IF(A15='Données projet'!$A$114,'Données projet'!$B$114,BY14+BX15-CG14)))</f>
        <v>142.60000000000002</v>
      </c>
      <c r="BZ15" s="13">
        <f>BY15*VLOOKUP('Données projet'!$B$12,Paramètres!$A$1:$I$89,3,0)*VLOOKUP('Données projet'!$B$12,Paramètres!$A$1:$I$89,5,0)</f>
        <v>104.55432000000002</v>
      </c>
      <c r="CA15" s="13">
        <f t="shared" si="39"/>
        <v>28.044173158356262</v>
      </c>
      <c r="CB15" s="20">
        <f t="shared" si="10"/>
        <v>230.94237558413718</v>
      </c>
      <c r="CC15" s="59">
        <f t="shared" si="11"/>
        <v>481.47071327090237</v>
      </c>
      <c r="CD15" s="59">
        <f ca="1">AVERAGE(OFFSET($CC$3,0,0,'Données projet'!$E$12+1,1))-AVERAGE(OFFSET($H$3,0,0,'Données projet'!$E$12+1,1))</f>
        <v>242.65851607945316</v>
      </c>
      <c r="CE15" s="59">
        <f t="shared" si="40"/>
        <v>218.9349999985487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5.8</v>
      </c>
      <c r="CT15" s="12">
        <f>IF('Données projet'!$A$140&gt;35,CT14+CS15-DB14,IF(A15&lt;'Données projet'!$A$140,$CQ$205^A15,IF(A15='Données projet'!$A$140,'Données projet'!$B$140,CT14+CS15-DB14)))</f>
        <v>35.613561093793592</v>
      </c>
      <c r="CU15" s="17">
        <f>CT15*VLOOKUP('Données projet'!$B$13,Paramètres!$A$1:$I$89,3,0)*VLOOKUP('Données projet'!$B$13,Paramètres!$A$1:$I$89,5,0)</f>
        <v>31.112006971538086</v>
      </c>
      <c r="CV15" s="13">
        <f t="shared" si="41"/>
        <v>9.6095548481396289</v>
      </c>
      <c r="CW15" s="20">
        <f t="shared" si="13"/>
        <v>70.9233868359387</v>
      </c>
      <c r="CX15" s="59">
        <f t="shared" si="14"/>
        <v>321.4517245227039</v>
      </c>
      <c r="CY15" s="59">
        <f ca="1">AVERAGE(OFFSET($CX$3,0,0,'Données projet'!$E$13+1,1))-AVERAGE(OFFSET($H$3,0,0,'Données projet'!$E$13+1,1))</f>
        <v>326.9460696675867</v>
      </c>
      <c r="CZ15" s="59">
        <f t="shared" si="42"/>
        <v>393.4020374592568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5.85</v>
      </c>
      <c r="DO15" s="12">
        <f>IF('Données projet'!$A$166&gt;35,DO14+DN15-DW14,IF(A15&lt;'Données projet'!$A$166,$DL$205^A15,IF(A15='Données projet'!$A$166,'Données projet'!$B$166,DO14+DN15-DW14)))</f>
        <v>17.414520346317467</v>
      </c>
      <c r="DP15" s="17">
        <f>DO15*VLOOKUP('Données projet'!$B$14,Paramètres!$A$1:$I$89,3,0)*VLOOKUP('Données projet'!$B$14,Paramètres!$A$1:$I$89,5,0)</f>
        <v>13.583325870127625</v>
      </c>
      <c r="DQ15" s="13">
        <f t="shared" si="43"/>
        <v>4.6203648609004491</v>
      </c>
      <c r="DR15" s="20">
        <f t="shared" si="16"/>
        <v>31.704761356540562</v>
      </c>
      <c r="DS15" s="59">
        <f t="shared" si="17"/>
        <v>282.2330990433058</v>
      </c>
      <c r="DT15" s="59">
        <f ca="1">AVERAGE(OFFSET($DS$3,0,0,'Données projet'!$E$14+1,1))-AVERAGE(OFFSET($H$3,0,0,'Données projet'!$E$14+1,1))</f>
        <v>364.34528546733799</v>
      </c>
      <c r="DU15" s="59">
        <f t="shared" si="44"/>
        <v>346.5839763411152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21.868080000000003</v>
      </c>
      <c r="EL15" s="13">
        <f t="shared" si="45"/>
        <v>7.0373436432280201</v>
      </c>
      <c r="EM15" s="20">
        <f t="shared" si="19"/>
        <v>50.34361284528881</v>
      </c>
      <c r="EN15" s="59">
        <f t="shared" si="20"/>
        <v>300.87195053205403</v>
      </c>
      <c r="EO15" s="59">
        <f ca="1">AVERAGE(OFFSET($EN$3,0,0,'Données projet'!$E$15+1,1))-AVERAGE(OFFSET($H$3,0,0,'Données projet'!$E$15+1,1))</f>
        <v>310.38232870602445</v>
      </c>
      <c r="EP15" s="59">
        <f t="shared" si="46"/>
        <v>303.45934457265537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12.2</v>
      </c>
      <c r="FE15" s="12">
        <f>IF('Données projet'!$A$218&gt;35,FE14+FD15-FM14,IF(A15&lt;'Données projet'!$A$218,$FB$205^A15,IF(A15='Données projet'!$A$218,'Données projet'!$B$218,FE14+FD15-FM14)))</f>
        <v>81.400000000000006</v>
      </c>
      <c r="FF15" s="17">
        <f>FE15*VLOOKUP('Données projet'!$B$16,Paramètres!$A$1:$I$89,3,0)*VLOOKUP('Données projet'!$B$16,Paramètres!$A$1:$I$89,5,0)</f>
        <v>77.460240000000013</v>
      </c>
      <c r="FG15" s="13">
        <f t="shared" si="47"/>
        <v>21.515038439826668</v>
      </c>
      <c r="FH15" s="20">
        <f t="shared" si="22"/>
        <v>172.3819432826981</v>
      </c>
      <c r="FI15" s="59">
        <f t="shared" si="23"/>
        <v>422.91028096946332</v>
      </c>
      <c r="FJ15" s="59">
        <f ca="1">AVERAGE(OFFSET($FI$3,0,0,'Données projet'!$E$16+1,1))-AVERAGE(OFFSET($H$3,0,0,'Données projet'!$E$16+1,1))</f>
        <v>457.706832425622</v>
      </c>
      <c r="FK15" s="59">
        <f t="shared" si="48"/>
        <v>474.61768219844873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10.8</v>
      </c>
      <c r="FZ15" s="12">
        <f>IF('Données projet'!$A$244&gt;35,FZ14+FY15-GH14,IF(A15&lt;'Données projet'!$A$244,$FW$205^A15,IF(A15='Données projet'!$A$244,'Données projet'!$B$244,FZ14+FY15-GH14)))</f>
        <v>32.6</v>
      </c>
      <c r="GA15" s="17">
        <f>FZ15*VLOOKUP('Données projet'!$B$17,Paramètres!$A$1:$I$89,3,0)*VLOOKUP('Données projet'!$B$17,Paramètres!$A$1:$I$89,5,0)</f>
        <v>31.530720000000002</v>
      </c>
      <c r="GB15" s="13">
        <f t="shared" si="49"/>
        <v>9.7237397844340823</v>
      </c>
      <c r="GC15" s="20">
        <f t="shared" si="25"/>
        <v>71.851517457889358</v>
      </c>
      <c r="GD15" s="59">
        <f t="shared" si="26"/>
        <v>322.37985514465458</v>
      </c>
      <c r="GE15" s="59">
        <f ca="1">AVERAGE(OFFSET($GD$3,0,0,'Données projet'!$E$17+1,1))-AVERAGE(OFFSET($H$3,0,0,'Données projet'!$E$17+1,1))</f>
        <v>428.11167311086814</v>
      </c>
      <c r="GF15" s="59">
        <f t="shared" si="50"/>
        <v>415.69449942923609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30.769230769230763</v>
      </c>
      <c r="GU15" s="12">
        <f>IF('Données projet'!$A$270&gt;35,GU14+GT15-HC14,IF(A15&lt;'Données projet'!$A$270,$GR$205^A15,IF(A15='Données projet'!$A$270,'Données projet'!$B$270,GU14+GT15-HC14)))</f>
        <v>235.89743589743591</v>
      </c>
      <c r="GV15" s="17">
        <f>GU15*VLOOKUP('Données projet'!$B$18,Paramètres!$A$1:$I$89,3,0)*VLOOKUP('Données projet'!$B$18,Paramètres!$A$1:$I$89,5,0)</f>
        <v>135.05600000000001</v>
      </c>
      <c r="GW15" s="13">
        <f t="shared" si="51"/>
        <v>35.16204551997658</v>
      </c>
      <c r="GX15" s="20">
        <f t="shared" si="28"/>
        <v>296.46309594729252</v>
      </c>
      <c r="GY15" s="59">
        <f t="shared" si="29"/>
        <v>546.99143363405778</v>
      </c>
      <c r="GZ15" s="59">
        <f ca="1">AVERAGE(OFFSET($GY$3,0,0,'Données projet'!$E$18+1,1))-AVERAGE(OFFSET($H$3,0,0,'Données projet'!$E$18+1,1))</f>
        <v>249.88816678272056</v>
      </c>
      <c r="HA15" s="59">
        <f t="shared" si="52"/>
        <v>432.10802787437319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1">
        <f>'Scénario référence'!$B$16*5+'Scénario référence'!$B$17*0+'Scénario référence'!$B$18*5</f>
        <v>1.4000000000000001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5.1333333333333337</v>
      </c>
      <c r="H16" s="65">
        <f t="shared" si="1"/>
        <v>236.13333333333335</v>
      </c>
      <c r="I16" s="6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10.8</v>
      </c>
      <c r="N16" s="13">
        <f>IF('Données projet'!$A$36&gt;35,N15+M16-V15,IF(A16&lt;'Données projet'!$A$36,$K$205^A16,IF(A16='Données projet'!$A$36,'Données projet'!$B$36,N15+M16-V15)))</f>
        <v>43.400000000000006</v>
      </c>
      <c r="O16" s="13">
        <f>N16*VLOOKUP('Données projet'!$B$9,Paramètres!$A$1:$I$89,3,0)*VLOOKUP('Données projet'!$B$9,Paramètres!$A$1:$I$89,5,0)</f>
        <v>34.529040000000009</v>
      </c>
      <c r="P16" s="13">
        <f t="shared" si="33"/>
        <v>10.536391336679102</v>
      </c>
      <c r="Q16" s="20">
        <f t="shared" si="2"/>
        <v>78.488959578049446</v>
      </c>
      <c r="R16" s="59">
        <f t="shared" si="0"/>
        <v>330.60043964850274</v>
      </c>
      <c r="S16" s="59">
        <f ca="1">AVERAGE(OFFSET($R$3,0,0,'Données projet'!$E$9+1,1))-AVERAGE(OFFSET($H$3,0,0,'Données projet'!$E$9+1,1))</f>
        <v>360.06385535620069</v>
      </c>
      <c r="T16" s="59">
        <f t="shared" si="34"/>
        <v>350.82516032456408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14.713379980643843</v>
      </c>
      <c r="AK16" s="13">
        <f t="shared" si="35"/>
        <v>4.9584140165447881</v>
      </c>
      <c r="AL16" s="20">
        <f t="shared" si="4"/>
        <v>34.261707878436859</v>
      </c>
      <c r="AM16" s="59">
        <f t="shared" si="5"/>
        <v>286.37318794889012</v>
      </c>
      <c r="AN16" s="59">
        <f ca="1">AVERAGE(OFFSET($AM$3,0,0,'Données projet'!$E$10+1,1))-AVERAGE(OFFSET($H$3,0,0,'Données projet'!$E$10+1,1))</f>
        <v>448.65237942538027</v>
      </c>
      <c r="AO16" s="59">
        <f t="shared" si="36"/>
        <v>283.56749129825107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9.5136569200217629</v>
      </c>
      <c r="BE16" s="13">
        <f>BD16*VLOOKUP('Données projet'!$B$11,Paramètres!$A$1:$I$89,3,0)*VLOOKUP('Données projet'!$B$11,Paramètres!$A$1:$I$89,5,0)</f>
        <v>8.1627176373786732</v>
      </c>
      <c r="BF16" s="13">
        <f t="shared" si="37"/>
        <v>2.946112121509751</v>
      </c>
      <c r="BG16" s="20">
        <f t="shared" si="7"/>
        <v>19.347878496730672</v>
      </c>
      <c r="BH16" s="59">
        <f t="shared" si="8"/>
        <v>271.45935856718393</v>
      </c>
      <c r="BI16" s="59">
        <f ca="1">AVERAGE(OFFSET($BH$3,0,0,'Données projet'!$E$11+1,1))-AVERAGE(OFFSET($H$3,0,0,'Données projet'!$E$11+1,1))</f>
        <v>456.76871853389395</v>
      </c>
      <c r="BJ16" s="59">
        <f t="shared" si="38"/>
        <v>262.12425810289176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13.8</v>
      </c>
      <c r="BY16" s="12">
        <f>IF('Données projet'!$A$114&gt;35,BY15+BX16-CG15,IF(A16&lt;'Données projet'!$A$114,$BV$205^A16,IF(A16='Données projet'!$A$114,'Données projet'!$B$114,BY15+BX16-CG15)))</f>
        <v>156.40000000000003</v>
      </c>
      <c r="BZ16" s="13">
        <f>BY16*VLOOKUP('Données projet'!$B$12,Paramètres!$A$1:$I$89,3,0)*VLOOKUP('Données projet'!$B$12,Paramètres!$A$1:$I$89,5,0)</f>
        <v>114.67248000000002</v>
      </c>
      <c r="CA16" s="13">
        <f t="shared" si="39"/>
        <v>30.42917784146039</v>
      </c>
      <c r="CB16" s="20">
        <f t="shared" si="10"/>
        <v>252.71872074054355</v>
      </c>
      <c r="CC16" s="59">
        <f t="shared" si="11"/>
        <v>504.83020081099681</v>
      </c>
      <c r="CD16" s="59">
        <f ca="1">AVERAGE(OFFSET($CC$3,0,0,'Données projet'!$E$12+1,1))-AVERAGE(OFFSET($H$3,0,0,'Données projet'!$E$12+1,1))</f>
        <v>242.65851607945316</v>
      </c>
      <c r="CE16" s="59">
        <f t="shared" si="40"/>
        <v>218.9349999985487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5.8</v>
      </c>
      <c r="CT16" s="12">
        <f>IF('Données projet'!$A$140&gt;35,CT15+CS16-DB15,IF(A16&lt;'Données projet'!$A$140,$CQ$205^A16,IF(A16='Données projet'!$A$140,'Données projet'!$B$140,CT15+CS16-DB15)))</f>
        <v>47.964142612378375</v>
      </c>
      <c r="CU16" s="17">
        <f>CT16*VLOOKUP('Données projet'!$B$13,Paramètres!$A$1:$I$89,3,0)*VLOOKUP('Données projet'!$B$13,Paramètres!$A$1:$I$89,5,0)</f>
        <v>41.901474986173753</v>
      </c>
      <c r="CV16" s="13">
        <f t="shared" si="41"/>
        <v>12.501262773491545</v>
      </c>
      <c r="CW16" s="20">
        <f t="shared" si="13"/>
        <v>94.751434931417066</v>
      </c>
      <c r="CX16" s="59">
        <f t="shared" si="14"/>
        <v>346.86291500187031</v>
      </c>
      <c r="CY16" s="59">
        <f ca="1">AVERAGE(OFFSET($CX$3,0,0,'Données projet'!$E$13+1,1))-AVERAGE(OFFSET($H$3,0,0,'Données projet'!$E$13+1,1))</f>
        <v>326.9460696675867</v>
      </c>
      <c r="CZ16" s="59">
        <f t="shared" si="42"/>
        <v>393.4020374592568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5.85</v>
      </c>
      <c r="DO16" s="12">
        <f>IF('Données projet'!$A$166&gt;35,DO15+DN16-DW15,IF(A16&lt;'Données projet'!$A$166,$DL$205^A16,IF(A16='Données projet'!$A$166,'Données projet'!$B$166,DO15+DN16-DW15)))</f>
        <v>22.096363724180279</v>
      </c>
      <c r="DP16" s="17">
        <f>DO16*VLOOKUP('Données projet'!$B$14,Paramètres!$A$1:$I$89,3,0)*VLOOKUP('Données projet'!$B$14,Paramètres!$A$1:$I$89,5,0)</f>
        <v>17.235163704860618</v>
      </c>
      <c r="DQ16" s="13">
        <f t="shared" si="43"/>
        <v>5.7022824278817001</v>
      </c>
      <c r="DR16" s="20">
        <f t="shared" si="16"/>
        <v>39.949385347859533</v>
      </c>
      <c r="DS16" s="59">
        <f t="shared" si="17"/>
        <v>292.0608654183128</v>
      </c>
      <c r="DT16" s="59">
        <f ca="1">AVERAGE(OFFSET($DS$3,0,0,'Données projet'!$E$14+1,1))-AVERAGE(OFFSET($H$3,0,0,'Données projet'!$E$14+1,1))</f>
        <v>364.34528546733799</v>
      </c>
      <c r="DU16" s="59">
        <f t="shared" si="44"/>
        <v>346.5839763411152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29.112720000000007</v>
      </c>
      <c r="EL16" s="13">
        <f t="shared" si="45"/>
        <v>9.0618237772676711</v>
      </c>
      <c r="EM16" s="20">
        <f t="shared" si="19"/>
        <v>66.487330412074542</v>
      </c>
      <c r="EN16" s="59">
        <f t="shared" si="20"/>
        <v>318.59881048252782</v>
      </c>
      <c r="EO16" s="59">
        <f ca="1">AVERAGE(OFFSET($EN$3,0,0,'Données projet'!$E$15+1,1))-AVERAGE(OFFSET($H$3,0,0,'Données projet'!$E$15+1,1))</f>
        <v>310.38232870602445</v>
      </c>
      <c r="EP16" s="59">
        <f t="shared" si="46"/>
        <v>303.45934457265537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12.2</v>
      </c>
      <c r="FE16" s="12">
        <f>IF('Données projet'!$A$218&gt;35,FE15+FD16-FM15,IF(A16&lt;'Données projet'!$A$218,$FB$205^A16,IF(A16='Données projet'!$A$218,'Données projet'!$B$218,FE15+FD16-FM15)))</f>
        <v>93.600000000000009</v>
      </c>
      <c r="FF16" s="17">
        <f>FE16*VLOOKUP('Données projet'!$B$16,Paramètres!$A$1:$I$89,3,0)*VLOOKUP('Données projet'!$B$16,Paramètres!$A$1:$I$89,5,0)</f>
        <v>89.069760000000002</v>
      </c>
      <c r="FG16" s="13">
        <f t="shared" si="47"/>
        <v>24.340738024274106</v>
      </c>
      <c r="FH16" s="20">
        <f t="shared" si="22"/>
        <v>197.52328405894409</v>
      </c>
      <c r="FI16" s="59">
        <f t="shared" si="23"/>
        <v>449.63476412939735</v>
      </c>
      <c r="FJ16" s="59">
        <f ca="1">AVERAGE(OFFSET($FI$3,0,0,'Données projet'!$E$16+1,1))-AVERAGE(OFFSET($H$3,0,0,'Données projet'!$E$16+1,1))</f>
        <v>457.706832425622</v>
      </c>
      <c r="FK16" s="59">
        <f t="shared" si="48"/>
        <v>474.61768219844873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10.8</v>
      </c>
      <c r="FZ16" s="12">
        <f>IF('Données projet'!$A$244&gt;35,FZ15+FY16-GH15,IF(A16&lt;'Données projet'!$A$244,$FW$205^A16,IF(A16='Données projet'!$A$244,'Données projet'!$B$244,FZ15+FY16-GH15)))</f>
        <v>43.400000000000006</v>
      </c>
      <c r="GA16" s="17">
        <f>FZ16*VLOOKUP('Données projet'!$B$17,Paramètres!$A$1:$I$89,3,0)*VLOOKUP('Données projet'!$B$17,Paramètres!$A$1:$I$89,5,0)</f>
        <v>41.976480000000009</v>
      </c>
      <c r="GB16" s="13">
        <f t="shared" si="49"/>
        <v>12.521033624290981</v>
      </c>
      <c r="GC16" s="20">
        <f t="shared" si="25"/>
        <v>94.916502895640136</v>
      </c>
      <c r="GD16" s="59">
        <f t="shared" si="26"/>
        <v>347.02798296609342</v>
      </c>
      <c r="GE16" s="59">
        <f ca="1">AVERAGE(OFFSET($GD$3,0,0,'Données projet'!$E$17+1,1))-AVERAGE(OFFSET($H$3,0,0,'Données projet'!$E$17+1,1))</f>
        <v>428.11167311086814</v>
      </c>
      <c r="GF16" s="59">
        <f t="shared" si="50"/>
        <v>415.69449942923609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30.769230769230763</v>
      </c>
      <c r="GU16" s="12">
        <f>IF('Données projet'!$A$270&gt;35,GU15+GT16-HC15,IF(A16&lt;'Données projet'!$A$270,$GR$205^A16,IF(A16='Données projet'!$A$270,'Données projet'!$B$270,GU15+GT16-HC15)))</f>
        <v>266.66666666666669</v>
      </c>
      <c r="GV16" s="17">
        <f>GU16*VLOOKUP('Données projet'!$B$18,Paramètres!$A$1:$I$89,3,0)*VLOOKUP('Données projet'!$B$18,Paramètres!$A$1:$I$89,5,0)</f>
        <v>152.67200000000003</v>
      </c>
      <c r="GW16" s="13">
        <f t="shared" si="51"/>
        <v>39.185181814684903</v>
      </c>
      <c r="GX16" s="20">
        <f t="shared" si="28"/>
        <v>334.15125832724289</v>
      </c>
      <c r="GY16" s="59">
        <f t="shared" si="29"/>
        <v>586.26273839769613</v>
      </c>
      <c r="GZ16" s="59">
        <f ca="1">AVERAGE(OFFSET($GY$3,0,0,'Données projet'!$E$18+1,1))-AVERAGE(OFFSET($H$3,0,0,'Données projet'!$E$18+1,1))</f>
        <v>249.88816678272056</v>
      </c>
      <c r="HA16" s="59">
        <f t="shared" si="52"/>
        <v>432.10802787437319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1">
        <f>'Scénario référence'!$B$16*5+'Scénario référence'!$B$17*0+'Scénario référence'!$B$18*5</f>
        <v>1.4000000000000001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5.1333333333333337</v>
      </c>
      <c r="H17" s="65">
        <f t="shared" si="1"/>
        <v>236.13333333333335</v>
      </c>
      <c r="I17" s="6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10.8</v>
      </c>
      <c r="N17" s="13">
        <f>IF('Données projet'!$A$36&gt;35,N16+M17-V16,IF(A17&lt;'Données projet'!$A$36,$K$205^A17,IF(A17='Données projet'!$A$36,'Données projet'!$B$36,N16+M17-V16)))</f>
        <v>54.2</v>
      </c>
      <c r="O17" s="13">
        <f>N17*VLOOKUP('Données projet'!$B$9,Paramètres!$A$1:$I$89,3,0)*VLOOKUP('Données projet'!$B$9,Paramètres!$A$1:$I$89,5,0)</f>
        <v>43.121520000000004</v>
      </c>
      <c r="P17" s="13">
        <f t="shared" si="33"/>
        <v>12.822353245070515</v>
      </c>
      <c r="Q17" s="20">
        <f t="shared" si="2"/>
        <v>97.435579235164482</v>
      </c>
      <c r="R17" s="59">
        <f t="shared" si="0"/>
        <v>351.12394053140099</v>
      </c>
      <c r="S17" s="59">
        <f ca="1">AVERAGE(OFFSET($R$3,0,0,'Données projet'!$E$9+1,1))-AVERAGE(OFFSET($H$3,0,0,'Données projet'!$E$9+1,1))</f>
        <v>360.06385535620069</v>
      </c>
      <c r="T17" s="59">
        <f t="shared" si="34"/>
        <v>350.82516032456408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18.233859078363277</v>
      </c>
      <c r="AK17" s="13">
        <f t="shared" si="35"/>
        <v>5.9932775513027368</v>
      </c>
      <c r="AL17" s="20">
        <f t="shared" si="4"/>
        <v>42.195596296668306</v>
      </c>
      <c r="AM17" s="59">
        <f t="shared" si="5"/>
        <v>295.88395759290484</v>
      </c>
      <c r="AN17" s="59">
        <f ca="1">AVERAGE(OFFSET($AM$3,0,0,'Données projet'!$E$10+1,1))-AVERAGE(OFFSET($H$3,0,0,'Données projet'!$E$10+1,1))</f>
        <v>448.65237942538027</v>
      </c>
      <c r="AO17" s="59">
        <f t="shared" si="36"/>
        <v>283.56749129825107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11.313708498984752</v>
      </c>
      <c r="BE17" s="13">
        <f>BD17*VLOOKUP('Données projet'!$B$11,Paramètres!$A$1:$I$89,3,0)*VLOOKUP('Données projet'!$B$11,Paramètres!$A$1:$I$89,5,0)</f>
        <v>9.7071618921289176</v>
      </c>
      <c r="BF17" s="13">
        <f t="shared" si="37"/>
        <v>3.433577046269785</v>
      </c>
      <c r="BG17" s="20">
        <f t="shared" si="7"/>
        <v>22.886786984377736</v>
      </c>
      <c r="BH17" s="59">
        <f t="shared" si="8"/>
        <v>276.57514828061426</v>
      </c>
      <c r="BI17" s="59">
        <f ca="1">AVERAGE(OFFSET($BH$3,0,0,'Données projet'!$E$11+1,1))-AVERAGE(OFFSET($H$3,0,0,'Données projet'!$E$11+1,1))</f>
        <v>456.76871853389395</v>
      </c>
      <c r="BJ17" s="59">
        <f t="shared" si="38"/>
        <v>262.12425810289176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13.8</v>
      </c>
      <c r="BY17" s="12">
        <f>IF('Données projet'!$A$114&gt;35,BY16+BX17-CG16,IF(A17&lt;'Données projet'!$A$114,$BV$205^A17,IF(A17='Données projet'!$A$114,'Données projet'!$B$114,BY16+BX17-CG16)))</f>
        <v>170.20000000000005</v>
      </c>
      <c r="BZ17" s="13">
        <f>BY17*VLOOKUP('Données projet'!$B$12,Paramètres!$A$1:$I$89,3,0)*VLOOKUP('Données projet'!$B$12,Paramètres!$A$1:$I$89,5,0)</f>
        <v>124.79064000000002</v>
      </c>
      <c r="CA17" s="13">
        <f t="shared" si="39"/>
        <v>32.789779085419845</v>
      </c>
      <c r="CB17" s="20">
        <f t="shared" si="10"/>
        <v>274.45256324043959</v>
      </c>
      <c r="CC17" s="59">
        <f t="shared" si="11"/>
        <v>528.14092453667615</v>
      </c>
      <c r="CD17" s="59">
        <f ca="1">AVERAGE(OFFSET($CC$3,0,0,'Données projet'!$E$12+1,1))-AVERAGE(OFFSET($H$3,0,0,'Données projet'!$E$12+1,1))</f>
        <v>242.65851607945316</v>
      </c>
      <c r="CE17" s="59">
        <f t="shared" si="40"/>
        <v>218.9349999985487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5.8</v>
      </c>
      <c r="CT17" s="12">
        <f>IF('Données projet'!$A$140&gt;35,CT16+CS17-DB16,IF(A17&lt;'Données projet'!$A$140,$CQ$205^A17,IF(A17='Données projet'!$A$140,'Données projet'!$B$140,CT16+CS17-DB16)))</f>
        <v>64.597835933388069</v>
      </c>
      <c r="CU17" s="17">
        <f>CT17*VLOOKUP('Données projet'!$B$13,Paramètres!$A$1:$I$89,3,0)*VLOOKUP('Données projet'!$B$13,Paramètres!$A$1:$I$89,5,0)</f>
        <v>56.432669471407827</v>
      </c>
      <c r="CV17" s="13">
        <f t="shared" si="41"/>
        <v>16.263143652501352</v>
      </c>
      <c r="CW17" s="20">
        <f t="shared" si="13"/>
        <v>126.61187452414181</v>
      </c>
      <c r="CX17" s="59">
        <f t="shared" si="14"/>
        <v>380.30023582037836</v>
      </c>
      <c r="CY17" s="59">
        <f ca="1">AVERAGE(OFFSET($CX$3,0,0,'Données projet'!$E$13+1,1))-AVERAGE(OFFSET($H$3,0,0,'Données projet'!$E$13+1,1))</f>
        <v>326.9460696675867</v>
      </c>
      <c r="CZ17" s="59">
        <f t="shared" si="42"/>
        <v>393.4020374592568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5.85</v>
      </c>
      <c r="DO17" s="12">
        <f>IF('Données projet'!$A$166&gt;35,DO16+DN17-DW16,IF(A17&lt;'Données projet'!$A$166,$DL$205^A17,IF(A17='Données projet'!$A$166,'Données projet'!$B$166,DO16+DN17-DW16)))</f>
        <v>28.036907139651255</v>
      </c>
      <c r="DP17" s="17">
        <f>DO17*VLOOKUP('Données projet'!$B$14,Paramètres!$A$1:$I$89,3,0)*VLOOKUP('Données projet'!$B$14,Paramètres!$A$1:$I$89,5,0)</f>
        <v>21.868787568927981</v>
      </c>
      <c r="DQ17" s="13">
        <f t="shared" si="43"/>
        <v>7.0375448403422114</v>
      </c>
      <c r="DR17" s="20">
        <f t="shared" si="16"/>
        <v>50.34519561281224</v>
      </c>
      <c r="DS17" s="59">
        <f t="shared" si="17"/>
        <v>304.0335569090488</v>
      </c>
      <c r="DT17" s="59">
        <f ca="1">AVERAGE(OFFSET($DS$3,0,0,'Données projet'!$E$14+1,1))-AVERAGE(OFFSET($H$3,0,0,'Données projet'!$E$14+1,1))</f>
        <v>364.34528546733799</v>
      </c>
      <c r="DU17" s="59">
        <f t="shared" si="44"/>
        <v>346.5839763411152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36.35736</v>
      </c>
      <c r="EL17" s="13">
        <f t="shared" si="45"/>
        <v>11.02786540513288</v>
      </c>
      <c r="EM17" s="20">
        <f t="shared" si="19"/>
        <v>82.52926758060643</v>
      </c>
      <c r="EN17" s="59">
        <f t="shared" si="20"/>
        <v>336.21762887684298</v>
      </c>
      <c r="EO17" s="59">
        <f ca="1">AVERAGE(OFFSET($EN$3,0,0,'Données projet'!$E$15+1,1))-AVERAGE(OFFSET($H$3,0,0,'Données projet'!$E$15+1,1))</f>
        <v>310.38232870602445</v>
      </c>
      <c r="EP17" s="59">
        <f t="shared" si="46"/>
        <v>303.45934457265537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12.2</v>
      </c>
      <c r="FE17" s="12">
        <f>IF('Données projet'!$A$218&gt;35,FE16+FD17-FM16,IF(A17&lt;'Données projet'!$A$218,$FB$205^A17,IF(A17='Données projet'!$A$218,'Données projet'!$B$218,FE16+FD17-FM16)))</f>
        <v>105.80000000000001</v>
      </c>
      <c r="FF17" s="17">
        <f>FE17*VLOOKUP('Données projet'!$B$16,Paramètres!$A$1:$I$89,3,0)*VLOOKUP('Données projet'!$B$16,Paramètres!$A$1:$I$89,5,0)</f>
        <v>100.67928000000002</v>
      </c>
      <c r="FG17" s="13">
        <f t="shared" si="47"/>
        <v>27.123762824785597</v>
      </c>
      <c r="FH17" s="20">
        <f t="shared" si="22"/>
        <v>222.5902995865016</v>
      </c>
      <c r="FI17" s="59">
        <f t="shared" si="23"/>
        <v>476.27866088273811</v>
      </c>
      <c r="FJ17" s="59">
        <f ca="1">AVERAGE(OFFSET($FI$3,0,0,'Données projet'!$E$16+1,1))-AVERAGE(OFFSET($H$3,0,0,'Données projet'!$E$16+1,1))</f>
        <v>457.706832425622</v>
      </c>
      <c r="FK17" s="59">
        <f t="shared" si="48"/>
        <v>474.61768219844873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10.8</v>
      </c>
      <c r="FZ17" s="12">
        <f>IF('Données projet'!$A$244&gt;35,FZ16+FY17-GH16,IF(A17&lt;'Données projet'!$A$244,$FW$205^A17,IF(A17='Données projet'!$A$244,'Données projet'!$B$244,FZ16+FY17-GH16)))</f>
        <v>54.2</v>
      </c>
      <c r="GA17" s="17">
        <f>FZ17*VLOOKUP('Données projet'!$B$17,Paramètres!$A$1:$I$89,3,0)*VLOOKUP('Données projet'!$B$17,Paramètres!$A$1:$I$89,5,0)</f>
        <v>52.422240000000002</v>
      </c>
      <c r="GB17" s="13">
        <f t="shared" si="49"/>
        <v>15.23758096998198</v>
      </c>
      <c r="GC17" s="20">
        <f t="shared" si="25"/>
        <v>117.84085485605193</v>
      </c>
      <c r="GD17" s="59">
        <f t="shared" si="26"/>
        <v>371.52921615228848</v>
      </c>
      <c r="GE17" s="59">
        <f ca="1">AVERAGE(OFFSET($GD$3,0,0,'Données projet'!$E$17+1,1))-AVERAGE(OFFSET($H$3,0,0,'Données projet'!$E$17+1,1))</f>
        <v>428.11167311086814</v>
      </c>
      <c r="GF17" s="59">
        <f t="shared" si="50"/>
        <v>415.69449942923609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>
        <f>VLOOKUP(A17,'Données projet'!$A$269:$I$289,2,0)</f>
        <v>297.4358974358974</v>
      </c>
      <c r="GS17" s="12">
        <f>VLOOKUP(A17,'Données projet'!$A$269:$I$289,9,0)</f>
        <v>30.769230769230763</v>
      </c>
      <c r="GT17" s="12">
        <f t="array" ref="GT17">INDEX(GS:GS,MIN(IF(ISNUMBER(GS17:GS213),ROW(GS17:GS213),"")))</f>
        <v>30.769230769230763</v>
      </c>
      <c r="GU17" s="12">
        <f>IF('Données projet'!$A$270&gt;35,GU16+GT17-HC16,IF(A17&lt;'Données projet'!$A$270,$GR$205^A17,IF(A17='Données projet'!$A$270,'Données projet'!$B$270,GU16+GT17-HC16)))</f>
        <v>297.43589743589746</v>
      </c>
      <c r="GV17" s="17">
        <f>GU17*VLOOKUP('Données projet'!$B$18,Paramètres!$A$1:$I$89,3,0)*VLOOKUP('Données projet'!$B$18,Paramètres!$A$1:$I$89,5,0)</f>
        <v>170.28800000000001</v>
      </c>
      <c r="GW17" s="13">
        <f t="shared" si="51"/>
        <v>43.154519649024792</v>
      </c>
      <c r="GX17" s="20">
        <f t="shared" si="28"/>
        <v>371.74572172205148</v>
      </c>
      <c r="GY17" s="59">
        <f t="shared" si="29"/>
        <v>625.43408301828799</v>
      </c>
      <c r="GZ17" s="59">
        <f ca="1">AVERAGE(OFFSET($GY$3,0,0,'Données projet'!$E$18+1,1))-AVERAGE(OFFSET($H$3,0,0,'Données projet'!$E$18+1,1))</f>
        <v>249.88816678272056</v>
      </c>
      <c r="HA17" s="59">
        <f t="shared" si="52"/>
        <v>432.10802787437319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1">
        <f>'Scénario référence'!$B$16*5+'Scénario référence'!$B$17*0+'Scénario référence'!$B$18*5</f>
        <v>1.4000000000000001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5.1333333333333337</v>
      </c>
      <c r="H18" s="65">
        <f t="shared" si="1"/>
        <v>236.13333333333335</v>
      </c>
      <c r="I18" s="6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65</v>
      </c>
      <c r="L18" s="12">
        <f>VLOOKUP(A18,'Données projet'!$A$35:$I$55,9,0)</f>
        <v>10.8</v>
      </c>
      <c r="M18" s="12">
        <f t="array" ref="M18">INDEX(L:L,MIN(IF(ISNUMBER(L18:L214),ROW(L18:L214),"")))</f>
        <v>10.8</v>
      </c>
      <c r="N18" s="13">
        <f>IF('Données projet'!$A$36&gt;35,N17+M18-V17,IF(A18&lt;'Données projet'!$A$36,$K$205^A18,IF(A18='Données projet'!$A$36,'Données projet'!$B$36,N17+M18-V17)))</f>
        <v>65</v>
      </c>
      <c r="O18" s="13">
        <f>N18*VLOOKUP('Données projet'!$B$9,Paramètres!$A$1:$I$89,3,0)*VLOOKUP('Données projet'!$B$9,Paramètres!$A$1:$I$89,5,0)</f>
        <v>51.713999999999999</v>
      </c>
      <c r="P18" s="13">
        <f t="shared" si="33"/>
        <v>15.055535578337075</v>
      </c>
      <c r="Q18" s="20">
        <f t="shared" si="2"/>
        <v>116.29027446560372</v>
      </c>
      <c r="R18" s="59">
        <f t="shared" si="0"/>
        <v>371.54936444681039</v>
      </c>
      <c r="S18" s="59">
        <f ca="1">AVERAGE(OFFSET($R$3,0,0,'Données projet'!$E$9+1,1))-AVERAGE(OFFSET($H$3,0,0,'Données projet'!$E$9+1,1))</f>
        <v>360.06385535620069</v>
      </c>
      <c r="T18" s="59">
        <f t="shared" si="34"/>
        <v>350.82516032456408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32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22.596685284210423</v>
      </c>
      <c r="AK18" s="13">
        <f t="shared" si="35"/>
        <v>7.2441259820371586</v>
      </c>
      <c r="AL18" s="20">
        <f t="shared" si="4"/>
        <v>51.972746288714539</v>
      </c>
      <c r="AM18" s="59">
        <f t="shared" si="5"/>
        <v>307.23183626992125</v>
      </c>
      <c r="AN18" s="59">
        <f ca="1">AVERAGE(OFFSET($AM$3,0,0,'Données projet'!$E$10+1,1))-AVERAGE(OFFSET($H$3,0,0,'Données projet'!$E$10+1,1))</f>
        <v>448.65237942538027</v>
      </c>
      <c r="AO18" s="59">
        <f t="shared" si="36"/>
        <v>283.56749129825107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13.454342644059421</v>
      </c>
      <c r="BE18" s="13">
        <f>BD18*VLOOKUP('Données projet'!$B$11,Paramètres!$A$1:$I$89,3,0)*VLOOKUP('Données projet'!$B$11,Paramètres!$A$1:$I$89,5,0)</f>
        <v>11.543825988602984</v>
      </c>
      <c r="BF18" s="13">
        <f t="shared" si="37"/>
        <v>4.0016981182064377</v>
      </c>
      <c r="BG18" s="20">
        <f t="shared" si="7"/>
        <v>27.075121152693075</v>
      </c>
      <c r="BH18" s="59">
        <f t="shared" si="8"/>
        <v>282.33421113389977</v>
      </c>
      <c r="BI18" s="59">
        <f ca="1">AVERAGE(OFFSET($BH$3,0,0,'Données projet'!$E$11+1,1))-AVERAGE(OFFSET($H$3,0,0,'Données projet'!$E$11+1,1))</f>
        <v>456.76871853389395</v>
      </c>
      <c r="BJ18" s="59">
        <f t="shared" si="38"/>
        <v>262.12425810289176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184</v>
      </c>
      <c r="BW18" s="12">
        <f>VLOOKUP(A18,'Données projet'!$A$113:$I$133,9,0)</f>
        <v>13.8</v>
      </c>
      <c r="BX18" s="12">
        <f t="array" ref="BX18">INDEX(BW:BW,MIN(IF(ISNUMBER(BW18:BW214),ROW(BW18:BW214),"")))</f>
        <v>13.8</v>
      </c>
      <c r="BY18" s="12">
        <f>IF('Données projet'!$A$114&gt;35,BY17+BX18-CG17,IF(A18&lt;'Données projet'!$A$114,$BV$205^A18,IF(A18='Données projet'!$A$114,'Données projet'!$B$114,BY17+BX18-CG17)))</f>
        <v>184.00000000000006</v>
      </c>
      <c r="BZ18" s="13">
        <f>BY18*VLOOKUP('Données projet'!$B$12,Paramètres!$A$1:$I$89,3,0)*VLOOKUP('Données projet'!$B$12,Paramètres!$A$1:$I$89,5,0)</f>
        <v>134.90880000000004</v>
      </c>
      <c r="CA18" s="13">
        <f t="shared" si="39"/>
        <v>35.128180500859067</v>
      </c>
      <c r="CB18" s="20">
        <f t="shared" si="10"/>
        <v>296.14774103899623</v>
      </c>
      <c r="CC18" s="59">
        <f t="shared" si="11"/>
        <v>551.40683102020296</v>
      </c>
      <c r="CD18" s="59">
        <f ca="1">AVERAGE(OFFSET($CC$3,0,0,'Données projet'!$E$12+1,1))-AVERAGE(OFFSET($H$3,0,0,'Données projet'!$E$12+1,1))</f>
        <v>242.65851607945316</v>
      </c>
      <c r="CE18" s="59">
        <f t="shared" si="40"/>
        <v>218.9349999985487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87</v>
      </c>
      <c r="CR18" s="12">
        <f>VLOOKUP(A18,'Données projet'!$A$139:$I$159,9,0)</f>
        <v>5.8</v>
      </c>
      <c r="CS18" s="12">
        <f t="array" ref="CS18">INDEX(CR:CR,MIN(IF(ISNUMBER(CR18:CR214),ROW(CR18:CR214),"")))</f>
        <v>5.8</v>
      </c>
      <c r="CT18" s="12">
        <f>IF('Données projet'!$A$140&gt;35,CT17+CS18-DB17,IF(A18&lt;'Données projet'!$A$140,$CQ$205^A18,IF(A18='Données projet'!$A$140,'Données projet'!$B$140,CT17+CS18-DB17)))</f>
        <v>87</v>
      </c>
      <c r="CU18" s="17">
        <f>CT18*VLOOKUP('Données projet'!$B$13,Paramètres!$A$1:$I$89,3,0)*VLOOKUP('Données projet'!$B$13,Paramètres!$A$1:$I$89,5,0)</f>
        <v>76.003200000000007</v>
      </c>
      <c r="CV18" s="13">
        <f t="shared" si="41"/>
        <v>21.157049992000456</v>
      </c>
      <c r="CW18" s="20">
        <f t="shared" si="13"/>
        <v>169.22076873606747</v>
      </c>
      <c r="CX18" s="59">
        <f t="shared" si="14"/>
        <v>424.47985871727417</v>
      </c>
      <c r="CY18" s="59">
        <f ca="1">AVERAGE(OFFSET($CX$3,0,0,'Données projet'!$E$13+1,1))-AVERAGE(OFFSET($H$3,0,0,'Données projet'!$E$13+1,1))</f>
        <v>326.9460696675867</v>
      </c>
      <c r="CZ18" s="59">
        <f t="shared" si="42"/>
        <v>393.4020374592568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21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5.85</v>
      </c>
      <c r="DO18" s="12">
        <f>IF('Données projet'!$A$166&gt;35,DO17+DN18-DW17,IF(A18&lt;'Données projet'!$A$166,$DL$205^A18,IF(A18='Données projet'!$A$166,'Données projet'!$B$166,DO17+DN18-DW17)))</f>
        <v>35.574548453745123</v>
      </c>
      <c r="DP18" s="17">
        <f>DO18*VLOOKUP('Données projet'!$B$14,Paramètres!$A$1:$I$89,3,0)*VLOOKUP('Données projet'!$B$14,Paramètres!$A$1:$I$89,5,0)</f>
        <v>27.748147793921198</v>
      </c>
      <c r="DQ18" s="13">
        <f t="shared" si="43"/>
        <v>8.6854760363431716</v>
      </c>
      <c r="DR18" s="20">
        <f t="shared" si="16"/>
        <v>63.455228171043764</v>
      </c>
      <c r="DS18" s="59">
        <f t="shared" si="17"/>
        <v>318.71431815225048</v>
      </c>
      <c r="DT18" s="59">
        <f ca="1">AVERAGE(OFFSET($DS$3,0,0,'Données projet'!$E$14+1,1))-AVERAGE(OFFSET($H$3,0,0,'Données projet'!$E$14+1,1))</f>
        <v>364.34528546733799</v>
      </c>
      <c r="DU18" s="59">
        <f t="shared" si="44"/>
        <v>346.5839763411152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43.602000000000004</v>
      </c>
      <c r="EL18" s="13">
        <f t="shared" si="45"/>
        <v>12.948513957367396</v>
      </c>
      <c r="EM18" s="20">
        <f t="shared" si="19"/>
        <v>98.492145142414884</v>
      </c>
      <c r="EN18" s="59">
        <f t="shared" si="20"/>
        <v>353.7512351236216</v>
      </c>
      <c r="EO18" s="59">
        <f ca="1">AVERAGE(OFFSET($EN$3,0,0,'Données projet'!$E$15+1,1))-AVERAGE(OFFSET($H$3,0,0,'Données projet'!$E$15+1,1))</f>
        <v>310.38232870602445</v>
      </c>
      <c r="EP18" s="59">
        <f t="shared" si="46"/>
        <v>303.45934457265537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118</v>
      </c>
      <c r="FC18" s="12">
        <f>VLOOKUP(A18,'Données projet'!$A$217:$I$237,9,0)</f>
        <v>12.2</v>
      </c>
      <c r="FD18" s="12">
        <f t="array" ref="FD18">INDEX(FC:FC,MIN(IF(ISNUMBER(FC18:FC214),ROW(FC18:FC214),"")))</f>
        <v>12.2</v>
      </c>
      <c r="FE18" s="12">
        <f>IF('Données projet'!$A$218&gt;35,FE17+FD18-FM17,IF(A18&lt;'Données projet'!$A$218,$FB$205^A18,IF(A18='Données projet'!$A$218,'Données projet'!$B$218,FE17+FD18-FM17)))</f>
        <v>118.00000000000001</v>
      </c>
      <c r="FF18" s="17">
        <f>FE18*VLOOKUP('Données projet'!$B$16,Paramètres!$A$1:$I$89,3,0)*VLOOKUP('Données projet'!$B$16,Paramètres!$A$1:$I$89,5,0)</f>
        <v>112.28880000000001</v>
      </c>
      <c r="FG18" s="13">
        <f t="shared" si="47"/>
        <v>29.869595672288149</v>
      </c>
      <c r="FH18" s="20">
        <f t="shared" si="22"/>
        <v>247.59253912923518</v>
      </c>
      <c r="FI18" s="59">
        <f t="shared" si="23"/>
        <v>502.85162911044188</v>
      </c>
      <c r="FJ18" s="59">
        <f ca="1">AVERAGE(OFFSET($FI$3,0,0,'Données projet'!$E$16+1,1))-AVERAGE(OFFSET($H$3,0,0,'Données projet'!$E$16+1,1))</f>
        <v>457.706832425622</v>
      </c>
      <c r="FK18" s="59">
        <f t="shared" si="48"/>
        <v>474.61768219844873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17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65</v>
      </c>
      <c r="FX18" s="12">
        <f>VLOOKUP(A18,'Données projet'!$A$243:$I$263,9,0)</f>
        <v>10.8</v>
      </c>
      <c r="FY18" s="12">
        <f t="array" ref="FY18">INDEX(FX:FX,MIN(IF(ISNUMBER(FX18:FX214),ROW(FX18:FX214),"")))</f>
        <v>10.8</v>
      </c>
      <c r="FZ18" s="12">
        <f>IF('Données projet'!$A$244&gt;35,FZ17+FY18-GH17,IF(A18&lt;'Données projet'!$A$244,$FW$205^A18,IF(A18='Données projet'!$A$244,'Données projet'!$B$244,FZ17+FY18-GH17)))</f>
        <v>65</v>
      </c>
      <c r="GA18" s="17">
        <f>FZ18*VLOOKUP('Données projet'!$B$17,Paramètres!$A$1:$I$89,3,0)*VLOOKUP('Données projet'!$B$17,Paramètres!$A$1:$I$89,5,0)</f>
        <v>62.867999999999995</v>
      </c>
      <c r="GB18" s="13">
        <f t="shared" si="49"/>
        <v>17.891407141629873</v>
      </c>
      <c r="GC18" s="20">
        <f t="shared" si="25"/>
        <v>140.65596743833868</v>
      </c>
      <c r="GD18" s="59">
        <f t="shared" si="26"/>
        <v>395.91505741954541</v>
      </c>
      <c r="GE18" s="59">
        <f ca="1">AVERAGE(OFFSET($GD$3,0,0,'Données projet'!$E$17+1,1))-AVERAGE(OFFSET($H$3,0,0,'Données projet'!$E$17+1,1))</f>
        <v>428.11167311086814</v>
      </c>
      <c r="GF18" s="59">
        <f t="shared" si="50"/>
        <v>415.69449942923609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32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1.2820512820512817</v>
      </c>
      <c r="GU18" s="12">
        <f>IF('Données projet'!$A$270&gt;35,GU17+GT18-HC17,IF(A18&lt;'Données projet'!$A$270,$GR$205^A18,IF(A18='Données projet'!$A$270,'Données projet'!$B$270,GU17+GT18-HC17)))</f>
        <v>298.71794871794873</v>
      </c>
      <c r="GV18" s="17">
        <f>GU18*VLOOKUP('Données projet'!$B$18,Paramètres!$A$1:$I$89,3,0)*VLOOKUP('Données projet'!$B$18,Paramètres!$A$1:$I$89,5,0)</f>
        <v>171.02200000000002</v>
      </c>
      <c r="GW18" s="13">
        <f t="shared" si="51"/>
        <v>43.318837679909997</v>
      </c>
      <c r="GX18" s="20">
        <f t="shared" si="28"/>
        <v>373.31029229250993</v>
      </c>
      <c r="GY18" s="59">
        <f t="shared" si="29"/>
        <v>628.56938227371666</v>
      </c>
      <c r="GZ18" s="59">
        <f ca="1">AVERAGE(OFFSET($GY$3,0,0,'Données projet'!$E$18+1,1))-AVERAGE(OFFSET($H$3,0,0,'Données projet'!$E$18+1,1))</f>
        <v>249.88816678272056</v>
      </c>
      <c r="HA18" s="59">
        <f t="shared" si="52"/>
        <v>432.10802787437319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1">
        <f>'Scénario référence'!$B$16*5+'Scénario référence'!$B$17*0+'Scénario référence'!$B$18*5</f>
        <v>1.4000000000000001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5.1333333333333337</v>
      </c>
      <c r="H19" s="65">
        <f t="shared" si="1"/>
        <v>236.13333333333335</v>
      </c>
      <c r="I19" s="6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13.8</v>
      </c>
      <c r="N19" s="13">
        <f>IF('Données projet'!$A$36&gt;35,N18+M19-V18,IF(A19&lt;'Données projet'!$A$36,$K$205^A19,IF(A19='Données projet'!$A$36,'Données projet'!$B$36,N18+M19-V18)))</f>
        <v>46.8</v>
      </c>
      <c r="O19" s="13">
        <f>N19*VLOOKUP('Données projet'!$B$9,Paramètres!$A$1:$I$89,3,0)*VLOOKUP('Données projet'!$B$9,Paramètres!$A$1:$I$89,5,0)</f>
        <v>37.234079999999999</v>
      </c>
      <c r="P19" s="13">
        <f t="shared" si="33"/>
        <v>11.262510356679771</v>
      </c>
      <c r="Q19" s="20">
        <f t="shared" si="2"/>
        <v>84.464894871217254</v>
      </c>
      <c r="R19" s="59">
        <f t="shared" si="0"/>
        <v>341.28866772940921</v>
      </c>
      <c r="S19" s="59">
        <f ca="1">AVERAGE(OFFSET($R$3,0,0,'Données projet'!$E$9+1,1))-AVERAGE(OFFSET($H$3,0,0,'Données projet'!$E$9+1,1))</f>
        <v>360.06385535620069</v>
      </c>
      <c r="T19" s="59">
        <f t="shared" si="34"/>
        <v>350.82516032456408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28.003407487093821</v>
      </c>
      <c r="AK19" s="13">
        <f t="shared" si="35"/>
        <v>8.7560372090925433</v>
      </c>
      <c r="AL19" s="20">
        <f t="shared" si="4"/>
        <v>64.022699512524582</v>
      </c>
      <c r="AM19" s="59">
        <f t="shared" si="5"/>
        <v>320.84647237071653</v>
      </c>
      <c r="AN19" s="59">
        <f ca="1">AVERAGE(OFFSET($AM$3,0,0,'Données projet'!$E$10+1,1))-AVERAGE(OFFSET($H$3,0,0,'Données projet'!$E$10+1,1))</f>
        <v>448.65237942538027</v>
      </c>
      <c r="AO19" s="59">
        <f t="shared" si="36"/>
        <v>283.56749129825107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15.999999999999986</v>
      </c>
      <c r="BE19" s="13">
        <f>BD19*VLOOKUP('Données projet'!$B$11,Paramètres!$A$1:$I$89,3,0)*VLOOKUP('Données projet'!$B$11,Paramètres!$A$1:$I$89,5,0)</f>
        <v>13.727999999999991</v>
      </c>
      <c r="BF19" s="13">
        <f t="shared" si="37"/>
        <v>4.6638207366437268</v>
      </c>
      <c r="BG19" s="20">
        <f t="shared" si="7"/>
        <v>32.032421116321139</v>
      </c>
      <c r="BH19" s="59">
        <f t="shared" si="8"/>
        <v>288.85619397451308</v>
      </c>
      <c r="BI19" s="59">
        <f ca="1">AVERAGE(OFFSET($BH$3,0,0,'Données projet'!$E$11+1,1))-AVERAGE(OFFSET($H$3,0,0,'Données projet'!$E$11+1,1))</f>
        <v>456.76871853389395</v>
      </c>
      <c r="BJ19" s="59">
        <f t="shared" si="38"/>
        <v>262.12425810289176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13.666666666666666</v>
      </c>
      <c r="BY19" s="12">
        <f>IF('Données projet'!$A$114&gt;35,BY18+BX19-CG18,IF(A19&lt;'Données projet'!$A$114,$BV$205^A19,IF(A19='Données projet'!$A$114,'Données projet'!$B$114,BY18+BX19-CG18)))</f>
        <v>197.66666666666671</v>
      </c>
      <c r="BZ19" s="13">
        <f>BY19*VLOOKUP('Données projet'!$B$12,Paramètres!$A$1:$I$89,3,0)*VLOOKUP('Données projet'!$B$12,Paramètres!$A$1:$I$89,5,0)</f>
        <v>144.92920000000004</v>
      </c>
      <c r="CA19" s="13">
        <f t="shared" si="39"/>
        <v>37.423931852603523</v>
      </c>
      <c r="CB19" s="20">
        <f t="shared" si="10"/>
        <v>317.59837130995112</v>
      </c>
      <c r="CC19" s="59">
        <f t="shared" si="11"/>
        <v>574.42214416814306</v>
      </c>
      <c r="CD19" s="59">
        <f ca="1">AVERAGE(OFFSET($CC$3,0,0,'Données projet'!$E$12+1,1))-AVERAGE(OFFSET($H$3,0,0,'Données projet'!$E$12+1,1))</f>
        <v>242.65851607945316</v>
      </c>
      <c r="CE19" s="59">
        <f t="shared" si="40"/>
        <v>218.9349999985487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14.2</v>
      </c>
      <c r="CT19" s="12">
        <f>IF('Données projet'!$A$140&gt;35,CT18+CS19-DB18,IF(A19&lt;'Données projet'!$A$140,$CQ$205^A19,IF(A19='Données projet'!$A$140,'Données projet'!$B$140,CT18+CS19-DB18)))</f>
        <v>80.2</v>
      </c>
      <c r="CU19" s="17">
        <f>CT19*VLOOKUP('Données projet'!$B$13,Paramètres!$A$1:$I$89,3,0)*VLOOKUP('Données projet'!$B$13,Paramètres!$A$1:$I$89,5,0)</f>
        <v>70.062720000000013</v>
      </c>
      <c r="CV19" s="13">
        <f t="shared" si="41"/>
        <v>19.689032345957123</v>
      </c>
      <c r="CW19" s="20">
        <f t="shared" si="13"/>
        <v>156.31763533587534</v>
      </c>
      <c r="CX19" s="59">
        <f t="shared" si="14"/>
        <v>413.14140819406725</v>
      </c>
      <c r="CY19" s="59">
        <f ca="1">AVERAGE(OFFSET($CX$3,0,0,'Données projet'!$E$13+1,1))-AVERAGE(OFFSET($H$3,0,0,'Données projet'!$E$13+1,1))</f>
        <v>326.9460696675867</v>
      </c>
      <c r="CZ19" s="59">
        <f t="shared" si="42"/>
        <v>393.4020374592568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5.85</v>
      </c>
      <c r="DO19" s="12">
        <f>IF('Données projet'!$A$166&gt;35,DO18+DN19-DW18,IF(A19&lt;'Données projet'!$A$166,$DL$205^A19,IF(A19='Données projet'!$A$166,'Données projet'!$B$166,DO18+DN19-DW18)))</f>
        <v>45.138662812705725</v>
      </c>
      <c r="DP19" s="17">
        <f>DO19*VLOOKUP('Données projet'!$B$14,Paramètres!$A$1:$I$89,3,0)*VLOOKUP('Données projet'!$B$14,Paramètres!$A$1:$I$89,5,0)</f>
        <v>35.208156993910464</v>
      </c>
      <c r="DQ19" s="13">
        <f t="shared" si="43"/>
        <v>10.71929141331386</v>
      </c>
      <c r="DR19" s="20">
        <f t="shared" si="16"/>
        <v>79.990305975915703</v>
      </c>
      <c r="DS19" s="59">
        <f t="shared" si="17"/>
        <v>336.81407883410765</v>
      </c>
      <c r="DT19" s="59">
        <f ca="1">AVERAGE(OFFSET($DS$3,0,0,'Données projet'!$E$14+1,1))-AVERAGE(OFFSET($H$3,0,0,'Données projet'!$E$14+1,1))</f>
        <v>364.34528546733799</v>
      </c>
      <c r="DU19" s="59">
        <f t="shared" si="44"/>
        <v>346.5839763411152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31.393439999999998</v>
      </c>
      <c r="EL19" s="13">
        <f t="shared" si="45"/>
        <v>9.6863224685475071</v>
      </c>
      <c r="EM19" s="20">
        <f t="shared" si="19"/>
        <v>71.547252966053563</v>
      </c>
      <c r="EN19" s="59">
        <f t="shared" si="20"/>
        <v>328.37102582424552</v>
      </c>
      <c r="EO19" s="59">
        <f ca="1">AVERAGE(OFFSET($EN$3,0,0,'Données projet'!$E$15+1,1))-AVERAGE(OFFSET($H$3,0,0,'Données projet'!$E$15+1,1))</f>
        <v>310.38232870602445</v>
      </c>
      <c r="EP19" s="59">
        <f t="shared" si="46"/>
        <v>303.45934457265537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11.4</v>
      </c>
      <c r="FE19" s="12">
        <f>IF('Données projet'!$A$218&gt;35,FE18+FD19-FM18,IF(A19&lt;'Données projet'!$A$218,$FB$205^A19,IF(A19='Données projet'!$A$218,'Données projet'!$B$218,FE18+FD19-FM18)))</f>
        <v>112.4</v>
      </c>
      <c r="FF19" s="17">
        <f>FE19*VLOOKUP('Données projet'!$B$16,Paramètres!$A$1:$I$89,3,0)*VLOOKUP('Données projet'!$B$16,Paramètres!$A$1:$I$89,5,0)</f>
        <v>106.95984000000001</v>
      </c>
      <c r="FG19" s="13">
        <f t="shared" si="47"/>
        <v>28.613534977813039</v>
      </c>
      <c r="FH19" s="20">
        <f t="shared" si="22"/>
        <v>236.12362808635771</v>
      </c>
      <c r="FI19" s="59">
        <f t="shared" si="23"/>
        <v>492.94740094454966</v>
      </c>
      <c r="FJ19" s="59">
        <f ca="1">AVERAGE(OFFSET($FI$3,0,0,'Données projet'!$E$16+1,1))-AVERAGE(OFFSET($H$3,0,0,'Données projet'!$E$16+1,1))</f>
        <v>457.706832425622</v>
      </c>
      <c r="FK19" s="59">
        <f t="shared" si="48"/>
        <v>474.61768219844873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13.8</v>
      </c>
      <c r="FZ19" s="12">
        <f>IF('Données projet'!$A$244&gt;35,FZ18+FY19-GH18,IF(A19&lt;'Données projet'!$A$244,$FW$205^A19,IF(A19='Données projet'!$A$244,'Données projet'!$B$244,FZ18+FY19-GH18)))</f>
        <v>46.8</v>
      </c>
      <c r="GA19" s="17">
        <f>FZ19*VLOOKUP('Données projet'!$B$17,Paramètres!$A$1:$I$89,3,0)*VLOOKUP('Données projet'!$B$17,Paramètres!$A$1:$I$89,5,0)</f>
        <v>45.264960000000002</v>
      </c>
      <c r="GB19" s="13">
        <f t="shared" si="49"/>
        <v>13.383924947719283</v>
      </c>
      <c r="GC19" s="20">
        <f t="shared" si="25"/>
        <v>102.14680795061109</v>
      </c>
      <c r="GD19" s="59">
        <f t="shared" si="26"/>
        <v>358.97058080880305</v>
      </c>
      <c r="GE19" s="59">
        <f ca="1">AVERAGE(OFFSET($GD$3,0,0,'Données projet'!$E$17+1,1))-AVERAGE(OFFSET($H$3,0,0,'Données projet'!$E$17+1,1))</f>
        <v>428.11167311086814</v>
      </c>
      <c r="GF19" s="59">
        <f t="shared" si="50"/>
        <v>415.69449942923609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1.2820512820512817</v>
      </c>
      <c r="GU19" s="12">
        <f>IF('Données projet'!$A$270&gt;35,GU18+GT19-HC18,IF(A19&lt;'Données projet'!$A$270,$GR$205^A19,IF(A19='Données projet'!$A$270,'Données projet'!$B$270,GU18+GT19-HC18)))</f>
        <v>300</v>
      </c>
      <c r="GV19" s="17">
        <f>GU19*VLOOKUP('Données projet'!$B$18,Paramètres!$A$1:$I$89,3,0)*VLOOKUP('Données projet'!$B$18,Paramètres!$A$1:$I$89,5,0)</f>
        <v>171.756</v>
      </c>
      <c r="GW19" s="13">
        <f t="shared" si="51"/>
        <v>43.483073642537015</v>
      </c>
      <c r="GX19" s="20">
        <f t="shared" si="28"/>
        <v>374.87471992741865</v>
      </c>
      <c r="GY19" s="59">
        <f t="shared" si="29"/>
        <v>631.6984927856106</v>
      </c>
      <c r="GZ19" s="59">
        <f ca="1">AVERAGE(OFFSET($GY$3,0,0,'Données projet'!$E$18+1,1))-AVERAGE(OFFSET($H$3,0,0,'Données projet'!$E$18+1,1))</f>
        <v>249.88816678272056</v>
      </c>
      <c r="HA19" s="59">
        <f t="shared" si="52"/>
        <v>432.10802787437319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1">
        <f>'Scénario référence'!$B$16*5+'Scénario référence'!$B$17*0+'Scénario référence'!$B$18*5</f>
        <v>1.4000000000000001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5.1333333333333337</v>
      </c>
      <c r="H20" s="65">
        <f t="shared" si="1"/>
        <v>236.13333333333335</v>
      </c>
      <c r="I20" s="6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13.8</v>
      </c>
      <c r="N20" s="13">
        <f>IF('Données projet'!$A$36&gt;35,N19+M20-V19,IF(A20&lt;'Données projet'!$A$36,$K$205^A20,IF(A20='Données projet'!$A$36,'Données projet'!$B$36,N19+M20-V19)))</f>
        <v>60.599999999999994</v>
      </c>
      <c r="O20" s="13">
        <f>N20*VLOOKUP('Données projet'!$B$9,Paramètres!$A$1:$I$89,3,0)*VLOOKUP('Données projet'!$B$9,Paramètres!$A$1:$I$89,5,0)</f>
        <v>48.213360000000002</v>
      </c>
      <c r="P20" s="13">
        <f t="shared" si="33"/>
        <v>14.151379520104694</v>
      </c>
      <c r="Q20" s="20">
        <f t="shared" si="2"/>
        <v>108.61858799751566</v>
      </c>
      <c r="R20" s="59">
        <f t="shared" si="0"/>
        <v>367.00110280595999</v>
      </c>
      <c r="S20" s="59">
        <f ca="1">AVERAGE(OFFSET($R$3,0,0,'Données projet'!$E$9+1,1))-AVERAGE(OFFSET($H$3,0,0,'Données projet'!$E$9+1,1))</f>
        <v>360.06385535620069</v>
      </c>
      <c r="T20" s="59">
        <f t="shared" si="34"/>
        <v>350.82516032456408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34.703799297332367</v>
      </c>
      <c r="AK20" s="13">
        <f t="shared" si="35"/>
        <v>10.583497277259243</v>
      </c>
      <c r="AL20" s="20">
        <f t="shared" si="4"/>
        <v>78.875374867413711</v>
      </c>
      <c r="AM20" s="59">
        <f t="shared" si="5"/>
        <v>337.25788967585805</v>
      </c>
      <c r="AN20" s="59">
        <f ca="1">AVERAGE(OFFSET($AM$3,0,0,'Données projet'!$E$10+1,1))-AVERAGE(OFFSET($H$3,0,0,'Données projet'!$E$10+1,1))</f>
        <v>448.65237942538027</v>
      </c>
      <c r="AO20" s="59">
        <f t="shared" si="36"/>
        <v>283.56749129825107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19.027313840043519</v>
      </c>
      <c r="BE20" s="13">
        <f>BD20*VLOOKUP('Données projet'!$B$11,Paramètres!$A$1:$I$89,3,0)*VLOOKUP('Données projet'!$B$11,Paramètres!$A$1:$I$89,5,0)</f>
        <v>16.325435274757343</v>
      </c>
      <c r="BF20" s="13">
        <f t="shared" si="37"/>
        <v>5.4354984361731269</v>
      </c>
      <c r="BG20" s="20">
        <f t="shared" si="7"/>
        <v>37.90029287987057</v>
      </c>
      <c r="BH20" s="59">
        <f t="shared" si="8"/>
        <v>296.2828076883149</v>
      </c>
      <c r="BI20" s="59">
        <f ca="1">AVERAGE(OFFSET($BH$3,0,0,'Données projet'!$E$11+1,1))-AVERAGE(OFFSET($H$3,0,0,'Données projet'!$E$11+1,1))</f>
        <v>456.76871853389395</v>
      </c>
      <c r="BJ20" s="59">
        <f t="shared" si="38"/>
        <v>262.12425810289176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13.666666666666666</v>
      </c>
      <c r="BY20" s="12">
        <f>IF('Données projet'!$A$114&gt;35,BY19+BX20-CG19,IF(A20&lt;'Données projet'!$A$114,$BV$205^A20,IF(A20='Données projet'!$A$114,'Données projet'!$B$114,BY19+BX20-CG19)))</f>
        <v>211.33333333333337</v>
      </c>
      <c r="BZ20" s="13">
        <f>BY20*VLOOKUP('Données projet'!$B$12,Paramètres!$A$1:$I$89,3,0)*VLOOKUP('Données projet'!$B$12,Paramètres!$A$1:$I$89,5,0)</f>
        <v>154.94960000000003</v>
      </c>
      <c r="CA20" s="13">
        <f t="shared" si="39"/>
        <v>39.701265909428457</v>
      </c>
      <c r="CB20" s="20">
        <f t="shared" si="10"/>
        <v>339.0169247922546</v>
      </c>
      <c r="CC20" s="59">
        <f t="shared" si="11"/>
        <v>597.399439600699</v>
      </c>
      <c r="CD20" s="59">
        <f ca="1">AVERAGE(OFFSET($CC$3,0,0,'Données projet'!$E$12+1,1))-AVERAGE(OFFSET($H$3,0,0,'Données projet'!$E$12+1,1))</f>
        <v>242.65851607945316</v>
      </c>
      <c r="CE20" s="59">
        <f t="shared" si="40"/>
        <v>218.9349999985487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14.2</v>
      </c>
      <c r="CT20" s="12">
        <f>IF('Données projet'!$A$140&gt;35,CT19+CS20-DB19,IF(A20&lt;'Données projet'!$A$140,$CQ$205^A20,IF(A20='Données projet'!$A$140,'Données projet'!$B$140,CT19+CS20-DB19)))</f>
        <v>94.4</v>
      </c>
      <c r="CU20" s="17">
        <f>CT20*VLOOKUP('Données projet'!$B$13,Paramètres!$A$1:$I$89,3,0)*VLOOKUP('Données projet'!$B$13,Paramètres!$A$1:$I$89,5,0)</f>
        <v>82.467840000000024</v>
      </c>
      <c r="CV20" s="13">
        <f t="shared" si="41"/>
        <v>22.739512759227473</v>
      </c>
      <c r="CW20" s="20">
        <f t="shared" si="13"/>
        <v>183.23613938898788</v>
      </c>
      <c r="CX20" s="59">
        <f t="shared" si="14"/>
        <v>441.61865419743219</v>
      </c>
      <c r="CY20" s="59">
        <f ca="1">AVERAGE(OFFSET($CX$3,0,0,'Données projet'!$E$13+1,1))-AVERAGE(OFFSET($H$3,0,0,'Données projet'!$E$13+1,1))</f>
        <v>326.9460696675867</v>
      </c>
      <c r="CZ20" s="59">
        <f t="shared" si="42"/>
        <v>393.4020374592568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5.85</v>
      </c>
      <c r="DO20" s="12">
        <f>IF('Données projet'!$A$166&gt;35,DO19+DN20-DW19,IF(A20&lt;'Données projet'!$A$166,$DL$205^A20,IF(A20='Données projet'!$A$166,'Données projet'!$B$166,DO19+DN20-DW19)))</f>
        <v>57.274061627749042</v>
      </c>
      <c r="DP20" s="17">
        <f>DO20*VLOOKUP('Données projet'!$B$14,Paramètres!$A$1:$I$89,3,0)*VLOOKUP('Données projet'!$B$14,Paramètres!$A$1:$I$89,5,0)</f>
        <v>44.673768069644254</v>
      </c>
      <c r="DQ20" s="13">
        <f t="shared" si="43"/>
        <v>13.229350691055696</v>
      </c>
      <c r="DR20" s="20">
        <f t="shared" si="16"/>
        <v>100.84793184155241</v>
      </c>
      <c r="DS20" s="59">
        <f t="shared" si="17"/>
        <v>359.23044664999674</v>
      </c>
      <c r="DT20" s="59">
        <f ca="1">AVERAGE(OFFSET($DS$3,0,0,'Données projet'!$E$14+1,1))-AVERAGE(OFFSET($H$3,0,0,'Données projet'!$E$14+1,1))</f>
        <v>364.34528546733799</v>
      </c>
      <c r="DU20" s="59">
        <f t="shared" si="44"/>
        <v>346.5839763411152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40.650479999999995</v>
      </c>
      <c r="EL20" s="13">
        <f t="shared" si="45"/>
        <v>12.170894504459611</v>
      </c>
      <c r="EM20" s="20">
        <f t="shared" si="19"/>
        <v>91.997227261933816</v>
      </c>
      <c r="EN20" s="59">
        <f t="shared" si="20"/>
        <v>350.37974207037814</v>
      </c>
      <c r="EO20" s="59">
        <f ca="1">AVERAGE(OFFSET($EN$3,0,0,'Données projet'!$E$15+1,1))-AVERAGE(OFFSET($H$3,0,0,'Données projet'!$E$15+1,1))</f>
        <v>310.38232870602445</v>
      </c>
      <c r="EP20" s="59">
        <f t="shared" si="46"/>
        <v>303.45934457265537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11.4</v>
      </c>
      <c r="FE20" s="12">
        <f>IF('Données projet'!$A$218&gt;35,FE19+FD20-FM19,IF(A20&lt;'Données projet'!$A$218,$FB$205^A20,IF(A20='Données projet'!$A$218,'Données projet'!$B$218,FE19+FD20-FM19)))</f>
        <v>123.80000000000001</v>
      </c>
      <c r="FF20" s="17">
        <f>FE20*VLOOKUP('Données projet'!$B$16,Paramètres!$A$1:$I$89,3,0)*VLOOKUP('Données projet'!$B$16,Paramètres!$A$1:$I$89,5,0)</f>
        <v>117.80808</v>
      </c>
      <c r="FG20" s="13">
        <f t="shared" si="47"/>
        <v>31.163222740883366</v>
      </c>
      <c r="FH20" s="20">
        <f t="shared" si="22"/>
        <v>259.4583522737052</v>
      </c>
      <c r="FI20" s="59">
        <f t="shared" si="23"/>
        <v>517.84086708214954</v>
      </c>
      <c r="FJ20" s="59">
        <f ca="1">AVERAGE(OFFSET($FI$3,0,0,'Données projet'!$E$16+1,1))-AVERAGE(OFFSET($H$3,0,0,'Données projet'!$E$16+1,1))</f>
        <v>457.706832425622</v>
      </c>
      <c r="FK20" s="59">
        <f t="shared" si="48"/>
        <v>474.61768219844873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13.8</v>
      </c>
      <c r="FZ20" s="12">
        <f>IF('Données projet'!$A$244&gt;35,FZ19+FY20-GH19,IF(A20&lt;'Données projet'!$A$244,$FW$205^A20,IF(A20='Données projet'!$A$244,'Données projet'!$B$244,FZ19+FY20-GH19)))</f>
        <v>60.599999999999994</v>
      </c>
      <c r="GA20" s="17">
        <f>FZ20*VLOOKUP('Données projet'!$B$17,Paramètres!$A$1:$I$89,3,0)*VLOOKUP('Données projet'!$B$17,Paramètres!$A$1:$I$89,5,0)</f>
        <v>58.612319999999997</v>
      </c>
      <c r="GB20" s="13">
        <f t="shared" si="49"/>
        <v>16.816943594767903</v>
      </c>
      <c r="GC20" s="20">
        <f t="shared" si="25"/>
        <v>131.37263409422076</v>
      </c>
      <c r="GD20" s="59">
        <f t="shared" si="26"/>
        <v>389.7551489026651</v>
      </c>
      <c r="GE20" s="59">
        <f ca="1">AVERAGE(OFFSET($GD$3,0,0,'Données projet'!$E$17+1,1))-AVERAGE(OFFSET($H$3,0,0,'Données projet'!$E$17+1,1))</f>
        <v>428.11167311086814</v>
      </c>
      <c r="GF20" s="59">
        <f t="shared" si="50"/>
        <v>415.69449942923609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1.2820512820512817</v>
      </c>
      <c r="GU20" s="12">
        <f>IF('Données projet'!$A$270&gt;35,GU19+GT20-HC19,IF(A20&lt;'Données projet'!$A$270,$GR$205^A20,IF(A20='Données projet'!$A$270,'Données projet'!$B$270,GU19+GT20-HC19)))</f>
        <v>301.28205128205127</v>
      </c>
      <c r="GV20" s="17">
        <f>GU20*VLOOKUP('Données projet'!$B$18,Paramètres!$A$1:$I$89,3,0)*VLOOKUP('Données projet'!$B$18,Paramètres!$A$1:$I$89,5,0)</f>
        <v>172.49</v>
      </c>
      <c r="GW20" s="13">
        <f t="shared" si="51"/>
        <v>43.647227928353693</v>
      </c>
      <c r="GX20" s="20">
        <f t="shared" si="28"/>
        <v>376.43900530854927</v>
      </c>
      <c r="GY20" s="59">
        <f t="shared" si="29"/>
        <v>634.82152011699361</v>
      </c>
      <c r="GZ20" s="59">
        <f ca="1">AVERAGE(OFFSET($GY$3,0,0,'Données projet'!$E$18+1,1))-AVERAGE(OFFSET($H$3,0,0,'Données projet'!$E$18+1,1))</f>
        <v>249.88816678272056</v>
      </c>
      <c r="HA20" s="59">
        <f t="shared" si="52"/>
        <v>432.10802787437319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1">
        <f>'Scénario référence'!$B$16*5+'Scénario référence'!$B$17*0+'Scénario référence'!$B$18*5</f>
        <v>1.4000000000000001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5.1333333333333337</v>
      </c>
      <c r="H21" s="65">
        <f t="shared" si="1"/>
        <v>236.13333333333335</v>
      </c>
      <c r="I21" s="6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13.8</v>
      </c>
      <c r="N21" s="13">
        <f>IF('Données projet'!$A$36&gt;35,N20+M21-V20,IF(A21&lt;'Données projet'!$A$36,$K$205^A21,IF(A21='Données projet'!$A$36,'Données projet'!$B$36,N20+M21-V20)))</f>
        <v>74.399999999999991</v>
      </c>
      <c r="O21" s="13">
        <f>N21*VLOOKUP('Données projet'!$B$9,Paramètres!$A$1:$I$89,3,0)*VLOOKUP('Données projet'!$B$9,Paramètres!$A$1:$I$89,5,0)</f>
        <v>59.192639999999997</v>
      </c>
      <c r="P21" s="13">
        <f t="shared" si="33"/>
        <v>16.963982408330725</v>
      </c>
      <c r="Q21" s="20">
        <f t="shared" si="2"/>
        <v>132.63945069450935</v>
      </c>
      <c r="R21" s="59">
        <f t="shared" si="0"/>
        <v>392.57486958827019</v>
      </c>
      <c r="S21" s="59">
        <f ca="1">AVERAGE(OFFSET($R$3,0,0,'Données projet'!$E$9+1,1))-AVERAGE(OFFSET($H$3,0,0,'Données projet'!$E$9+1,1))</f>
        <v>360.06385535620069</v>
      </c>
      <c r="T21" s="59">
        <f t="shared" si="34"/>
        <v>350.82516032456408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43.007397804163212</v>
      </c>
      <c r="AK21" s="13">
        <f t="shared" si="35"/>
        <v>12.792363936215189</v>
      </c>
      <c r="AL21" s="20">
        <f t="shared" si="4"/>
        <v>97.184585031159045</v>
      </c>
      <c r="AM21" s="59">
        <f t="shared" si="5"/>
        <v>357.1200039249199</v>
      </c>
      <c r="AN21" s="59">
        <f ca="1">AVERAGE(OFFSET($AM$3,0,0,'Données projet'!$E$10+1,1))-AVERAGE(OFFSET($H$3,0,0,'Données projet'!$E$10+1,1))</f>
        <v>448.65237942538027</v>
      </c>
      <c r="AO21" s="59">
        <f t="shared" si="36"/>
        <v>283.56749129825107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22.627416997969497</v>
      </c>
      <c r="BE21" s="13">
        <f>BD21*VLOOKUP('Données projet'!$B$11,Paramètres!$A$1:$I$89,3,0)*VLOOKUP('Données projet'!$B$11,Paramètres!$A$1:$I$89,5,0)</f>
        <v>19.414323784257832</v>
      </c>
      <c r="BF21" s="13">
        <f t="shared" si="37"/>
        <v>6.3348582456241713</v>
      </c>
      <c r="BG21" s="20">
        <f t="shared" si="7"/>
        <v>44.846492035377821</v>
      </c>
      <c r="BH21" s="59">
        <f t="shared" si="8"/>
        <v>304.78191092913869</v>
      </c>
      <c r="BI21" s="59">
        <f ca="1">AVERAGE(OFFSET($BH$3,0,0,'Données projet'!$E$11+1,1))-AVERAGE(OFFSET($H$3,0,0,'Données projet'!$E$11+1,1))</f>
        <v>456.76871853389395</v>
      </c>
      <c r="BJ21" s="59">
        <f t="shared" si="38"/>
        <v>262.12425810289176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225</v>
      </c>
      <c r="BW21" s="12">
        <f>VLOOKUP(A21,'Données projet'!$A$113:$I$133,9,0)</f>
        <v>13.666666666666666</v>
      </c>
      <c r="BX21" s="12">
        <f t="array" ref="BX21">INDEX(BW:BW,MIN(IF(ISNUMBER(BW21:BW217),ROW(BW21:BW217),"")))</f>
        <v>13.666666666666666</v>
      </c>
      <c r="BY21" s="12">
        <f>IF('Données projet'!$A$114&gt;35,BY20+BX21-CG20,IF(A21&lt;'Données projet'!$A$114,$BV$205^A21,IF(A21='Données projet'!$A$114,'Données projet'!$B$114,BY20+BX21-CG20)))</f>
        <v>225.00000000000003</v>
      </c>
      <c r="BZ21" s="13">
        <f>BY21*VLOOKUP('Données projet'!$B$12,Paramètres!$A$1:$I$89,3,0)*VLOOKUP('Données projet'!$B$12,Paramètres!$A$1:$I$89,5,0)</f>
        <v>164.97000000000003</v>
      </c>
      <c r="CA21" s="13">
        <f t="shared" si="39"/>
        <v>41.961509246867301</v>
      </c>
      <c r="CB21" s="20">
        <f t="shared" si="10"/>
        <v>360.40571193829396</v>
      </c>
      <c r="CC21" s="59">
        <f t="shared" si="11"/>
        <v>620.34113083205489</v>
      </c>
      <c r="CD21" s="59">
        <f ca="1">AVERAGE(OFFSET($CC$3,0,0,'Données projet'!$E$12+1,1))-AVERAGE(OFFSET($H$3,0,0,'Données projet'!$E$12+1,1))</f>
        <v>242.65851607945316</v>
      </c>
      <c r="CE21" s="59">
        <f t="shared" si="40"/>
        <v>218.9349999985487</v>
      </c>
      <c r="CF21" s="15">
        <f>IF(ISNA(VLOOKUP(A21,'Données projet'!$A$113:$I$133,3,0)),0,VLOOKUP(A21,'Données projet'!$A$113:$I$133,3,0))</f>
        <v>1</v>
      </c>
      <c r="CG21" s="15">
        <f>IF(ISNA(VLOOKUP(A21,'Données projet'!$A$113:$I$133,4,0)),0,VLOOKUP(A21,'Données projet'!$A$113:$I$133,4,0))</f>
        <v>94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14.2</v>
      </c>
      <c r="CT21" s="12">
        <f>IF('Données projet'!$A$140&gt;35,CT20+CS21-DB20,IF(A21&lt;'Données projet'!$A$140,$CQ$205^A21,IF(A21='Données projet'!$A$140,'Données projet'!$B$140,CT20+CS21-DB20)))</f>
        <v>108.60000000000001</v>
      </c>
      <c r="CU21" s="17">
        <f>CT21*VLOOKUP('Données projet'!$B$13,Paramètres!$A$1:$I$89,3,0)*VLOOKUP('Données projet'!$B$13,Paramètres!$A$1:$I$89,5,0)</f>
        <v>94.87296000000002</v>
      </c>
      <c r="CV21" s="13">
        <f t="shared" si="41"/>
        <v>25.736834760472274</v>
      </c>
      <c r="CW21" s="20">
        <f t="shared" si="13"/>
        <v>210.06205920782259</v>
      </c>
      <c r="CX21" s="59">
        <f t="shared" si="14"/>
        <v>469.99747810158345</v>
      </c>
      <c r="CY21" s="59">
        <f ca="1">AVERAGE(OFFSET($CX$3,0,0,'Données projet'!$E$13+1,1))-AVERAGE(OFFSET($H$3,0,0,'Données projet'!$E$13+1,1))</f>
        <v>326.9460696675867</v>
      </c>
      <c r="CZ21" s="59">
        <f t="shared" si="42"/>
        <v>393.4020374592568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5.85</v>
      </c>
      <c r="DO21" s="12">
        <f>IF('Données projet'!$A$166&gt;35,DO20+DN21-DW20,IF(A21&lt;'Données projet'!$A$166,$DL$205^A21,IF(A21='Données projet'!$A$166,'Données projet'!$B$166,DO20+DN21-DW20)))</f>
        <v>72.672027280698373</v>
      </c>
      <c r="DP21" s="17">
        <f>DO21*VLOOKUP('Données projet'!$B$14,Paramètres!$A$1:$I$89,3,0)*VLOOKUP('Données projet'!$B$14,Paramètres!$A$1:$I$89,5,0)</f>
        <v>56.684181278944735</v>
      </c>
      <c r="DQ21" s="13">
        <f t="shared" si="43"/>
        <v>16.327172474251263</v>
      </c>
      <c r="DR21" s="20">
        <f t="shared" si="16"/>
        <v>127.16144112014972</v>
      </c>
      <c r="DS21" s="59">
        <f t="shared" si="17"/>
        <v>387.0968600139106</v>
      </c>
      <c r="DT21" s="59">
        <f ca="1">AVERAGE(OFFSET($DS$3,0,0,'Données projet'!$E$14+1,1))-AVERAGE(OFFSET($H$3,0,0,'Données projet'!$E$14+1,1))</f>
        <v>364.34528546733799</v>
      </c>
      <c r="DU21" s="59">
        <f t="shared" si="44"/>
        <v>346.5839763411152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49.907519999999998</v>
      </c>
      <c r="EL21" s="13">
        <f t="shared" si="45"/>
        <v>14.589873727432503</v>
      </c>
      <c r="EM21" s="20">
        <f t="shared" si="19"/>
        <v>112.33296074194493</v>
      </c>
      <c r="EN21" s="59">
        <f t="shared" si="20"/>
        <v>372.2683796357058</v>
      </c>
      <c r="EO21" s="59">
        <f ca="1">AVERAGE(OFFSET($EN$3,0,0,'Données projet'!$E$15+1,1))-AVERAGE(OFFSET($H$3,0,0,'Données projet'!$E$15+1,1))</f>
        <v>310.38232870602445</v>
      </c>
      <c r="EP21" s="59">
        <f t="shared" si="46"/>
        <v>303.45934457265537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11.4</v>
      </c>
      <c r="FE21" s="12">
        <f>IF('Données projet'!$A$218&gt;35,FE20+FD21-FM20,IF(A21&lt;'Données projet'!$A$218,$FB$205^A21,IF(A21='Données projet'!$A$218,'Données projet'!$B$218,FE20+FD21-FM20)))</f>
        <v>135.20000000000002</v>
      </c>
      <c r="FF21" s="17">
        <f>FE21*VLOOKUP('Données projet'!$B$16,Paramètres!$A$1:$I$89,3,0)*VLOOKUP('Données projet'!$B$16,Paramètres!$A$1:$I$89,5,0)</f>
        <v>128.65632000000002</v>
      </c>
      <c r="FG21" s="13">
        <f t="shared" si="47"/>
        <v>33.685686839545582</v>
      </c>
      <c r="FH21" s="20">
        <f t="shared" si="22"/>
        <v>282.74566191220862</v>
      </c>
      <c r="FI21" s="59">
        <f t="shared" si="23"/>
        <v>542.68108080596949</v>
      </c>
      <c r="FJ21" s="59">
        <f ca="1">AVERAGE(OFFSET($FI$3,0,0,'Données projet'!$E$16+1,1))-AVERAGE(OFFSET($H$3,0,0,'Données projet'!$E$16+1,1))</f>
        <v>457.706832425622</v>
      </c>
      <c r="FK21" s="59">
        <f t="shared" si="48"/>
        <v>474.61768219844873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13.8</v>
      </c>
      <c r="FZ21" s="12">
        <f>IF('Données projet'!$A$244&gt;35,FZ20+FY21-GH20,IF(A21&lt;'Données projet'!$A$244,$FW$205^A21,IF(A21='Données projet'!$A$244,'Données projet'!$B$244,FZ20+FY21-GH20)))</f>
        <v>74.399999999999991</v>
      </c>
      <c r="GA21" s="17">
        <f>FZ21*VLOOKUP('Données projet'!$B$17,Paramètres!$A$1:$I$89,3,0)*VLOOKUP('Données projet'!$B$17,Paramètres!$A$1:$I$89,5,0)</f>
        <v>71.959679999999992</v>
      </c>
      <c r="GB21" s="13">
        <f t="shared" si="49"/>
        <v>20.159330395897832</v>
      </c>
      <c r="GC21" s="20">
        <f t="shared" si="25"/>
        <v>160.44060977285537</v>
      </c>
      <c r="GD21" s="59">
        <f t="shared" si="26"/>
        <v>420.37602866661621</v>
      </c>
      <c r="GE21" s="59">
        <f ca="1">AVERAGE(OFFSET($GD$3,0,0,'Données projet'!$E$17+1,1))-AVERAGE(OFFSET($H$3,0,0,'Données projet'!$E$17+1,1))</f>
        <v>428.11167311086814</v>
      </c>
      <c r="GF21" s="59">
        <f t="shared" si="50"/>
        <v>415.69449942923609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1.2820512820512817</v>
      </c>
      <c r="GU21" s="12">
        <f>IF('Données projet'!$A$270&gt;35,GU20+GT21-HC20,IF(A21&lt;'Données projet'!$A$270,$GR$205^A21,IF(A21='Données projet'!$A$270,'Données projet'!$B$270,GU20+GT21-HC20)))</f>
        <v>302.56410256410254</v>
      </c>
      <c r="GV21" s="17">
        <f>GU21*VLOOKUP('Données projet'!$B$18,Paramètres!$A$1:$I$89,3,0)*VLOOKUP('Données projet'!$B$18,Paramètres!$A$1:$I$89,5,0)</f>
        <v>173.22399999999999</v>
      </c>
      <c r="GW21" s="13">
        <f t="shared" si="51"/>
        <v>43.81130092528327</v>
      </c>
      <c r="GX21" s="20">
        <f t="shared" si="28"/>
        <v>378.00314911153492</v>
      </c>
      <c r="GY21" s="59">
        <f t="shared" si="29"/>
        <v>637.93856800529579</v>
      </c>
      <c r="GZ21" s="59">
        <f ca="1">AVERAGE(OFFSET($GY$3,0,0,'Données projet'!$E$18+1,1))-AVERAGE(OFFSET($H$3,0,0,'Données projet'!$E$18+1,1))</f>
        <v>249.88816678272056</v>
      </c>
      <c r="HA21" s="59">
        <f t="shared" si="52"/>
        <v>432.10802787437319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1">
        <f>'Scénario référence'!$B$16*5+'Scénario référence'!$B$17*0+'Scénario référence'!$B$18*5</f>
        <v>1.4000000000000001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5.1333333333333337</v>
      </c>
      <c r="H22" s="65">
        <f t="shared" si="1"/>
        <v>236.13333333333335</v>
      </c>
      <c r="I22" s="6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13.8</v>
      </c>
      <c r="N22" s="13">
        <f>IF('Données projet'!$A$36&gt;35,N21+M22-V21,IF(A22&lt;'Données projet'!$A$36,$K$205^A22,IF(A22='Données projet'!$A$36,'Données projet'!$B$36,N21+M22-V21)))</f>
        <v>88.199999999999989</v>
      </c>
      <c r="O22" s="13">
        <f>N22*VLOOKUP('Données projet'!$B$9,Paramètres!$A$1:$I$89,3,0)*VLOOKUP('Données projet'!$B$9,Paramètres!$A$1:$I$89,5,0)</f>
        <v>70.171919999999986</v>
      </c>
      <c r="P22" s="13">
        <f t="shared" si="33"/>
        <v>19.716145269554726</v>
      </c>
      <c r="Q22" s="20">
        <f t="shared" si="2"/>
        <v>156.55504701114111</v>
      </c>
      <c r="R22" s="59">
        <f t="shared" si="0"/>
        <v>418.03763339918771</v>
      </c>
      <c r="S22" s="59">
        <f ca="1">AVERAGE(OFFSET($R$3,0,0,'Données projet'!$E$9+1,1))-AVERAGE(OFFSET($H$3,0,0,'Données projet'!$E$9+1,1))</f>
        <v>360.06385535620069</v>
      </c>
      <c r="T22" s="59">
        <f t="shared" si="34"/>
        <v>350.82516032456408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53.297803218557732</v>
      </c>
      <c r="AK22" s="13">
        <f t="shared" si="35"/>
        <v>15.462240012873817</v>
      </c>
      <c r="AL22" s="20">
        <f t="shared" si="4"/>
        <v>119.75707529474329</v>
      </c>
      <c r="AM22" s="59">
        <f t="shared" si="5"/>
        <v>381.23966168278986</v>
      </c>
      <c r="AN22" s="59">
        <f ca="1">AVERAGE(OFFSET($AM$3,0,0,'Données projet'!$E$10+1,1))-AVERAGE(OFFSET($H$3,0,0,'Données projet'!$E$10+1,1))</f>
        <v>448.65237942538027</v>
      </c>
      <c r="AO22" s="59">
        <f t="shared" si="36"/>
        <v>283.56749129825107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26.908685288118836</v>
      </c>
      <c r="BE22" s="13">
        <f>BD22*VLOOKUP('Données projet'!$B$11,Paramètres!$A$1:$I$89,3,0)*VLOOKUP('Données projet'!$B$11,Paramètres!$A$1:$I$89,5,0)</f>
        <v>23.087651977205965</v>
      </c>
      <c r="BF22" s="13">
        <f t="shared" si="37"/>
        <v>7.3830264994807839</v>
      </c>
      <c r="BG22" s="20">
        <f t="shared" si="7"/>
        <v>53.069765013562751</v>
      </c>
      <c r="BH22" s="59">
        <f t="shared" si="8"/>
        <v>314.55235140160931</v>
      </c>
      <c r="BI22" s="59">
        <f ca="1">AVERAGE(OFFSET($BH$3,0,0,'Données projet'!$E$11+1,1))-AVERAGE(OFFSET($H$3,0,0,'Données projet'!$E$11+1,1))</f>
        <v>456.76871853389395</v>
      </c>
      <c r="BJ22" s="59">
        <f t="shared" si="38"/>
        <v>262.12425810289176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</v>
      </c>
      <c r="BY22" s="12">
        <f>IF('Données projet'!$A$114&gt;35,BY21+BX22-CG21,IF(A22&lt;'Données projet'!$A$114,$BV$205^A22,IF(A22='Données projet'!$A$114,'Données projet'!$B$114,BY21+BX22-CG21)))</f>
        <v>136.00000000000003</v>
      </c>
      <c r="BZ22" s="13">
        <f>BY22*VLOOKUP('Données projet'!$B$12,Paramètres!$A$1:$I$89,3,0)*VLOOKUP('Données projet'!$B$12,Paramètres!$A$1:$I$89,5,0)</f>
        <v>99.71520000000001</v>
      </c>
      <c r="CA22" s="13">
        <f t="shared" si="39"/>
        <v>26.894136617382181</v>
      </c>
      <c r="CB22" s="20">
        <f t="shared" si="10"/>
        <v>220.51126127527394</v>
      </c>
      <c r="CC22" s="59">
        <f t="shared" si="11"/>
        <v>481.99384766332048</v>
      </c>
      <c r="CD22" s="59">
        <f ca="1">AVERAGE(OFFSET($CC$3,0,0,'Données projet'!$E$12+1,1))-AVERAGE(OFFSET($H$3,0,0,'Données projet'!$E$12+1,1))</f>
        <v>242.65851607945316</v>
      </c>
      <c r="CE22" s="59">
        <f t="shared" si="40"/>
        <v>218.9349999985487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14.2</v>
      </c>
      <c r="CT22" s="12">
        <f>IF('Données projet'!$A$140&gt;35,CT21+CS22-DB21,IF(A22&lt;'Données projet'!$A$140,$CQ$205^A22,IF(A22='Données projet'!$A$140,'Données projet'!$B$140,CT21+CS22-DB21)))</f>
        <v>122.80000000000001</v>
      </c>
      <c r="CU22" s="17">
        <f>CT22*VLOOKUP('Données projet'!$B$13,Paramètres!$A$1:$I$89,3,0)*VLOOKUP('Données projet'!$B$13,Paramètres!$A$1:$I$89,5,0)</f>
        <v>107.27808000000003</v>
      </c>
      <c r="CV22" s="13">
        <f t="shared" si="41"/>
        <v>28.688746800886673</v>
      </c>
      <c r="CW22" s="20">
        <f t="shared" si="13"/>
        <v>236.80889001154432</v>
      </c>
      <c r="CX22" s="59">
        <f t="shared" si="14"/>
        <v>498.29147639959092</v>
      </c>
      <c r="CY22" s="59">
        <f ca="1">AVERAGE(OFFSET($CX$3,0,0,'Données projet'!$E$13+1,1))-AVERAGE(OFFSET($H$3,0,0,'Données projet'!$E$13+1,1))</f>
        <v>326.9460696675867</v>
      </c>
      <c r="CZ22" s="59">
        <f t="shared" si="42"/>
        <v>393.4020374592568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5.85</v>
      </c>
      <c r="DO22" s="12">
        <f>IF('Données projet'!$A$166&gt;35,DO21+DN22-DW21,IF(A22&lt;'Données projet'!$A$166,$DL$205^A22,IF(A22='Données projet'!$A$166,'Données projet'!$B$166,DO21+DN22-DW21)))</f>
        <v>92.209691420380025</v>
      </c>
      <c r="DP22" s="17">
        <f>DO22*VLOOKUP('Données projet'!$B$14,Paramètres!$A$1:$I$89,3,0)*VLOOKUP('Données projet'!$B$14,Paramètres!$A$1:$I$89,5,0)</f>
        <v>71.923559307896426</v>
      </c>
      <c r="DQ22" s="13">
        <f t="shared" si="43"/>
        <v>20.150388876166009</v>
      </c>
      <c r="DR22" s="20">
        <f t="shared" si="16"/>
        <v>160.36212642057541</v>
      </c>
      <c r="DS22" s="59">
        <f t="shared" si="17"/>
        <v>421.84471280862198</v>
      </c>
      <c r="DT22" s="59">
        <f ca="1">AVERAGE(OFFSET($DS$3,0,0,'Données projet'!$E$14+1,1))-AVERAGE(OFFSET($H$3,0,0,'Données projet'!$E$14+1,1))</f>
        <v>364.34528546733799</v>
      </c>
      <c r="DU22" s="59">
        <f t="shared" si="44"/>
        <v>346.5839763411152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59.164559999999994</v>
      </c>
      <c r="EL22" s="13">
        <f t="shared" si="45"/>
        <v>16.956871502840986</v>
      </c>
      <c r="EM22" s="20">
        <f t="shared" si="19"/>
        <v>132.57815986744802</v>
      </c>
      <c r="EN22" s="59">
        <f t="shared" si="20"/>
        <v>394.06074625549456</v>
      </c>
      <c r="EO22" s="59">
        <f ca="1">AVERAGE(OFFSET($EN$3,0,0,'Données projet'!$E$15+1,1))-AVERAGE(OFFSET($H$3,0,0,'Données projet'!$E$15+1,1))</f>
        <v>310.38232870602445</v>
      </c>
      <c r="EP22" s="59">
        <f t="shared" si="46"/>
        <v>303.45934457265537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11.4</v>
      </c>
      <c r="FE22" s="12">
        <f>IF('Données projet'!$A$218&gt;35,FE21+FD22-FM21,IF(A22&lt;'Données projet'!$A$218,$FB$205^A22,IF(A22='Données projet'!$A$218,'Données projet'!$B$218,FE21+FD22-FM21)))</f>
        <v>146.60000000000002</v>
      </c>
      <c r="FF22" s="17">
        <f>FE22*VLOOKUP('Données projet'!$B$16,Paramètres!$A$1:$I$89,3,0)*VLOOKUP('Données projet'!$B$16,Paramètres!$A$1:$I$89,5,0)</f>
        <v>139.50456000000003</v>
      </c>
      <c r="FG22" s="13">
        <f t="shared" si="47"/>
        <v>36.183483741074348</v>
      </c>
      <c r="FH22" s="20">
        <f t="shared" si="22"/>
        <v>305.99000951570451</v>
      </c>
      <c r="FI22" s="59">
        <f t="shared" si="23"/>
        <v>567.47259590375108</v>
      </c>
      <c r="FJ22" s="59">
        <f ca="1">AVERAGE(OFFSET($FI$3,0,0,'Données projet'!$E$16+1,1))-AVERAGE(OFFSET($H$3,0,0,'Données projet'!$E$16+1,1))</f>
        <v>457.706832425622</v>
      </c>
      <c r="FK22" s="59">
        <f t="shared" si="48"/>
        <v>474.61768219844873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13.8</v>
      </c>
      <c r="FZ22" s="12">
        <f>IF('Données projet'!$A$244&gt;35,FZ21+FY22-GH21,IF(A22&lt;'Données projet'!$A$244,$FW$205^A22,IF(A22='Données projet'!$A$244,'Données projet'!$B$244,FZ21+FY22-GH21)))</f>
        <v>88.199999999999989</v>
      </c>
      <c r="GA22" s="17">
        <f>FZ22*VLOOKUP('Données projet'!$B$17,Paramètres!$A$1:$I$89,3,0)*VLOOKUP('Données projet'!$B$17,Paramètres!$A$1:$I$89,5,0)</f>
        <v>85.307039999999986</v>
      </c>
      <c r="GB22" s="13">
        <f t="shared" si="49"/>
        <v>23.429892642855144</v>
      </c>
      <c r="GC22" s="20">
        <f t="shared" si="25"/>
        <v>189.38349101963934</v>
      </c>
      <c r="GD22" s="59">
        <f t="shared" si="26"/>
        <v>450.86607740768591</v>
      </c>
      <c r="GE22" s="59">
        <f ca="1">AVERAGE(OFFSET($GD$3,0,0,'Données projet'!$E$17+1,1))-AVERAGE(OFFSET($H$3,0,0,'Données projet'!$E$17+1,1))</f>
        <v>428.11167311086814</v>
      </c>
      <c r="GF22" s="59">
        <f t="shared" si="50"/>
        <v>415.69449942923609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>
        <f>VLOOKUP(A22,'Données projet'!$A$269:$I$289,2,0)</f>
        <v>303.84615384615381</v>
      </c>
      <c r="GS22" s="12">
        <f>VLOOKUP(A22,'Données projet'!$A$269:$I$289,9,0)</f>
        <v>1.2820512820512817</v>
      </c>
      <c r="GT22" s="12">
        <f t="array" ref="GT22">INDEX(GS:GS,MIN(IF(ISNUMBER(GS22:GS218),ROW(GS22:GS218),"")))</f>
        <v>1.2820512820512817</v>
      </c>
      <c r="GU22" s="12">
        <f>IF('Données projet'!$A$270&gt;35,GU21+GT22-HC21,IF(A22&lt;'Données projet'!$A$270,$GR$205^A22,IF(A22='Données projet'!$A$270,'Données projet'!$B$270,GU21+GT22-HC21)))</f>
        <v>303.84615384615381</v>
      </c>
      <c r="GV22" s="17">
        <f>GU22*VLOOKUP('Données projet'!$B$18,Paramètres!$A$1:$I$89,3,0)*VLOOKUP('Données projet'!$B$18,Paramètres!$A$1:$I$89,5,0)</f>
        <v>173.958</v>
      </c>
      <c r="GW22" s="13">
        <f t="shared" si="51"/>
        <v>43.975293017770944</v>
      </c>
      <c r="GX22" s="20">
        <f t="shared" si="28"/>
        <v>379.56715200595107</v>
      </c>
      <c r="GY22" s="59">
        <f t="shared" si="29"/>
        <v>641.04973839399759</v>
      </c>
      <c r="GZ22" s="59">
        <f ca="1">AVERAGE(OFFSET($GY$3,0,0,'Données projet'!$E$18+1,1))-AVERAGE(OFFSET($H$3,0,0,'Données projet'!$E$18+1,1))</f>
        <v>249.88816678272056</v>
      </c>
      <c r="HA22" s="59">
        <f t="shared" si="52"/>
        <v>432.10802787437319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1">
        <f>'Scénario référence'!$B$16*5+'Scénario référence'!$B$17*0+'Scénario référence'!$B$18*5</f>
        <v>1.4000000000000001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5.1333333333333337</v>
      </c>
      <c r="H23" s="65">
        <f t="shared" si="1"/>
        <v>236.13333333333335</v>
      </c>
      <c r="I23" s="6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102</v>
      </c>
      <c r="L23" s="12">
        <f>VLOOKUP(A23,'Données projet'!$A$35:$I$55,9,0)</f>
        <v>13.8</v>
      </c>
      <c r="M23" s="12">
        <f t="array" ref="M23">INDEX(L:L,MIN(IF(ISNUMBER(L23:L219),ROW(L23:L219),"")))</f>
        <v>13.8</v>
      </c>
      <c r="N23" s="13">
        <f>IF('Données projet'!$A$36&gt;35,N22+M23-V22,IF(A23&lt;'Données projet'!$A$36,$K$205^A23,IF(A23='Données projet'!$A$36,'Données projet'!$B$36,N22+M23-V22)))</f>
        <v>101.99999999999999</v>
      </c>
      <c r="O23" s="13">
        <f>N23*VLOOKUP('Données projet'!$B$9,Paramètres!$A$1:$I$89,3,0)*VLOOKUP('Données projet'!$B$9,Paramètres!$A$1:$I$89,5,0)</f>
        <v>81.151200000000003</v>
      </c>
      <c r="P23" s="13">
        <f t="shared" si="33"/>
        <v>22.418424032002342</v>
      </c>
      <c r="Q23" s="20">
        <f t="shared" si="2"/>
        <v>180.38376185573739</v>
      </c>
      <c r="R23" s="59">
        <f t="shared" si="0"/>
        <v>443.40787866406822</v>
      </c>
      <c r="S23" s="59">
        <f ca="1">AVERAGE(OFFSET($R$3,0,0,'Données projet'!$E$9+1,1))-AVERAGE(OFFSET($H$3,0,0,'Données projet'!$E$9+1,1))</f>
        <v>360.06385535620069</v>
      </c>
      <c r="T23" s="59">
        <f t="shared" si="34"/>
        <v>350.82516032456408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35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66.050399999999996</v>
      </c>
      <c r="AK23" s="13">
        <f t="shared" si="35"/>
        <v>18.689342126897891</v>
      </c>
      <c r="AL23" s="20">
        <f t="shared" si="4"/>
        <v>147.58838420434714</v>
      </c>
      <c r="AM23" s="59">
        <f t="shared" si="5"/>
        <v>410.61250101267797</v>
      </c>
      <c r="AN23" s="59">
        <f ca="1">AVERAGE(OFFSET($AM$3,0,0,'Données projet'!$E$10+1,1))-AVERAGE(OFFSET($H$3,0,0,'Données projet'!$E$10+1,1))</f>
        <v>448.65237942538027</v>
      </c>
      <c r="AO23" s="59">
        <f t="shared" si="36"/>
        <v>283.56749129825107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32</v>
      </c>
      <c r="BB23" s="12">
        <f>VLOOKUP(A23,'Données projet'!$A$87:$I$107,9,0)</f>
        <v>1.6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32</v>
      </c>
      <c r="BE23" s="13">
        <f>BD23*VLOOKUP('Données projet'!$B$11,Paramètres!$A$1:$I$89,3,0)*VLOOKUP('Données projet'!$B$11,Paramètres!$A$1:$I$89,5,0)</f>
        <v>27.456000000000003</v>
      </c>
      <c r="BF23" s="13">
        <f t="shared" si="37"/>
        <v>8.604625104229898</v>
      </c>
      <c r="BG23" s="20">
        <f t="shared" si="7"/>
        <v>62.805588723200408</v>
      </c>
      <c r="BH23" s="59">
        <f t="shared" si="8"/>
        <v>325.8297055315312</v>
      </c>
      <c r="BI23" s="59">
        <f ca="1">AVERAGE(OFFSET($BH$3,0,0,'Données projet'!$E$11+1,1))-AVERAGE(OFFSET($H$3,0,0,'Données projet'!$E$11+1,1))</f>
        <v>456.76871853389395</v>
      </c>
      <c r="BJ23" s="59">
        <f t="shared" si="38"/>
        <v>262.12425810289176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</v>
      </c>
      <c r="BY23" s="12">
        <f>IF('Données projet'!$A$114&gt;35,BY22+BX23-CG22,IF(A23&lt;'Données projet'!$A$114,$BV$205^A23,IF(A23='Données projet'!$A$114,'Données projet'!$B$114,BY22+BX23-CG22)))</f>
        <v>141.00000000000003</v>
      </c>
      <c r="BZ23" s="13">
        <f>BY23*VLOOKUP('Données projet'!$B$12,Paramètres!$A$1:$I$89,3,0)*VLOOKUP('Données projet'!$B$12,Paramètres!$A$1:$I$89,5,0)</f>
        <v>103.38120000000002</v>
      </c>
      <c r="CA23" s="13">
        <f t="shared" si="39"/>
        <v>27.765956260923325</v>
      </c>
      <c r="CB23" s="20">
        <f t="shared" si="10"/>
        <v>228.41463048777482</v>
      </c>
      <c r="CC23" s="59">
        <f t="shared" si="11"/>
        <v>491.43874729610559</v>
      </c>
      <c r="CD23" s="59">
        <f ca="1">AVERAGE(OFFSET($CC$3,0,0,'Données projet'!$E$12+1,1))-AVERAGE(OFFSET($H$3,0,0,'Données projet'!$E$12+1,1))</f>
        <v>242.65851607945316</v>
      </c>
      <c r="CE23" s="59">
        <f t="shared" si="40"/>
        <v>218.9349999985487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137</v>
      </c>
      <c r="CR23" s="12">
        <f>VLOOKUP(A23,'Données projet'!$A$139:$I$159,9,0)</f>
        <v>14.2</v>
      </c>
      <c r="CS23" s="12">
        <f t="array" ref="CS23">INDEX(CR:CR,MIN(IF(ISNUMBER(CR23:CR219),ROW(CR23:CR219),"")))</f>
        <v>14.2</v>
      </c>
      <c r="CT23" s="12">
        <f>IF('Données projet'!$A$140&gt;35,CT22+CS23-DB22,IF(A23&lt;'Données projet'!$A$140,$CQ$205^A23,IF(A23='Données projet'!$A$140,'Données projet'!$B$140,CT22+CS23-DB22)))</f>
        <v>137</v>
      </c>
      <c r="CU23" s="17">
        <f>CT23*VLOOKUP('Données projet'!$B$13,Paramètres!$A$1:$I$89,3,0)*VLOOKUP('Données projet'!$B$13,Paramètres!$A$1:$I$89,5,0)</f>
        <v>119.68320000000003</v>
      </c>
      <c r="CV23" s="13">
        <f t="shared" si="41"/>
        <v>31.601099532596194</v>
      </c>
      <c r="CW23" s="20">
        <f t="shared" si="13"/>
        <v>263.48682168593842</v>
      </c>
      <c r="CX23" s="59">
        <f t="shared" si="14"/>
        <v>526.51093849426923</v>
      </c>
      <c r="CY23" s="59">
        <f ca="1">AVERAGE(OFFSET($CX$3,0,0,'Données projet'!$E$13+1,1))-AVERAGE(OFFSET($H$3,0,0,'Données projet'!$E$13+1,1))</f>
        <v>326.9460696675867</v>
      </c>
      <c r="CZ23" s="59">
        <f t="shared" si="42"/>
        <v>393.4020374592568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5.85</v>
      </c>
      <c r="DN23" s="12">
        <f t="array" ref="DN23">INDEX(DM:DM,MIN(IF(ISNUMBER(DM23:DM219),ROW(DM23:DM219),"")))</f>
        <v>5.85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91.26</v>
      </c>
      <c r="DQ23" s="13">
        <f t="shared" si="43"/>
        <v>24.868860330902777</v>
      </c>
      <c r="DR23" s="20">
        <f t="shared" si="16"/>
        <v>202.25776507632233</v>
      </c>
      <c r="DS23" s="59">
        <f t="shared" si="17"/>
        <v>465.2818818846531</v>
      </c>
      <c r="DT23" s="59">
        <f ca="1">AVERAGE(OFFSET($DS$3,0,0,'Données projet'!$E$14+1,1))-AVERAGE(OFFSET($H$3,0,0,'Données projet'!$E$14+1,1))</f>
        <v>364.34528546733799</v>
      </c>
      <c r="DU23" s="59">
        <f t="shared" si="44"/>
        <v>346.5839763411152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68.421599999999984</v>
      </c>
      <c r="EL23" s="13">
        <f t="shared" si="45"/>
        <v>19.280966457164443</v>
      </c>
      <c r="EM23" s="20">
        <f t="shared" si="19"/>
        <v>152.74863657956135</v>
      </c>
      <c r="EN23" s="59">
        <f t="shared" si="20"/>
        <v>415.77275338789218</v>
      </c>
      <c r="EO23" s="59">
        <f ca="1">AVERAGE(OFFSET($EN$3,0,0,'Données projet'!$E$15+1,1))-AVERAGE(OFFSET($H$3,0,0,'Données projet'!$E$15+1,1))</f>
        <v>310.38232870602445</v>
      </c>
      <c r="EP23" s="59">
        <f t="shared" si="46"/>
        <v>303.45934457265537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158</v>
      </c>
      <c r="FC23" s="12">
        <f>VLOOKUP(A23,'Données projet'!$A$217:$I$237,9,0)</f>
        <v>11.4</v>
      </c>
      <c r="FD23" s="12">
        <f t="array" ref="FD23">INDEX(FC:FC,MIN(IF(ISNUMBER(FC23:FC219),ROW(FC23:FC219),"")))</f>
        <v>11.4</v>
      </c>
      <c r="FE23" s="12">
        <f>IF('Données projet'!$A$218&gt;35,FE22+FD23-FM22,IF(A23&lt;'Données projet'!$A$218,$FB$205^A23,IF(A23='Données projet'!$A$218,'Données projet'!$B$218,FE22+FD23-FM22)))</f>
        <v>158.00000000000003</v>
      </c>
      <c r="FF23" s="17">
        <f>FE23*VLOOKUP('Données projet'!$B$16,Paramètres!$A$1:$I$89,3,0)*VLOOKUP('Données projet'!$B$16,Paramètres!$A$1:$I$89,5,0)</f>
        <v>150.35280000000003</v>
      </c>
      <c r="FG23" s="13">
        <f t="shared" si="47"/>
        <v>38.658749721546236</v>
      </c>
      <c r="FH23" s="20">
        <f t="shared" si="22"/>
        <v>329.1951157650264</v>
      </c>
      <c r="FI23" s="59">
        <f t="shared" si="23"/>
        <v>592.2192325733572</v>
      </c>
      <c r="FJ23" s="59">
        <f ca="1">AVERAGE(OFFSET($FI$3,0,0,'Données projet'!$E$16+1,1))-AVERAGE(OFFSET($H$3,0,0,'Données projet'!$E$16+1,1))</f>
        <v>457.706832425622</v>
      </c>
      <c r="FK23" s="59">
        <f t="shared" si="48"/>
        <v>474.61768219844873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22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102</v>
      </c>
      <c r="FX23" s="12">
        <f>VLOOKUP(A23,'Données projet'!$A$243:$I$263,9,0)</f>
        <v>13.8</v>
      </c>
      <c r="FY23" s="12">
        <f t="array" ref="FY23">INDEX(FX:FX,MIN(IF(ISNUMBER(FX23:FX219),ROW(FX23:FX219),"")))</f>
        <v>13.8</v>
      </c>
      <c r="FZ23" s="12">
        <f>IF('Données projet'!$A$244&gt;35,FZ22+FY23-GH22,IF(A23&lt;'Données projet'!$A$244,$FW$205^A23,IF(A23='Données projet'!$A$244,'Données projet'!$B$244,FZ22+FY23-GH22)))</f>
        <v>101.99999999999999</v>
      </c>
      <c r="GA23" s="17">
        <f>FZ23*VLOOKUP('Données projet'!$B$17,Paramètres!$A$1:$I$89,3,0)*VLOOKUP('Données projet'!$B$17,Paramètres!$A$1:$I$89,5,0)</f>
        <v>98.654399999999981</v>
      </c>
      <c r="GB23" s="13">
        <f t="shared" si="49"/>
        <v>26.641174586135573</v>
      </c>
      <c r="GC23" s="20">
        <f t="shared" si="25"/>
        <v>218.22312573751944</v>
      </c>
      <c r="GD23" s="59">
        <f t="shared" si="26"/>
        <v>481.24724254585021</v>
      </c>
      <c r="GE23" s="59">
        <f ca="1">AVERAGE(OFFSET($GD$3,0,0,'Données projet'!$E$17+1,1))-AVERAGE(OFFSET($H$3,0,0,'Données projet'!$E$17+1,1))</f>
        <v>428.11167311086814</v>
      </c>
      <c r="GF23" s="59">
        <f t="shared" si="50"/>
        <v>415.69449942923609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35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3.2051282051282102</v>
      </c>
      <c r="GU23" s="12">
        <f>IF('Données projet'!$A$270&gt;35,GU22+GT23-HC22,IF(A23&lt;'Données projet'!$A$270,$GR$205^A23,IF(A23='Données projet'!$A$270,'Données projet'!$B$270,GU22+GT23-HC22)))</f>
        <v>307.05128205128204</v>
      </c>
      <c r="GV23" s="17">
        <f>GU23*VLOOKUP('Données projet'!$B$18,Paramètres!$A$1:$I$89,3,0)*VLOOKUP('Données projet'!$B$18,Paramètres!$A$1:$I$89,5,0)</f>
        <v>175.79300000000001</v>
      </c>
      <c r="GW23" s="13">
        <f t="shared" si="51"/>
        <v>44.384921784129695</v>
      </c>
      <c r="GX23" s="20">
        <f t="shared" si="28"/>
        <v>383.47654710735918</v>
      </c>
      <c r="GY23" s="59">
        <f t="shared" si="29"/>
        <v>646.50066391568998</v>
      </c>
      <c r="GZ23" s="59">
        <f ca="1">AVERAGE(OFFSET($GY$3,0,0,'Données projet'!$E$18+1,1))-AVERAGE(OFFSET($H$3,0,0,'Données projet'!$E$18+1,1))</f>
        <v>249.88816678272056</v>
      </c>
      <c r="HA23" s="59">
        <f t="shared" si="52"/>
        <v>432.10802787437319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1">
        <f>'Scénario référence'!$B$16*5+'Scénario référence'!$B$17*0+'Scénario référence'!$B$18*5</f>
        <v>1.4000000000000001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5.1333333333333337</v>
      </c>
      <c r="H24" s="65">
        <f t="shared" si="1"/>
        <v>236.13333333333335</v>
      </c>
      <c r="I24" s="6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14.8</v>
      </c>
      <c r="N24" s="13">
        <f>IF('Données projet'!$A$36&gt;35,N23+M24-V23,IF(A24&lt;'Données projet'!$A$36,$K$205^A24,IF(A24='Données projet'!$A$36,'Données projet'!$B$36,N23+M24-V23)))</f>
        <v>81.799999999999983</v>
      </c>
      <c r="O24" s="13">
        <f>N24*VLOOKUP('Données projet'!$B$9,Paramètres!$A$1:$I$89,3,0)*VLOOKUP('Données projet'!$B$9,Paramètres!$A$1:$I$89,5,0)</f>
        <v>65.080079999999981</v>
      </c>
      <c r="P24" s="13">
        <f t="shared" si="33"/>
        <v>18.44653442602603</v>
      </c>
      <c r="Q24" s="20">
        <f t="shared" si="2"/>
        <v>145.47552012532864</v>
      </c>
      <c r="R24" s="59">
        <f t="shared" si="0"/>
        <v>410.03562807057347</v>
      </c>
      <c r="S24" s="59">
        <f ca="1">AVERAGE(OFFSET($R$3,0,0,'Données projet'!$E$9+1,1))-AVERAGE(OFFSET($H$3,0,0,'Données projet'!$E$9+1,1))</f>
        <v>360.06385535620069</v>
      </c>
      <c r="T24" s="59">
        <f t="shared" si="34"/>
        <v>350.82516032456408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67.136160000000004</v>
      </c>
      <c r="AK24" s="13">
        <f t="shared" si="35"/>
        <v>18.960545405756019</v>
      </c>
      <c r="AL24" s="20">
        <f t="shared" si="4"/>
        <v>149.95176191502506</v>
      </c>
      <c r="AM24" s="59">
        <f t="shared" si="5"/>
        <v>414.51186986026994</v>
      </c>
      <c r="AN24" s="59">
        <f ca="1">AVERAGE(OFFSET($AM$3,0,0,'Données projet'!$E$10+1,1))-AVERAGE(OFFSET($H$3,0,0,'Données projet'!$E$10+1,1))</f>
        <v>448.65237942538027</v>
      </c>
      <c r="AO24" s="59">
        <f t="shared" si="36"/>
        <v>283.56749129825107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8.8000000000000007</v>
      </c>
      <c r="BD24" s="12">
        <f>IF('Données projet'!$A$88&gt;35,BD23+BC24-BL23,IF(A24&lt;'Données projet'!$A$88,$BA$205^A24,IF(A24='Données projet'!$A$88,'Données projet'!$B$88,BD23+BC24-BL23)))</f>
        <v>40.799999999999997</v>
      </c>
      <c r="BE24" s="13">
        <f>BD24*VLOOKUP('Données projet'!$B$11,Paramètres!$A$1:$I$89,3,0)*VLOOKUP('Données projet'!$B$11,Paramètres!$A$1:$I$89,5,0)</f>
        <v>35.006400000000006</v>
      </c>
      <c r="BF24" s="13">
        <f t="shared" si="37"/>
        <v>10.664997365847841</v>
      </c>
      <c r="BG24" s="20">
        <f t="shared" si="7"/>
        <v>79.544350412184983</v>
      </c>
      <c r="BH24" s="59">
        <f t="shared" si="8"/>
        <v>344.10445835742985</v>
      </c>
      <c r="BI24" s="59">
        <f ca="1">AVERAGE(OFFSET($BH$3,0,0,'Données projet'!$E$11+1,1))-AVERAGE(OFFSET($H$3,0,0,'Données projet'!$E$11+1,1))</f>
        <v>456.76871853389395</v>
      </c>
      <c r="BJ24" s="59">
        <f t="shared" si="38"/>
        <v>262.12425810289176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</v>
      </c>
      <c r="BY24" s="12">
        <f>IF('Données projet'!$A$114&gt;35,BY23+BX24-CG23,IF(A24&lt;'Données projet'!$A$114,$BV$205^A24,IF(A24='Données projet'!$A$114,'Données projet'!$B$114,BY23+BX24-CG23)))</f>
        <v>146.00000000000003</v>
      </c>
      <c r="BZ24" s="13">
        <f>BY24*VLOOKUP('Données projet'!$B$12,Paramètres!$A$1:$I$89,3,0)*VLOOKUP('Données projet'!$B$12,Paramètres!$A$1:$I$89,5,0)</f>
        <v>107.0472</v>
      </c>
      <c r="CA24" s="13">
        <f t="shared" si="39"/>
        <v>28.634183951187907</v>
      </c>
      <c r="CB24" s="20">
        <f t="shared" si="10"/>
        <v>236.3117437149856</v>
      </c>
      <c r="CC24" s="59">
        <f t="shared" si="11"/>
        <v>500.87185166023045</v>
      </c>
      <c r="CD24" s="59">
        <f ca="1">AVERAGE(OFFSET($CC$3,0,0,'Données projet'!$E$12+1,1))-AVERAGE(OFFSET($H$3,0,0,'Données projet'!$E$12+1,1))</f>
        <v>242.65851607945316</v>
      </c>
      <c r="CE24" s="59">
        <f t="shared" si="40"/>
        <v>218.9349999985487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13.8</v>
      </c>
      <c r="CT24" s="12">
        <f>IF('Données projet'!$A$140&gt;35,CT23+CS24-DB23,IF(A24&lt;'Données projet'!$A$140,$CQ$205^A24,IF(A24='Données projet'!$A$140,'Données projet'!$B$140,CT23+CS24-DB23)))</f>
        <v>107.80000000000001</v>
      </c>
      <c r="CU24" s="17">
        <f>CT24*VLOOKUP('Données projet'!$B$13,Paramètres!$A$1:$I$89,3,0)*VLOOKUP('Données projet'!$B$13,Paramètres!$A$1:$I$89,5,0)</f>
        <v>94.174080000000018</v>
      </c>
      <c r="CV24" s="13">
        <f t="shared" si="41"/>
        <v>25.569241067746205</v>
      </c>
      <c r="CW24" s="20">
        <f t="shared" si="13"/>
        <v>208.55295085965801</v>
      </c>
      <c r="CX24" s="59">
        <f t="shared" si="14"/>
        <v>473.11305880490283</v>
      </c>
      <c r="CY24" s="59">
        <f ca="1">AVERAGE(OFFSET($CX$3,0,0,'Données projet'!$E$13+1,1))-AVERAGE(OFFSET($H$3,0,0,'Données projet'!$E$13+1,1))</f>
        <v>326.9460696675867</v>
      </c>
      <c r="CZ24" s="59">
        <f t="shared" si="42"/>
        <v>393.4020374592568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</v>
      </c>
      <c r="DO24" s="12">
        <f>IF('Données projet'!$A$166&gt;35,DO23+DN24-DW23,IF(A24&lt;'Données projet'!$A$166,$DL$205^A24,IF(A24='Données projet'!$A$166,'Données projet'!$B$166,DO23+DN24-DW23)))</f>
        <v>100</v>
      </c>
      <c r="DP24" s="17">
        <f>DO24*VLOOKUP('Données projet'!$B$14,Paramètres!$A$1:$I$89,3,0)*VLOOKUP('Données projet'!$B$14,Paramètres!$A$1:$I$89,5,0)</f>
        <v>78</v>
      </c>
      <c r="DQ24" s="13">
        <f t="shared" si="43"/>
        <v>21.647455512768612</v>
      </c>
      <c r="DR24" s="20">
        <f t="shared" si="16"/>
        <v>173.55265168473866</v>
      </c>
      <c r="DS24" s="59">
        <f t="shared" si="17"/>
        <v>438.11275962998354</v>
      </c>
      <c r="DT24" s="59">
        <f ca="1">AVERAGE(OFFSET($DS$3,0,0,'Données projet'!$E$14+1,1))-AVERAGE(OFFSET($H$3,0,0,'Données projet'!$E$14+1,1))</f>
        <v>364.34528546733799</v>
      </c>
      <c r="DU24" s="59">
        <f t="shared" si="44"/>
        <v>346.5839763411152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54.871439999999993</v>
      </c>
      <c r="EL24" s="13">
        <f t="shared" si="45"/>
        <v>15.864942647682177</v>
      </c>
      <c r="EM24" s="20">
        <f t="shared" si="19"/>
        <v>123.19919977804646</v>
      </c>
      <c r="EN24" s="59">
        <f t="shared" si="20"/>
        <v>387.75930772329133</v>
      </c>
      <c r="EO24" s="59">
        <f ca="1">AVERAGE(OFFSET($EN$3,0,0,'Données projet'!$E$15+1,1))-AVERAGE(OFFSET($H$3,0,0,'Données projet'!$E$15+1,1))</f>
        <v>310.38232870602445</v>
      </c>
      <c r="EP24" s="59">
        <f t="shared" si="46"/>
        <v>303.45934457265537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10.4</v>
      </c>
      <c r="FE24" s="12">
        <f>IF('Données projet'!$A$218&gt;35,FE23+FD24-FM23,IF(A24&lt;'Données projet'!$A$218,$FB$205^A24,IF(A24='Données projet'!$A$218,'Données projet'!$B$218,FE23+FD24-FM23)))</f>
        <v>146.40000000000003</v>
      </c>
      <c r="FF24" s="17">
        <f>FE24*VLOOKUP('Données projet'!$B$16,Paramètres!$A$1:$I$89,3,0)*VLOOKUP('Données projet'!$B$16,Paramètres!$A$1:$I$89,5,0)</f>
        <v>139.31424000000004</v>
      </c>
      <c r="FG24" s="13">
        <f t="shared" si="47"/>
        <v>36.139862641388611</v>
      </c>
      <c r="FH24" s="20">
        <f t="shared" si="22"/>
        <v>305.58256210041856</v>
      </c>
      <c r="FI24" s="59">
        <f t="shared" si="23"/>
        <v>570.14267004566341</v>
      </c>
      <c r="FJ24" s="59">
        <f ca="1">AVERAGE(OFFSET($FI$3,0,0,'Données projet'!$E$16+1,1))-AVERAGE(OFFSET($H$3,0,0,'Données projet'!$E$16+1,1))</f>
        <v>457.706832425622</v>
      </c>
      <c r="FK24" s="59">
        <f t="shared" si="48"/>
        <v>474.61768219844873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14.8</v>
      </c>
      <c r="FZ24" s="12">
        <f>IF('Données projet'!$A$244&gt;35,FZ23+FY24-GH23,IF(A24&lt;'Données projet'!$A$244,$FW$205^A24,IF(A24='Données projet'!$A$244,'Données projet'!$B$244,FZ23+FY24-GH23)))</f>
        <v>81.799999999999983</v>
      </c>
      <c r="GA24" s="17">
        <f>FZ24*VLOOKUP('Données projet'!$B$17,Paramètres!$A$1:$I$89,3,0)*VLOOKUP('Données projet'!$B$17,Paramètres!$A$1:$I$89,5,0)</f>
        <v>79.116959999999978</v>
      </c>
      <c r="GB24" s="13">
        <f t="shared" si="49"/>
        <v>21.921136983197027</v>
      </c>
      <c r="GC24" s="20">
        <f t="shared" si="25"/>
        <v>175.97468557906811</v>
      </c>
      <c r="GD24" s="59">
        <f t="shared" si="26"/>
        <v>440.53479352431293</v>
      </c>
      <c r="GE24" s="59">
        <f ca="1">AVERAGE(OFFSET($GD$3,0,0,'Données projet'!$E$17+1,1))-AVERAGE(OFFSET($H$3,0,0,'Données projet'!$E$17+1,1))</f>
        <v>428.11167311086814</v>
      </c>
      <c r="GF24" s="59">
        <f t="shared" si="50"/>
        <v>415.69449942923609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3.2051282051282102</v>
      </c>
      <c r="GU24" s="12">
        <f>IF('Données projet'!$A$270&gt;35,GU23+GT24-HC23,IF(A24&lt;'Données projet'!$A$270,$GR$205^A24,IF(A24='Données projet'!$A$270,'Données projet'!$B$270,GU23+GT24-HC23)))</f>
        <v>310.25641025641028</v>
      </c>
      <c r="GV24" s="17">
        <f>GU24*VLOOKUP('Données projet'!$B$18,Paramètres!$A$1:$I$89,3,0)*VLOOKUP('Données projet'!$B$18,Paramètres!$A$1:$I$89,5,0)</f>
        <v>177.62800000000001</v>
      </c>
      <c r="GW24" s="13">
        <f t="shared" si="51"/>
        <v>44.794053131401611</v>
      </c>
      <c r="GX24" s="20">
        <f t="shared" si="28"/>
        <v>387.38507587052453</v>
      </c>
      <c r="GY24" s="59">
        <f t="shared" si="29"/>
        <v>651.94518381576938</v>
      </c>
      <c r="GZ24" s="59">
        <f ca="1">AVERAGE(OFFSET($GY$3,0,0,'Données projet'!$E$18+1,1))-AVERAGE(OFFSET($H$3,0,0,'Données projet'!$E$18+1,1))</f>
        <v>249.88816678272056</v>
      </c>
      <c r="HA24" s="59">
        <f t="shared" si="52"/>
        <v>432.10802787437319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1">
        <f>'Scénario référence'!$B$16*5+'Scénario référence'!$B$17*0+'Scénario référence'!$B$18*5</f>
        <v>1.4000000000000001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5.1333333333333337</v>
      </c>
      <c r="H25" s="65">
        <f t="shared" si="1"/>
        <v>236.13333333333335</v>
      </c>
      <c r="I25" s="6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14.8</v>
      </c>
      <c r="N25" s="13">
        <f>IF('Données projet'!$A$36&gt;35,N24+M25-V24,IF(A25&lt;'Données projet'!$A$36,$K$205^A25,IF(A25='Données projet'!$A$36,'Données projet'!$B$36,N24+M25-V24)))</f>
        <v>96.59999999999998</v>
      </c>
      <c r="O25" s="13">
        <f>N25*VLOOKUP('Données projet'!$B$9,Paramètres!$A$1:$I$89,3,0)*VLOOKUP('Données projet'!$B$9,Paramètres!$A$1:$I$89,5,0)</f>
        <v>76.854959999999991</v>
      </c>
      <c r="P25" s="13">
        <f t="shared" si="33"/>
        <v>21.366419773799993</v>
      </c>
      <c r="Q25" s="20">
        <f t="shared" si="2"/>
        <v>171.06890310603498</v>
      </c>
      <c r="R25" s="59">
        <f t="shared" si="0"/>
        <v>437.15955899900609</v>
      </c>
      <c r="S25" s="59">
        <f ca="1">AVERAGE(OFFSET($R$3,0,0,'Données projet'!$E$9+1,1))-AVERAGE(OFFSET($H$3,0,0,'Données projet'!$E$9+1,1))</f>
        <v>360.06385535620069</v>
      </c>
      <c r="T25" s="59">
        <f t="shared" si="34"/>
        <v>350.82516032456408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73.650720000000007</v>
      </c>
      <c r="AK25" s="13">
        <f t="shared" si="35"/>
        <v>20.577360172493922</v>
      </c>
      <c r="AL25" s="20">
        <f t="shared" si="4"/>
        <v>164.11390630042692</v>
      </c>
      <c r="AM25" s="59">
        <f t="shared" si="5"/>
        <v>430.20456219339803</v>
      </c>
      <c r="AN25" s="59">
        <f ca="1">AVERAGE(OFFSET($AM$3,0,0,'Données projet'!$E$10+1,1))-AVERAGE(OFFSET($H$3,0,0,'Données projet'!$E$10+1,1))</f>
        <v>448.65237942538027</v>
      </c>
      <c r="AO25" s="59">
        <f t="shared" si="36"/>
        <v>283.56749129825107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8.8000000000000007</v>
      </c>
      <c r="BD25" s="12">
        <f>IF('Données projet'!$A$88&gt;35,BD24+BC25-BL24,IF(A25&lt;'Données projet'!$A$88,$BA$205^A25,IF(A25='Données projet'!$A$88,'Données projet'!$B$88,BD24+BC25-BL24)))</f>
        <v>49.599999999999994</v>
      </c>
      <c r="BE25" s="13">
        <f>BD25*VLOOKUP('Données projet'!$B$11,Paramètres!$A$1:$I$89,3,0)*VLOOKUP('Données projet'!$B$11,Paramètres!$A$1:$I$89,5,0)</f>
        <v>42.556799999999996</v>
      </c>
      <c r="BF25" s="13">
        <f t="shared" si="37"/>
        <v>12.673863978067095</v>
      </c>
      <c r="BG25" s="20">
        <f t="shared" si="7"/>
        <v>96.193406428466844</v>
      </c>
      <c r="BH25" s="59">
        <f t="shared" si="8"/>
        <v>362.284062321438</v>
      </c>
      <c r="BI25" s="59">
        <f ca="1">AVERAGE(OFFSET($BH$3,0,0,'Données projet'!$E$11+1,1))-AVERAGE(OFFSET($H$3,0,0,'Données projet'!$E$11+1,1))</f>
        <v>456.76871853389395</v>
      </c>
      <c r="BJ25" s="59">
        <f t="shared" si="38"/>
        <v>262.12425810289176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151</v>
      </c>
      <c r="BW25" s="12">
        <f>VLOOKUP(A25,'Données projet'!$A$113:$I$133,9,0)</f>
        <v>5</v>
      </c>
      <c r="BX25" s="12">
        <f t="array" ref="BX25">INDEX(BW:BW,MIN(IF(ISNUMBER(BW25:BW221),ROW(BW25:BW221),"")))</f>
        <v>5</v>
      </c>
      <c r="BY25" s="12">
        <f>IF('Données projet'!$A$114&gt;35,BY24+BX25-CG24,IF(A25&lt;'Données projet'!$A$114,$BV$205^A25,IF(A25='Données projet'!$A$114,'Données projet'!$B$114,BY24+BX25-CG24)))</f>
        <v>151.00000000000003</v>
      </c>
      <c r="BZ25" s="13">
        <f>BY25*VLOOKUP('Données projet'!$B$12,Paramètres!$A$1:$I$89,3,0)*VLOOKUP('Données projet'!$B$12,Paramètres!$A$1:$I$89,5,0)</f>
        <v>110.71320000000003</v>
      </c>
      <c r="CA25" s="13">
        <f t="shared" si="39"/>
        <v>29.498956799987518</v>
      </c>
      <c r="CB25" s="20">
        <f t="shared" si="10"/>
        <v>244.20283975997833</v>
      </c>
      <c r="CC25" s="59">
        <f t="shared" si="11"/>
        <v>510.29349565294945</v>
      </c>
      <c r="CD25" s="59">
        <f ca="1">AVERAGE(OFFSET($CC$3,0,0,'Données projet'!$E$12+1,1))-AVERAGE(OFFSET($H$3,0,0,'Données projet'!$E$12+1,1))</f>
        <v>242.65851607945316</v>
      </c>
      <c r="CE25" s="59">
        <f t="shared" si="40"/>
        <v>218.9349999985487</v>
      </c>
      <c r="CF25" s="15">
        <f>IF(ISNA(VLOOKUP(A25,'Données projet'!$A$113:$I$133,3,0)),0,VLOOKUP(A25,'Données projet'!$A$113:$I$133,3,0))</f>
        <v>2</v>
      </c>
      <c r="CG25" s="15">
        <f>IF(ISNA(VLOOKUP(A25,'Données projet'!$A$113:$I$133,4,0)),0,VLOOKUP(A25,'Données projet'!$A$113:$I$133,4,0))</f>
        <v>54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13.8</v>
      </c>
      <c r="CT25" s="12">
        <f>IF('Données projet'!$A$140&gt;35,CT24+CS25-DB24,IF(A25&lt;'Données projet'!$A$140,$CQ$205^A25,IF(A25='Données projet'!$A$140,'Données projet'!$B$140,CT24+CS25-DB24)))</f>
        <v>121.60000000000001</v>
      </c>
      <c r="CU25" s="17">
        <f>CT25*VLOOKUP('Données projet'!$B$13,Paramètres!$A$1:$I$89,3,0)*VLOOKUP('Données projet'!$B$13,Paramètres!$A$1:$I$89,5,0)</f>
        <v>106.22976000000003</v>
      </c>
      <c r="CV25" s="13">
        <f t="shared" si="41"/>
        <v>28.440891625171492</v>
      </c>
      <c r="CW25" s="20">
        <f t="shared" si="13"/>
        <v>234.55138491384039</v>
      </c>
      <c r="CX25" s="59">
        <f t="shared" si="14"/>
        <v>500.64204080681156</v>
      </c>
      <c r="CY25" s="59">
        <f ca="1">AVERAGE(OFFSET($CX$3,0,0,'Données projet'!$E$13+1,1))-AVERAGE(OFFSET($H$3,0,0,'Données projet'!$E$13+1,1))</f>
        <v>326.9460696675867</v>
      </c>
      <c r="CZ25" s="59">
        <f t="shared" si="42"/>
        <v>393.4020374592568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</v>
      </c>
      <c r="DO25" s="12">
        <f>IF('Données projet'!$A$166&gt;35,DO24+DN25-DW24,IF(A25&lt;'Données projet'!$A$166,$DL$205^A25,IF(A25='Données projet'!$A$166,'Données projet'!$B$166,DO24+DN25-DW24)))</f>
        <v>110</v>
      </c>
      <c r="DP25" s="17">
        <f>DO25*VLOOKUP('Données projet'!$B$14,Paramètres!$A$1:$I$89,3,0)*VLOOKUP('Données projet'!$B$14,Paramètres!$A$1:$I$89,5,0)</f>
        <v>85.8</v>
      </c>
      <c r="DQ25" s="13">
        <f t="shared" si="43"/>
        <v>23.549485995669766</v>
      </c>
      <c r="DR25" s="20">
        <f t="shared" si="16"/>
        <v>190.45035477579151</v>
      </c>
      <c r="DS25" s="59">
        <f t="shared" si="17"/>
        <v>456.54101066876262</v>
      </c>
      <c r="DT25" s="59">
        <f ca="1">AVERAGE(OFFSET($DS$3,0,0,'Données projet'!$E$14+1,1))-AVERAGE(OFFSET($H$3,0,0,'Données projet'!$E$14+1,1))</f>
        <v>364.34528546733799</v>
      </c>
      <c r="DU25" s="59">
        <f t="shared" si="44"/>
        <v>346.5839763411152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64.799279999999982</v>
      </c>
      <c r="EL25" s="13">
        <f t="shared" si="45"/>
        <v>18.376190154145164</v>
      </c>
      <c r="EM25" s="20">
        <f t="shared" si="19"/>
        <v>144.86394385180279</v>
      </c>
      <c r="EN25" s="59">
        <f t="shared" si="20"/>
        <v>410.95459974477393</v>
      </c>
      <c r="EO25" s="59">
        <f ca="1">AVERAGE(OFFSET($EN$3,0,0,'Données projet'!$E$15+1,1))-AVERAGE(OFFSET($H$3,0,0,'Données projet'!$E$15+1,1))</f>
        <v>310.38232870602445</v>
      </c>
      <c r="EP25" s="59">
        <f t="shared" si="46"/>
        <v>303.45934457265537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10.4</v>
      </c>
      <c r="FE25" s="12">
        <f>IF('Données projet'!$A$218&gt;35,FE24+FD25-FM24,IF(A25&lt;'Données projet'!$A$218,$FB$205^A25,IF(A25='Données projet'!$A$218,'Données projet'!$B$218,FE24+FD25-FM24)))</f>
        <v>156.80000000000004</v>
      </c>
      <c r="FF25" s="17">
        <f>FE25*VLOOKUP('Données projet'!$B$16,Paramètres!$A$1:$I$89,3,0)*VLOOKUP('Données projet'!$B$16,Paramètres!$A$1:$I$89,5,0)</f>
        <v>149.21088000000003</v>
      </c>
      <c r="FG25" s="13">
        <f t="shared" si="47"/>
        <v>38.399200254302222</v>
      </c>
      <c r="FH25" s="20">
        <f t="shared" si="22"/>
        <v>326.75422310957646</v>
      </c>
      <c r="FI25" s="59">
        <f t="shared" si="23"/>
        <v>592.8448790025476</v>
      </c>
      <c r="FJ25" s="59">
        <f ca="1">AVERAGE(OFFSET($FI$3,0,0,'Données projet'!$E$16+1,1))-AVERAGE(OFFSET($H$3,0,0,'Données projet'!$E$16+1,1))</f>
        <v>457.706832425622</v>
      </c>
      <c r="FK25" s="59">
        <f t="shared" si="48"/>
        <v>474.61768219844873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14.8</v>
      </c>
      <c r="FZ25" s="12">
        <f>IF('Données projet'!$A$244&gt;35,FZ24+FY25-GH24,IF(A25&lt;'Données projet'!$A$244,$FW$205^A25,IF(A25='Données projet'!$A$244,'Données projet'!$B$244,FZ24+FY25-GH24)))</f>
        <v>96.59999999999998</v>
      </c>
      <c r="GA25" s="17">
        <f>FZ25*VLOOKUP('Données projet'!$B$17,Paramètres!$A$1:$I$89,3,0)*VLOOKUP('Données projet'!$B$17,Paramètres!$A$1:$I$89,5,0)</f>
        <v>93.431519999999992</v>
      </c>
      <c r="GB25" s="13">
        <f t="shared" si="49"/>
        <v>25.391014045496377</v>
      </c>
      <c r="GC25" s="20">
        <f t="shared" si="25"/>
        <v>206.94924679590613</v>
      </c>
      <c r="GD25" s="59">
        <f t="shared" si="26"/>
        <v>473.03990268887731</v>
      </c>
      <c r="GE25" s="59">
        <f ca="1">AVERAGE(OFFSET($GD$3,0,0,'Données projet'!$E$17+1,1))-AVERAGE(OFFSET($H$3,0,0,'Données projet'!$E$17+1,1))</f>
        <v>428.11167311086814</v>
      </c>
      <c r="GF25" s="59">
        <f t="shared" si="50"/>
        <v>415.69449942923609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3.2051282051282102</v>
      </c>
      <c r="GU25" s="12">
        <f>IF('Données projet'!$A$270&gt;35,GU24+GT25-HC24,IF(A25&lt;'Données projet'!$A$270,$GR$205^A25,IF(A25='Données projet'!$A$270,'Données projet'!$B$270,GU24+GT25-HC24)))</f>
        <v>313.46153846153851</v>
      </c>
      <c r="GV25" s="17">
        <f>GU25*VLOOKUP('Données projet'!$B$18,Paramètres!$A$1:$I$89,3,0)*VLOOKUP('Données projet'!$B$18,Paramètres!$A$1:$I$89,5,0)</f>
        <v>179.46300000000002</v>
      </c>
      <c r="GW25" s="13">
        <f t="shared" si="51"/>
        <v>45.202692793106927</v>
      </c>
      <c r="GX25" s="20">
        <f t="shared" si="28"/>
        <v>391.29274828132793</v>
      </c>
      <c r="GY25" s="59">
        <f t="shared" si="29"/>
        <v>657.38340417429913</v>
      </c>
      <c r="GZ25" s="59">
        <f ca="1">AVERAGE(OFFSET($GY$3,0,0,'Données projet'!$E$18+1,1))-AVERAGE(OFFSET($H$3,0,0,'Données projet'!$E$18+1,1))</f>
        <v>249.88816678272056</v>
      </c>
      <c r="HA25" s="59">
        <f t="shared" si="52"/>
        <v>432.10802787437319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1">
        <f>'Scénario référence'!$B$16*5+'Scénario référence'!$B$17*0+'Scénario référence'!$B$18*5</f>
        <v>1.4000000000000001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5.1333333333333337</v>
      </c>
      <c r="H26" s="65">
        <f t="shared" si="1"/>
        <v>236.13333333333335</v>
      </c>
      <c r="I26" s="6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14.8</v>
      </c>
      <c r="N26" s="13">
        <f>IF('Données projet'!$A$36&gt;35,N25+M26-V25,IF(A26&lt;'Données projet'!$A$36,$K$205^A26,IF(A26='Données projet'!$A$36,'Données projet'!$B$36,N25+M26-V25)))</f>
        <v>111.39999999999998</v>
      </c>
      <c r="O26" s="13">
        <f>N26*VLOOKUP('Données projet'!$B$9,Paramètres!$A$1:$I$89,3,0)*VLOOKUP('Données projet'!$B$9,Paramètres!$A$1:$I$89,5,0)</f>
        <v>88.629839999999987</v>
      </c>
      <c r="P26" s="13">
        <f t="shared" si="33"/>
        <v>24.23448093253452</v>
      </c>
      <c r="Q26" s="20">
        <f t="shared" si="2"/>
        <v>196.57202562416424</v>
      </c>
      <c r="R26" s="59">
        <f t="shared" si="0"/>
        <v>464.18788070283722</v>
      </c>
      <c r="S26" s="59">
        <f ca="1">AVERAGE(OFFSET($R$3,0,0,'Données projet'!$E$9+1,1))-AVERAGE(OFFSET($H$3,0,0,'Données projet'!$E$9+1,1))</f>
        <v>360.06385535620069</v>
      </c>
      <c r="T26" s="59">
        <f t="shared" si="34"/>
        <v>350.82516032456408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80.165279999999996</v>
      </c>
      <c r="AK26" s="13">
        <f t="shared" si="35"/>
        <v>22.177591092468788</v>
      </c>
      <c r="AL26" s="20">
        <f t="shared" si="4"/>
        <v>178.24716715271646</v>
      </c>
      <c r="AM26" s="59">
        <f t="shared" si="5"/>
        <v>445.86302223138944</v>
      </c>
      <c r="AN26" s="59">
        <f ca="1">AVERAGE(OFFSET($AM$3,0,0,'Données projet'!$E$10+1,1))-AVERAGE(OFFSET($H$3,0,0,'Données projet'!$E$10+1,1))</f>
        <v>448.65237942538027</v>
      </c>
      <c r="AO26" s="59">
        <f t="shared" si="36"/>
        <v>283.56749129825107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8.8000000000000007</v>
      </c>
      <c r="BD26" s="12">
        <f>IF('Données projet'!$A$88&gt;35,BD25+BC26-BL25,IF(A26&lt;'Données projet'!$A$88,$BA$205^A26,IF(A26='Données projet'!$A$88,'Données projet'!$B$88,BD25+BC26-BL25)))</f>
        <v>58.399999999999991</v>
      </c>
      <c r="BE26" s="13">
        <f>BD26*VLOOKUP('Données projet'!$B$11,Paramètres!$A$1:$I$89,3,0)*VLOOKUP('Données projet'!$B$11,Paramètres!$A$1:$I$89,5,0)</f>
        <v>50.107199999999999</v>
      </c>
      <c r="BF26" s="13">
        <f t="shared" si="37"/>
        <v>14.641441079141797</v>
      </c>
      <c r="BG26" s="20">
        <f t="shared" si="7"/>
        <v>112.77054987950528</v>
      </c>
      <c r="BH26" s="59">
        <f t="shared" si="8"/>
        <v>380.38640495817828</v>
      </c>
      <c r="BI26" s="59">
        <f ca="1">AVERAGE(OFFSET($BH$3,0,0,'Données projet'!$E$11+1,1))-AVERAGE(OFFSET($H$3,0,0,'Données projet'!$E$11+1,1))</f>
        <v>456.76871853389395</v>
      </c>
      <c r="BJ26" s="59">
        <f t="shared" si="38"/>
        <v>262.12425810289176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6.6</v>
      </c>
      <c r="BY26" s="12">
        <f>IF('Données projet'!$A$114&gt;35,BY25+BX26-CG25,IF(A26&lt;'Données projet'!$A$114,$BV$205^A26,IF(A26='Données projet'!$A$114,'Données projet'!$B$114,BY25+BX26-CG25)))</f>
        <v>103.60000000000002</v>
      </c>
      <c r="BZ26" s="13">
        <f>BY26*VLOOKUP('Données projet'!$B$12,Paramètres!$A$1:$I$89,3,0)*VLOOKUP('Données projet'!$B$12,Paramètres!$A$1:$I$89,5,0)</f>
        <v>75.959520000000012</v>
      </c>
      <c r="CA26" s="13">
        <f t="shared" si="39"/>
        <v>21.146305742114752</v>
      </c>
      <c r="CB26" s="20">
        <f t="shared" si="10"/>
        <v>169.1259798341832</v>
      </c>
      <c r="CC26" s="59">
        <f t="shared" si="11"/>
        <v>436.74183491285623</v>
      </c>
      <c r="CD26" s="59">
        <f ca="1">AVERAGE(OFFSET($CC$3,0,0,'Données projet'!$E$12+1,1))-AVERAGE(OFFSET($H$3,0,0,'Données projet'!$E$12+1,1))</f>
        <v>242.65851607945316</v>
      </c>
      <c r="CE26" s="59">
        <f t="shared" si="40"/>
        <v>218.9349999985487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13.8</v>
      </c>
      <c r="CT26" s="12">
        <f>IF('Données projet'!$A$140&gt;35,CT25+CS26-DB25,IF(A26&lt;'Données projet'!$A$140,$CQ$205^A26,IF(A26='Données projet'!$A$140,'Données projet'!$B$140,CT25+CS26-DB25)))</f>
        <v>135.4</v>
      </c>
      <c r="CU26" s="17">
        <f>CT26*VLOOKUP('Données projet'!$B$13,Paramètres!$A$1:$I$89,3,0)*VLOOKUP('Données projet'!$B$13,Paramètres!$A$1:$I$89,5,0)</f>
        <v>118.28544000000002</v>
      </c>
      <c r="CV26" s="13">
        <f t="shared" si="41"/>
        <v>31.274772013169596</v>
      </c>
      <c r="CW26" s="20">
        <f t="shared" si="13"/>
        <v>260.48403592293715</v>
      </c>
      <c r="CX26" s="59">
        <f t="shared" si="14"/>
        <v>528.0998910016101</v>
      </c>
      <c r="CY26" s="59">
        <f ca="1">AVERAGE(OFFSET($CX$3,0,0,'Données projet'!$E$13+1,1))-AVERAGE(OFFSET($H$3,0,0,'Données projet'!$E$13+1,1))</f>
        <v>326.9460696675867</v>
      </c>
      <c r="CZ26" s="59">
        <f t="shared" si="42"/>
        <v>393.4020374592568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</v>
      </c>
      <c r="DO26" s="12">
        <f>IF('Données projet'!$A$166&gt;35,DO25+DN26-DW25,IF(A26&lt;'Données projet'!$A$166,$DL$205^A26,IF(A26='Données projet'!$A$166,'Données projet'!$B$166,DO25+DN26-DW25)))</f>
        <v>120</v>
      </c>
      <c r="DP26" s="17">
        <f>DO26*VLOOKUP('Données projet'!$B$14,Paramètres!$A$1:$I$89,3,0)*VLOOKUP('Données projet'!$B$14,Paramètres!$A$1:$I$89,5,0)</f>
        <v>93.600000000000009</v>
      </c>
      <c r="DQ26" s="13">
        <f t="shared" si="43"/>
        <v>25.431466524572937</v>
      </c>
      <c r="DR26" s="20">
        <f t="shared" si="16"/>
        <v>207.31313753029789</v>
      </c>
      <c r="DS26" s="59">
        <f t="shared" si="17"/>
        <v>474.92899260897093</v>
      </c>
      <c r="DT26" s="59">
        <f ca="1">AVERAGE(OFFSET($DS$3,0,0,'Données projet'!$E$14+1,1))-AVERAGE(OFFSET($H$3,0,0,'Données projet'!$E$14+1,1))</f>
        <v>364.34528546733799</v>
      </c>
      <c r="DU26" s="59">
        <f t="shared" si="44"/>
        <v>346.5839763411152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74.727119999999985</v>
      </c>
      <c r="EL26" s="13">
        <f t="shared" si="45"/>
        <v>20.842866264817221</v>
      </c>
      <c r="EM26" s="20">
        <f t="shared" si="19"/>
        <v>166.4510594112233</v>
      </c>
      <c r="EN26" s="59">
        <f t="shared" si="20"/>
        <v>434.06691448989631</v>
      </c>
      <c r="EO26" s="59">
        <f ca="1">AVERAGE(OFFSET($EN$3,0,0,'Données projet'!$E$15+1,1))-AVERAGE(OFFSET($H$3,0,0,'Données projet'!$E$15+1,1))</f>
        <v>310.38232870602445</v>
      </c>
      <c r="EP26" s="59">
        <f t="shared" si="46"/>
        <v>303.45934457265537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10.4</v>
      </c>
      <c r="FE26" s="12">
        <f>IF('Données projet'!$A$218&gt;35,FE25+FD26-FM25,IF(A26&lt;'Données projet'!$A$218,$FB$205^A26,IF(A26='Données projet'!$A$218,'Données projet'!$B$218,FE25+FD26-FM25)))</f>
        <v>167.20000000000005</v>
      </c>
      <c r="FF26" s="17">
        <f>FE26*VLOOKUP('Données projet'!$B$16,Paramètres!$A$1:$I$89,3,0)*VLOOKUP('Données projet'!$B$16,Paramètres!$A$1:$I$89,5,0)</f>
        <v>159.10752000000002</v>
      </c>
      <c r="FG26" s="13">
        <f t="shared" si="47"/>
        <v>40.64114856504164</v>
      </c>
      <c r="FH26" s="20">
        <f t="shared" si="22"/>
        <v>347.89559775078084</v>
      </c>
      <c r="FI26" s="59">
        <f t="shared" si="23"/>
        <v>615.5114528294539</v>
      </c>
      <c r="FJ26" s="59">
        <f ca="1">AVERAGE(OFFSET($FI$3,0,0,'Données projet'!$E$16+1,1))-AVERAGE(OFFSET($H$3,0,0,'Données projet'!$E$16+1,1))</f>
        <v>457.706832425622</v>
      </c>
      <c r="FK26" s="59">
        <f t="shared" si="48"/>
        <v>474.61768219844873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14.8</v>
      </c>
      <c r="FZ26" s="12">
        <f>IF('Données projet'!$A$244&gt;35,FZ25+FY26-GH25,IF(A26&lt;'Données projet'!$A$244,$FW$205^A26,IF(A26='Données projet'!$A$244,'Données projet'!$B$244,FZ25+FY26-GH25)))</f>
        <v>111.39999999999998</v>
      </c>
      <c r="GA26" s="17">
        <f>FZ26*VLOOKUP('Données projet'!$B$17,Paramètres!$A$1:$I$89,3,0)*VLOOKUP('Données projet'!$B$17,Paramètres!$A$1:$I$89,5,0)</f>
        <v>107.74607999999998</v>
      </c>
      <c r="GB26" s="13">
        <f t="shared" si="49"/>
        <v>28.799305277051602</v>
      </c>
      <c r="GC26" s="20">
        <f t="shared" si="25"/>
        <v>237.81654602419815</v>
      </c>
      <c r="GD26" s="59">
        <f t="shared" si="26"/>
        <v>505.43240110287115</v>
      </c>
      <c r="GE26" s="59">
        <f ca="1">AVERAGE(OFFSET($GD$3,0,0,'Données projet'!$E$17+1,1))-AVERAGE(OFFSET($H$3,0,0,'Données projet'!$E$17+1,1))</f>
        <v>428.11167311086814</v>
      </c>
      <c r="GF26" s="59">
        <f t="shared" si="50"/>
        <v>415.69449942923609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3.2051282051282102</v>
      </c>
      <c r="GU26" s="12">
        <f>IF('Données projet'!$A$270&gt;35,GU25+GT26-HC25,IF(A26&lt;'Données projet'!$A$270,$GR$205^A26,IF(A26='Données projet'!$A$270,'Données projet'!$B$270,GU25+GT26-HC25)))</f>
        <v>316.66666666666674</v>
      </c>
      <c r="GV26" s="17">
        <f>GU26*VLOOKUP('Données projet'!$B$18,Paramètres!$A$1:$I$89,3,0)*VLOOKUP('Données projet'!$B$18,Paramètres!$A$1:$I$89,5,0)</f>
        <v>181.29800000000006</v>
      </c>
      <c r="GW26" s="13">
        <f t="shared" si="51"/>
        <v>45.610846378759405</v>
      </c>
      <c r="GX26" s="20">
        <f t="shared" si="28"/>
        <v>395.19957410967271</v>
      </c>
      <c r="GY26" s="59">
        <f t="shared" si="29"/>
        <v>662.81542918834566</v>
      </c>
      <c r="GZ26" s="59">
        <f ca="1">AVERAGE(OFFSET($GY$3,0,0,'Données projet'!$E$18+1,1))-AVERAGE(OFFSET($H$3,0,0,'Données projet'!$E$18+1,1))</f>
        <v>249.88816678272056</v>
      </c>
      <c r="HA26" s="59">
        <f t="shared" si="52"/>
        <v>432.10802787437319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1">
        <f>'Scénario référence'!$B$16*5+'Scénario référence'!$B$17*0+'Scénario référence'!$B$18*5</f>
        <v>1.4000000000000001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5.1333333333333337</v>
      </c>
      <c r="H27" s="65">
        <f t="shared" si="1"/>
        <v>236.13333333333335</v>
      </c>
      <c r="I27" s="6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14.8</v>
      </c>
      <c r="N27" s="13">
        <f>IF('Données projet'!$A$36&gt;35,N26+M27-V26,IF(A27&lt;'Données projet'!$A$36,$K$205^A27,IF(A27='Données projet'!$A$36,'Données projet'!$B$36,N26+M27-V26)))</f>
        <v>126.19999999999997</v>
      </c>
      <c r="O27" s="13">
        <f>N27*VLOOKUP('Données projet'!$B$9,Paramètres!$A$1:$I$89,3,0)*VLOOKUP('Données projet'!$B$9,Paramètres!$A$1:$I$89,5,0)</f>
        <v>100.40472</v>
      </c>
      <c r="P27" s="13">
        <f t="shared" si="33"/>
        <v>27.058393830330502</v>
      </c>
      <c r="Q27" s="20">
        <f t="shared" si="2"/>
        <v>221.99825658782561</v>
      </c>
      <c r="R27" s="59">
        <f t="shared" si="0"/>
        <v>491.13405487923916</v>
      </c>
      <c r="S27" s="59">
        <f ca="1">AVERAGE(OFFSET($R$3,0,0,'Données projet'!$E$9+1,1))-AVERAGE(OFFSET($H$3,0,0,'Données projet'!$E$9+1,1))</f>
        <v>360.06385535620069</v>
      </c>
      <c r="T27" s="59">
        <f t="shared" si="34"/>
        <v>350.82516032456408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86.679839999999999</v>
      </c>
      <c r="AK27" s="13">
        <f t="shared" si="35"/>
        <v>23.762739053789723</v>
      </c>
      <c r="AL27" s="20">
        <f t="shared" si="4"/>
        <v>192.35415851868379</v>
      </c>
      <c r="AM27" s="59">
        <f t="shared" si="5"/>
        <v>461.48995681009734</v>
      </c>
      <c r="AN27" s="59">
        <f ca="1">AVERAGE(OFFSET($AM$3,0,0,'Données projet'!$E$10+1,1))-AVERAGE(OFFSET($H$3,0,0,'Données projet'!$E$10+1,1))</f>
        <v>448.65237942538027</v>
      </c>
      <c r="AO27" s="59">
        <f t="shared" si="36"/>
        <v>283.56749129825107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8.8000000000000007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57.657599999999995</v>
      </c>
      <c r="BF27" s="13">
        <f t="shared" si="37"/>
        <v>16.574671209026025</v>
      </c>
      <c r="BG27" s="20">
        <f t="shared" si="7"/>
        <v>129.28787235572034</v>
      </c>
      <c r="BH27" s="59">
        <f t="shared" si="8"/>
        <v>398.42367064713392</v>
      </c>
      <c r="BI27" s="59">
        <f ca="1">AVERAGE(OFFSET($BH$3,0,0,'Données projet'!$E$11+1,1))-AVERAGE(OFFSET($H$3,0,0,'Données projet'!$E$11+1,1))</f>
        <v>456.76871853389395</v>
      </c>
      <c r="BJ27" s="59">
        <f t="shared" si="38"/>
        <v>262.12425810289176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6.6</v>
      </c>
      <c r="BY27" s="12">
        <f>IF('Données projet'!$A$114&gt;35,BY26+BX27-CG26,IF(A27&lt;'Données projet'!$A$114,$BV$205^A27,IF(A27='Données projet'!$A$114,'Données projet'!$B$114,BY26+BX27-CG26)))</f>
        <v>110.20000000000002</v>
      </c>
      <c r="BZ27" s="13">
        <f>BY27*VLOOKUP('Données projet'!$B$12,Paramètres!$A$1:$I$89,3,0)*VLOOKUP('Données projet'!$B$12,Paramètres!$A$1:$I$89,5,0)</f>
        <v>80.798640000000006</v>
      </c>
      <c r="CA27" s="13">
        <f t="shared" si="39"/>
        <v>22.332342724937131</v>
      </c>
      <c r="CB27" s="20">
        <f t="shared" si="10"/>
        <v>179.61979491259885</v>
      </c>
      <c r="CC27" s="59">
        <f t="shared" si="11"/>
        <v>448.75559320401237</v>
      </c>
      <c r="CD27" s="59">
        <f ca="1">AVERAGE(OFFSET($CC$3,0,0,'Données projet'!$E$12+1,1))-AVERAGE(OFFSET($H$3,0,0,'Données projet'!$E$12+1,1))</f>
        <v>242.65851607945316</v>
      </c>
      <c r="CE27" s="59">
        <f t="shared" si="40"/>
        <v>218.9349999985487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13.8</v>
      </c>
      <c r="CT27" s="12">
        <f>IF('Données projet'!$A$140&gt;35,CT26+CS27-DB26,IF(A27&lt;'Données projet'!$A$140,$CQ$205^A27,IF(A27='Données projet'!$A$140,'Données projet'!$B$140,CT26+CS27-DB26)))</f>
        <v>149.20000000000002</v>
      </c>
      <c r="CU27" s="17">
        <f>CT27*VLOOKUP('Données projet'!$B$13,Paramètres!$A$1:$I$89,3,0)*VLOOKUP('Données projet'!$B$13,Paramètres!$A$1:$I$89,5,0)</f>
        <v>130.34112000000005</v>
      </c>
      <c r="CV27" s="13">
        <f t="shared" si="41"/>
        <v>34.075170122989917</v>
      </c>
      <c r="CW27" s="20">
        <f t="shared" si="13"/>
        <v>286.35837196420749</v>
      </c>
      <c r="CX27" s="59">
        <f t="shared" si="14"/>
        <v>555.49417025562104</v>
      </c>
      <c r="CY27" s="59">
        <f ca="1">AVERAGE(OFFSET($CX$3,0,0,'Données projet'!$E$13+1,1))-AVERAGE(OFFSET($H$3,0,0,'Données projet'!$E$13+1,1))</f>
        <v>326.9460696675867</v>
      </c>
      <c r="CZ27" s="59">
        <f t="shared" si="42"/>
        <v>393.4020374592568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</v>
      </c>
      <c r="DO27" s="12">
        <f>IF('Données projet'!$A$166&gt;35,DO26+DN27-DW26,IF(A27&lt;'Données projet'!$A$166,$DL$205^A27,IF(A27='Données projet'!$A$166,'Données projet'!$B$166,DO26+DN27-DW26)))</f>
        <v>130</v>
      </c>
      <c r="DP27" s="17">
        <f>DO27*VLOOKUP('Données projet'!$B$14,Paramètres!$A$1:$I$89,3,0)*VLOOKUP('Données projet'!$B$14,Paramètres!$A$1:$I$89,5,0)</f>
        <v>101.4</v>
      </c>
      <c r="DQ27" s="13">
        <f t="shared" si="43"/>
        <v>27.295257887453797</v>
      </c>
      <c r="DR27" s="20">
        <f t="shared" si="16"/>
        <v>224.14424082064872</v>
      </c>
      <c r="DS27" s="59">
        <f t="shared" si="17"/>
        <v>493.28003911206224</v>
      </c>
      <c r="DT27" s="59">
        <f ca="1">AVERAGE(OFFSET($DS$3,0,0,'Données projet'!$E$14+1,1))-AVERAGE(OFFSET($H$3,0,0,'Données projet'!$E$14+1,1))</f>
        <v>364.34528546733799</v>
      </c>
      <c r="DU27" s="59">
        <f t="shared" si="44"/>
        <v>346.5839763411152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84.654959999999988</v>
      </c>
      <c r="EL27" s="13">
        <f t="shared" si="45"/>
        <v>23.271572661958881</v>
      </c>
      <c r="EM27" s="20">
        <f t="shared" si="19"/>
        <v>187.97204438624502</v>
      </c>
      <c r="EN27" s="59">
        <f t="shared" si="20"/>
        <v>457.1078426776586</v>
      </c>
      <c r="EO27" s="59">
        <f ca="1">AVERAGE(OFFSET($EN$3,0,0,'Données projet'!$E$15+1,1))-AVERAGE(OFFSET($H$3,0,0,'Données projet'!$E$15+1,1))</f>
        <v>310.38232870602445</v>
      </c>
      <c r="EP27" s="59">
        <f t="shared" si="46"/>
        <v>303.45934457265537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10.4</v>
      </c>
      <c r="FE27" s="12">
        <f>IF('Données projet'!$A$218&gt;35,FE26+FD27-FM26,IF(A27&lt;'Données projet'!$A$218,$FB$205^A27,IF(A27='Données projet'!$A$218,'Données projet'!$B$218,FE26+FD27-FM26)))</f>
        <v>177.60000000000005</v>
      </c>
      <c r="FF27" s="17">
        <f>FE27*VLOOKUP('Données projet'!$B$16,Paramètres!$A$1:$I$89,3,0)*VLOOKUP('Données projet'!$B$16,Paramètres!$A$1:$I$89,5,0)</f>
        <v>169.00416000000004</v>
      </c>
      <c r="FG27" s="13">
        <f t="shared" si="47"/>
        <v>42.866912347244458</v>
      </c>
      <c r="FH27" s="20">
        <f t="shared" si="22"/>
        <v>369.00878433811749</v>
      </c>
      <c r="FI27" s="59">
        <f t="shared" si="23"/>
        <v>638.14458262953099</v>
      </c>
      <c r="FJ27" s="59">
        <f ca="1">AVERAGE(OFFSET($FI$3,0,0,'Données projet'!$E$16+1,1))-AVERAGE(OFFSET($H$3,0,0,'Données projet'!$E$16+1,1))</f>
        <v>457.706832425622</v>
      </c>
      <c r="FK27" s="59">
        <f t="shared" si="48"/>
        <v>474.61768219844873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14.8</v>
      </c>
      <c r="FZ27" s="12">
        <f>IF('Données projet'!$A$244&gt;35,FZ26+FY27-GH26,IF(A27&lt;'Données projet'!$A$244,$FW$205^A27,IF(A27='Données projet'!$A$244,'Données projet'!$B$244,FZ26+FY27-GH26)))</f>
        <v>126.19999999999997</v>
      </c>
      <c r="GA27" s="17">
        <f>FZ27*VLOOKUP('Données projet'!$B$17,Paramètres!$A$1:$I$89,3,0)*VLOOKUP('Données projet'!$B$17,Paramètres!$A$1:$I$89,5,0)</f>
        <v>122.06063999999998</v>
      </c>
      <c r="GB27" s="13">
        <f t="shared" si="49"/>
        <v>32.155132449328661</v>
      </c>
      <c r="GC27" s="20">
        <f t="shared" si="25"/>
        <v>268.59247034924738</v>
      </c>
      <c r="GD27" s="59">
        <f t="shared" si="26"/>
        <v>537.72826864066087</v>
      </c>
      <c r="GE27" s="59">
        <f ca="1">AVERAGE(OFFSET($GD$3,0,0,'Données projet'!$E$17+1,1))-AVERAGE(OFFSET($H$3,0,0,'Données projet'!$E$17+1,1))</f>
        <v>428.11167311086814</v>
      </c>
      <c r="GF27" s="59">
        <f t="shared" si="50"/>
        <v>415.69449942923609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>
        <f>VLOOKUP(A27,'Données projet'!$A$269:$I$289,2,0)</f>
        <v>319.87179487179486</v>
      </c>
      <c r="GS27" s="12">
        <f>VLOOKUP(A27,'Données projet'!$A$269:$I$289,9,0)</f>
        <v>3.2051282051282102</v>
      </c>
      <c r="GT27" s="12">
        <f t="array" ref="GT27">INDEX(GS:GS,MIN(IF(ISNUMBER(GS27:GS223),ROW(GS27:GS223),"")))</f>
        <v>3.2051282051282102</v>
      </c>
      <c r="GU27" s="12">
        <f>IF('Données projet'!$A$270&gt;35,GU26+GT27-HC26,IF(A27&lt;'Données projet'!$A$270,$GR$205^A27,IF(A27='Données projet'!$A$270,'Données projet'!$B$270,GU26+GT27-HC26)))</f>
        <v>319.87179487179498</v>
      </c>
      <c r="GV27" s="17">
        <f>GU27*VLOOKUP('Données projet'!$B$18,Paramètres!$A$1:$I$89,3,0)*VLOOKUP('Données projet'!$B$18,Paramètres!$A$1:$I$89,5,0)</f>
        <v>183.13300000000007</v>
      </c>
      <c r="GW27" s="13">
        <f t="shared" si="51"/>
        <v>46.01851937777586</v>
      </c>
      <c r="GX27" s="20">
        <f t="shared" si="28"/>
        <v>399.10556291629297</v>
      </c>
      <c r="GY27" s="59">
        <f t="shared" si="29"/>
        <v>668.24136120770652</v>
      </c>
      <c r="GZ27" s="59">
        <f ca="1">AVERAGE(OFFSET($GY$3,0,0,'Données projet'!$E$18+1,1))-AVERAGE(OFFSET($H$3,0,0,'Données projet'!$E$18+1,1))</f>
        <v>249.88816678272056</v>
      </c>
      <c r="HA27" s="59">
        <f t="shared" si="52"/>
        <v>432.10802787437319</v>
      </c>
      <c r="HB27" s="15" t="str">
        <f>IF(ISNA(VLOOKUP(A27,'Données projet'!$A$269:$I$289,3,0)),0,VLOOKUP(A27,'Données projet'!$A$269:$I$289,3,0))</f>
        <v>CR</v>
      </c>
      <c r="HC27" s="15">
        <f>IF(ISNA(VLOOKUP(A27,'Données projet'!$A$269:$I$289,4,0)),0,VLOOKUP(A27,'Données projet'!$A$269:$I$289,4,0))</f>
        <v>319.87179487179486</v>
      </c>
      <c r="HD27" s="16">
        <f>IF(ISNA(VLOOKUP(A27,'Données projet'!$A$269:$I$289,5,0)),0%,VLOOKUP(A27,'Données projet'!$A$269:$I$289,5,0)*VLOOKUP('Données projet'!$B$18,Paramètres!$A$1:$I$89,7,0))</f>
        <v>0.46199999999999997</v>
      </c>
      <c r="HE27" s="16">
        <f>IF(ISNA(VLOOKUP(A27,'Données projet'!$A$269:$I$289,6,0)),0%,VLOOKUP(A27,'Données projet'!$A$269:$I$289,6,0)*VLOOKUP('Données projet'!$B$18,Paramètres!$A$1:$I$89,7,0))</f>
        <v>0.126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93.53102544093359</v>
      </c>
      <c r="HH27" s="21">
        <f>EXP(-LN(2)/25)*HH26+(1-EXP(-LN(2)/25))/(LN(2)/25)*Calculateur!HC27*Calculateur!HE27*VLOOKUP('Données projet'!$B$18,Paramètres!$A$1:$I$89,3,0)*0.475*44/12</f>
        <v>25.40802495154308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118.93905039247667</v>
      </c>
    </row>
    <row r="28" spans="1:218" x14ac:dyDescent="0.3">
      <c r="A28" s="10">
        <f t="shared" si="31"/>
        <v>25</v>
      </c>
      <c r="B28" s="71">
        <f>'Scénario référence'!$B$16*5+'Scénario référence'!$B$17*0+'Scénario référence'!$B$18*5</f>
        <v>1.4000000000000001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5.1333333333333337</v>
      </c>
      <c r="H28" s="65">
        <f t="shared" si="1"/>
        <v>236.13333333333335</v>
      </c>
      <c r="I28" s="6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141</v>
      </c>
      <c r="L28" s="12">
        <f>VLOOKUP(A28,'Données projet'!$A$35:$I$55,9,0)</f>
        <v>14.8</v>
      </c>
      <c r="M28" s="12">
        <f t="array" ref="M28">INDEX(L:L,MIN(IF(ISNUMBER(L28:L224),ROW(L28:L224),"")))</f>
        <v>14.8</v>
      </c>
      <c r="N28" s="13">
        <f>IF('Données projet'!$A$36&gt;35,N27+M28-V27,IF(A28&lt;'Données projet'!$A$36,$K$205^A28,IF(A28='Données projet'!$A$36,'Données projet'!$B$36,N27+M28-V27)))</f>
        <v>140.99999999999997</v>
      </c>
      <c r="O28" s="13">
        <f>N28*VLOOKUP('Données projet'!$B$9,Paramètres!$A$1:$I$89,3,0)*VLOOKUP('Données projet'!$B$9,Paramètres!$A$1:$I$89,5,0)</f>
        <v>112.17959999999998</v>
      </c>
      <c r="P28" s="13">
        <f t="shared" si="33"/>
        <v>29.8439274472838</v>
      </c>
      <c r="Q28" s="20">
        <f t="shared" si="2"/>
        <v>247.35764363735257</v>
      </c>
      <c r="R28" s="59">
        <f t="shared" si="0"/>
        <v>518.00822034792554</v>
      </c>
      <c r="S28" s="59">
        <f ca="1">AVERAGE(OFFSET($R$3,0,0,'Données projet'!$E$9+1,1))-AVERAGE(OFFSET($H$3,0,0,'Données projet'!$E$9+1,1))</f>
        <v>360.06385535620069</v>
      </c>
      <c r="T28" s="59">
        <f t="shared" si="34"/>
        <v>350.82516032456408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35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93.194400000000002</v>
      </c>
      <c r="AK28" s="13">
        <f t="shared" si="35"/>
        <v>25.33406653691528</v>
      </c>
      <c r="AL28" s="20">
        <f t="shared" si="4"/>
        <v>206.43707921846078</v>
      </c>
      <c r="AM28" s="59">
        <f t="shared" si="5"/>
        <v>477.08765592903382</v>
      </c>
      <c r="AN28" s="59">
        <f ca="1">AVERAGE(OFFSET($AM$3,0,0,'Données projet'!$E$10+1,1))-AVERAGE(OFFSET($H$3,0,0,'Données projet'!$E$10+1,1))</f>
        <v>448.65237942538027</v>
      </c>
      <c r="AO28" s="59">
        <f t="shared" si="36"/>
        <v>283.56749129825107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76</v>
      </c>
      <c r="BB28" s="12">
        <f>VLOOKUP(A28,'Données projet'!$A$87:$I$107,9,0)</f>
        <v>8.8000000000000007</v>
      </c>
      <c r="BC28" s="12">
        <f t="array" ref="BC28">INDEX(BB:BB,MIN(IF(ISNUMBER(BB28:BB224),ROW(BB28:BB224),"")))</f>
        <v>8.8000000000000007</v>
      </c>
      <c r="BD28" s="12">
        <f>IF('Données projet'!$A$88&gt;35,BD27+BC28-BL27,IF(A28&lt;'Données projet'!$A$88,$BA$205^A28,IF(A28='Données projet'!$A$88,'Données projet'!$B$88,BD27+BC28-BL27)))</f>
        <v>75.999999999999986</v>
      </c>
      <c r="BE28" s="13">
        <f>BD28*VLOOKUP('Données projet'!$B$11,Paramètres!$A$1:$I$89,3,0)*VLOOKUP('Données projet'!$B$11,Paramètres!$A$1:$I$89,5,0)</f>
        <v>65.207999999999998</v>
      </c>
      <c r="BF28" s="13">
        <f t="shared" si="37"/>
        <v>18.478568429485204</v>
      </c>
      <c r="BG28" s="20">
        <f t="shared" si="7"/>
        <v>145.75410668135339</v>
      </c>
      <c r="BH28" s="59">
        <f t="shared" si="8"/>
        <v>416.40468339192643</v>
      </c>
      <c r="BI28" s="59">
        <f ca="1">AVERAGE(OFFSET($BH$3,0,0,'Données projet'!$E$11+1,1))-AVERAGE(OFFSET($H$3,0,0,'Données projet'!$E$11+1,1))</f>
        <v>456.76871853389395</v>
      </c>
      <c r="BJ28" s="59">
        <f t="shared" si="38"/>
        <v>262.12425810289176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6.6</v>
      </c>
      <c r="BY28" s="12">
        <f>IF('Données projet'!$A$114&gt;35,BY27+BX28-CG27,IF(A28&lt;'Données projet'!$A$114,$BV$205^A28,IF(A28='Données projet'!$A$114,'Données projet'!$B$114,BY27+BX28-CG27)))</f>
        <v>116.80000000000001</v>
      </c>
      <c r="BZ28" s="13">
        <f>BY28*VLOOKUP('Données projet'!$B$12,Paramètres!$A$1:$I$89,3,0)*VLOOKUP('Données projet'!$B$12,Paramètres!$A$1:$I$89,5,0)</f>
        <v>85.63776</v>
      </c>
      <c r="CA28" s="13">
        <f t="shared" si="39"/>
        <v>23.510135010014299</v>
      </c>
      <c r="CB28" s="20">
        <f t="shared" si="10"/>
        <v>190.09925047577488</v>
      </c>
      <c r="CC28" s="59">
        <f t="shared" si="11"/>
        <v>460.74982718634794</v>
      </c>
      <c r="CD28" s="59">
        <f ca="1">AVERAGE(OFFSET($CC$3,0,0,'Données projet'!$E$12+1,1))-AVERAGE(OFFSET($H$3,0,0,'Données projet'!$E$12+1,1))</f>
        <v>242.65851607945316</v>
      </c>
      <c r="CE28" s="59">
        <f t="shared" si="40"/>
        <v>218.9349999985487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163</v>
      </c>
      <c r="CR28" s="12">
        <f>VLOOKUP(A28,'Données projet'!$A$139:$I$159,9,0)</f>
        <v>13.8</v>
      </c>
      <c r="CS28" s="12">
        <f t="array" ref="CS28">INDEX(CR:CR,MIN(IF(ISNUMBER(CR28:CR224),ROW(CR28:CR224),"")))</f>
        <v>13.8</v>
      </c>
      <c r="CT28" s="12">
        <f>IF('Données projet'!$A$140&gt;35,CT27+CS28-DB27,IF(A28&lt;'Données projet'!$A$140,$CQ$205^A28,IF(A28='Données projet'!$A$140,'Données projet'!$B$140,CT27+CS28-DB27)))</f>
        <v>163.00000000000003</v>
      </c>
      <c r="CU28" s="17">
        <f>CT28*VLOOKUP('Données projet'!$B$13,Paramètres!$A$1:$I$89,3,0)*VLOOKUP('Données projet'!$B$13,Paramètres!$A$1:$I$89,5,0)</f>
        <v>142.39680000000004</v>
      </c>
      <c r="CV28" s="13">
        <f t="shared" si="41"/>
        <v>36.845535084476985</v>
      </c>
      <c r="CW28" s="20">
        <f t="shared" si="13"/>
        <v>312.18040027213078</v>
      </c>
      <c r="CX28" s="59">
        <f t="shared" si="14"/>
        <v>582.83097698270376</v>
      </c>
      <c r="CY28" s="59">
        <f ca="1">AVERAGE(OFFSET($CX$3,0,0,'Données projet'!$E$13+1,1))-AVERAGE(OFFSET($H$3,0,0,'Données projet'!$E$13+1,1))</f>
        <v>326.9460696675867</v>
      </c>
      <c r="CZ28" s="59">
        <f t="shared" si="42"/>
        <v>393.4020374592568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44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140</v>
      </c>
      <c r="DM28" s="12">
        <f>VLOOKUP(A28,'Données projet'!$A$165:$I$185,9,0)</f>
        <v>10</v>
      </c>
      <c r="DN28" s="12">
        <f t="array" ref="DN28">INDEX(DM:DM,MIN(IF(ISNUMBER(DM28:DM224),ROW(DM28:DM224),"")))</f>
        <v>10</v>
      </c>
      <c r="DO28" s="12">
        <f>IF('Données projet'!$A$166&gt;35,DO27+DN28-DW27,IF(A28&lt;'Données projet'!$A$166,$DL$205^A28,IF(A28='Données projet'!$A$166,'Données projet'!$B$166,DO27+DN28-DW27)))</f>
        <v>140</v>
      </c>
      <c r="DP28" s="17">
        <f>DO28*VLOOKUP('Données projet'!$B$14,Paramètres!$A$1:$I$89,3,0)*VLOOKUP('Données projet'!$B$14,Paramètres!$A$1:$I$89,5,0)</f>
        <v>109.2</v>
      </c>
      <c r="DQ28" s="13">
        <f t="shared" si="43"/>
        <v>29.142418334948612</v>
      </c>
      <c r="DR28" s="20">
        <f t="shared" si="16"/>
        <v>240.94637860003544</v>
      </c>
      <c r="DS28" s="59">
        <f t="shared" si="17"/>
        <v>511.59695531060845</v>
      </c>
      <c r="DT28" s="59">
        <f ca="1">AVERAGE(OFFSET($DS$3,0,0,'Données projet'!$E$14+1,1))-AVERAGE(OFFSET($H$3,0,0,'Données projet'!$E$14+1,1))</f>
        <v>364.34528546733799</v>
      </c>
      <c r="DU28" s="59">
        <f t="shared" si="44"/>
        <v>346.5839763411152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16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94.582799999999992</v>
      </c>
      <c r="EL28" s="13">
        <f t="shared" si="45"/>
        <v>25.667270957125069</v>
      </c>
      <c r="EM28" s="20">
        <f t="shared" si="19"/>
        <v>209.43554025032617</v>
      </c>
      <c r="EN28" s="59">
        <f t="shared" si="20"/>
        <v>480.08611696089918</v>
      </c>
      <c r="EO28" s="59">
        <f ca="1">AVERAGE(OFFSET($EN$3,0,0,'Données projet'!$E$15+1,1))-AVERAGE(OFFSET($H$3,0,0,'Données projet'!$E$15+1,1))</f>
        <v>310.38232870602445</v>
      </c>
      <c r="EP28" s="59">
        <f t="shared" si="46"/>
        <v>303.45934457265537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188</v>
      </c>
      <c r="FC28" s="12">
        <f>VLOOKUP(A28,'Données projet'!$A$217:$I$237,9,0)</f>
        <v>10.4</v>
      </c>
      <c r="FD28" s="12">
        <f t="array" ref="FD28">INDEX(FC:FC,MIN(IF(ISNUMBER(FC28:FC224),ROW(FC28:FC224),"")))</f>
        <v>10.4</v>
      </c>
      <c r="FE28" s="12">
        <f>IF('Données projet'!$A$218&gt;35,FE27+FD28-FM27,IF(A28&lt;'Données projet'!$A$218,$FB$205^A28,IF(A28='Données projet'!$A$218,'Données projet'!$B$218,FE27+FD28-FM27)))</f>
        <v>188.00000000000006</v>
      </c>
      <c r="FF28" s="17">
        <f>FE28*VLOOKUP('Données projet'!$B$16,Paramètres!$A$1:$I$89,3,0)*VLOOKUP('Données projet'!$B$16,Paramètres!$A$1:$I$89,5,0)</f>
        <v>178.90080000000006</v>
      </c>
      <c r="FG28" s="13">
        <f t="shared" si="47"/>
        <v>45.077547304318657</v>
      </c>
      <c r="FH28" s="20">
        <f t="shared" si="22"/>
        <v>390.09562155502181</v>
      </c>
      <c r="FI28" s="59">
        <f t="shared" si="23"/>
        <v>660.74619826559478</v>
      </c>
      <c r="FJ28" s="59">
        <f ca="1">AVERAGE(OFFSET($FI$3,0,0,'Données projet'!$E$16+1,1))-AVERAGE(OFFSET($H$3,0,0,'Données projet'!$E$16+1,1))</f>
        <v>457.706832425622</v>
      </c>
      <c r="FK28" s="59">
        <f t="shared" si="48"/>
        <v>474.61768219844873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26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141</v>
      </c>
      <c r="FX28" s="12">
        <f>VLOOKUP(A28,'Données projet'!$A$243:$I$263,9,0)</f>
        <v>14.8</v>
      </c>
      <c r="FY28" s="12">
        <f t="array" ref="FY28">INDEX(FX:FX,MIN(IF(ISNUMBER(FX28:FX224),ROW(FX28:FX224),"")))</f>
        <v>14.8</v>
      </c>
      <c r="FZ28" s="12">
        <f>IF('Données projet'!$A$244&gt;35,FZ27+FY28-GH27,IF(A28&lt;'Données projet'!$A$244,$FW$205^A28,IF(A28='Données projet'!$A$244,'Données projet'!$B$244,FZ27+FY28-GH27)))</f>
        <v>140.99999999999997</v>
      </c>
      <c r="GA28" s="17">
        <f>FZ28*VLOOKUP('Données projet'!$B$17,Paramètres!$A$1:$I$89,3,0)*VLOOKUP('Données projet'!$B$17,Paramètres!$A$1:$I$89,5,0)</f>
        <v>136.37519999999998</v>
      </c>
      <c r="GB28" s="13">
        <f t="shared" si="49"/>
        <v>35.465351191683979</v>
      </c>
      <c r="GC28" s="20">
        <f t="shared" si="25"/>
        <v>299.28895999218292</v>
      </c>
      <c r="GD28" s="59">
        <f t="shared" si="26"/>
        <v>569.93953670275596</v>
      </c>
      <c r="GE28" s="59">
        <f ca="1">AVERAGE(OFFSET($GD$3,0,0,'Données projet'!$E$17+1,1))-AVERAGE(OFFSET($H$3,0,0,'Données projet'!$E$17+1,1))</f>
        <v>428.11167311086814</v>
      </c>
      <c r="GF28" s="59">
        <f t="shared" si="50"/>
        <v>415.69449942923609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35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1.1368683772161603E-13</v>
      </c>
      <c r="GV28" s="17">
        <f>GU28*VLOOKUP('Données projet'!$B$18,Paramètres!$A$1:$I$89,3,0)*VLOOKUP('Données projet'!$B$18,Paramètres!$A$1:$I$89,5,0)</f>
        <v>6.5087988332379613E-14</v>
      </c>
      <c r="GW28" s="13">
        <f t="shared" si="51"/>
        <v>1.0279249680474958E-12</v>
      </c>
      <c r="GX28" s="20">
        <f t="shared" si="28"/>
        <v>1.9036642323616162E-12</v>
      </c>
      <c r="GY28" s="59">
        <f t="shared" si="29"/>
        <v>270.65057671057491</v>
      </c>
      <c r="GZ28" s="59">
        <f ca="1">AVERAGE(OFFSET($GY$3,0,0,'Données projet'!$E$18+1,1))-AVERAGE(OFFSET($H$3,0,0,'Données projet'!$E$18+1,1))</f>
        <v>249.88816678272056</v>
      </c>
      <c r="HA28" s="59">
        <f t="shared" si="52"/>
        <v>432.10802787437319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91.696939080329344</v>
      </c>
      <c r="HH28" s="21">
        <f>EXP(-LN(2)/25)*HH27+(1-EXP(-LN(2)/25))/(LN(2)/25)*Calculateur!HC28*Calculateur!HE28*VLOOKUP('Données projet'!$B$18,Paramètres!$A$1:$I$89,3,0)*0.475*44/12</f>
        <v>24.713241173093174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116.41018025342251</v>
      </c>
    </row>
    <row r="29" spans="1:218" x14ac:dyDescent="0.3">
      <c r="A29" s="10">
        <f t="shared" si="31"/>
        <v>26</v>
      </c>
      <c r="B29" s="71">
        <f>'Scénario référence'!$B$16*5+'Scénario référence'!$B$17*0+'Scénario référence'!$B$18*5</f>
        <v>1.4000000000000001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5.1333333333333337</v>
      </c>
      <c r="H29" s="65">
        <f t="shared" si="1"/>
        <v>236.13333333333335</v>
      </c>
      <c r="I29" s="6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14.2</v>
      </c>
      <c r="N29" s="13">
        <f>IF('Données projet'!$A$36&gt;35,N28+M29-V28,IF(A29&lt;'Données projet'!$A$36,$K$205^A29,IF(A29='Données projet'!$A$36,'Données projet'!$B$36,N28+M29-V28)))</f>
        <v>120.19999999999996</v>
      </c>
      <c r="O29" s="13">
        <f>N29*VLOOKUP('Données projet'!$B$9,Paramètres!$A$1:$I$89,3,0)*VLOOKUP('Données projet'!$B$9,Paramètres!$A$1:$I$89,5,0)</f>
        <v>95.631119999999967</v>
      </c>
      <c r="P29" s="13">
        <f t="shared" si="33"/>
        <v>25.918481589892234</v>
      </c>
      <c r="Q29" s="20">
        <f t="shared" si="2"/>
        <v>211.69888943572892</v>
      </c>
      <c r="R29" s="59">
        <f t="shared" si="0"/>
        <v>483.85916936950213</v>
      </c>
      <c r="S29" s="59">
        <f ca="1">AVERAGE(OFFSET($R$3,0,0,'Données projet'!$E$9+1,1))-AVERAGE(OFFSET($H$3,0,0,'Données projet'!$E$9+1,1))</f>
        <v>360.06385535620069</v>
      </c>
      <c r="T29" s="59">
        <f t="shared" si="34"/>
        <v>350.82516032456408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76.184160000000006</v>
      </c>
      <c r="AK29" s="13">
        <f t="shared" si="35"/>
        <v>21.201554232857223</v>
      </c>
      <c r="AL29" s="20">
        <f t="shared" si="4"/>
        <v>169.613452288893</v>
      </c>
      <c r="AM29" s="59">
        <f t="shared" si="5"/>
        <v>441.77373222266624</v>
      </c>
      <c r="AN29" s="59">
        <f ca="1">AVERAGE(OFFSET($AM$3,0,0,'Données projet'!$E$10+1,1))-AVERAGE(OFFSET($H$3,0,0,'Données projet'!$E$10+1,1))</f>
        <v>448.65237942538027</v>
      </c>
      <c r="AO29" s="59">
        <f t="shared" si="36"/>
        <v>283.56749129825107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9.4</v>
      </c>
      <c r="BD29" s="12">
        <f>IF('Données projet'!$A$88&gt;35,BD28+BC29-BL28,IF(A29&lt;'Données projet'!$A$88,$BA$205^A29,IF(A29='Données projet'!$A$88,'Données projet'!$B$88,BD28+BC29-BL28)))</f>
        <v>78.399999999999991</v>
      </c>
      <c r="BE29" s="13">
        <f>BD29*VLOOKUP('Données projet'!$B$11,Paramètres!$A$1:$I$89,3,0)*VLOOKUP('Données projet'!$B$11,Paramètres!$A$1:$I$89,5,0)</f>
        <v>67.267200000000003</v>
      </c>
      <c r="BF29" s="13">
        <f t="shared" si="37"/>
        <v>18.993242158132926</v>
      </c>
      <c r="BG29" s="20">
        <f t="shared" si="7"/>
        <v>150.23693675874819</v>
      </c>
      <c r="BH29" s="59">
        <f t="shared" si="8"/>
        <v>422.3972166925214</v>
      </c>
      <c r="BI29" s="59">
        <f ca="1">AVERAGE(OFFSET($BH$3,0,0,'Données projet'!$E$11+1,1))-AVERAGE(OFFSET($H$3,0,0,'Données projet'!$E$11+1,1))</f>
        <v>456.76871853389395</v>
      </c>
      <c r="BJ29" s="59">
        <f t="shared" si="38"/>
        <v>262.12425810289176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6.6</v>
      </c>
      <c r="BY29" s="12">
        <f>IF('Données projet'!$A$114&gt;35,BY28+BX29-CG28,IF(A29&lt;'Données projet'!$A$114,$BV$205^A29,IF(A29='Données projet'!$A$114,'Données projet'!$B$114,BY28+BX29-CG28)))</f>
        <v>123.4</v>
      </c>
      <c r="BZ29" s="13">
        <f>BY29*VLOOKUP('Données projet'!$B$12,Paramètres!$A$1:$I$89,3,0)*VLOOKUP('Données projet'!$B$12,Paramètres!$A$1:$I$89,5,0)</f>
        <v>90.476879999999994</v>
      </c>
      <c r="CA29" s="13">
        <f t="shared" si="39"/>
        <v>24.680201568735427</v>
      </c>
      <c r="CB29" s="20">
        <f t="shared" si="10"/>
        <v>200.56525039888083</v>
      </c>
      <c r="CC29" s="59">
        <f t="shared" si="11"/>
        <v>472.72553033265405</v>
      </c>
      <c r="CD29" s="59">
        <f ca="1">AVERAGE(OFFSET($CC$3,0,0,'Données projet'!$E$12+1,1))-AVERAGE(OFFSET($H$3,0,0,'Données projet'!$E$12+1,1))</f>
        <v>242.65851607945316</v>
      </c>
      <c r="CE29" s="59">
        <f t="shared" si="40"/>
        <v>218.9349999985487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13</v>
      </c>
      <c r="CT29" s="12">
        <f>IF('Données projet'!$A$140&gt;35,CT28+CS29-DB28,IF(A29&lt;'Données projet'!$A$140,$CQ$205^A29,IF(A29='Données projet'!$A$140,'Données projet'!$B$140,CT28+CS29-DB28)))</f>
        <v>132.00000000000003</v>
      </c>
      <c r="CU29" s="17">
        <f>CT29*VLOOKUP('Données projet'!$B$13,Paramètres!$A$1:$I$89,3,0)*VLOOKUP('Données projet'!$B$13,Paramètres!$A$1:$I$89,5,0)</f>
        <v>115.31520000000003</v>
      </c>
      <c r="CV29" s="13">
        <f t="shared" si="41"/>
        <v>30.579827148797317</v>
      </c>
      <c r="CW29" s="20">
        <f t="shared" si="13"/>
        <v>254.10050561748869</v>
      </c>
      <c r="CX29" s="59">
        <f t="shared" si="14"/>
        <v>526.26078555126196</v>
      </c>
      <c r="CY29" s="59">
        <f ca="1">AVERAGE(OFFSET($CX$3,0,0,'Données projet'!$E$13+1,1))-AVERAGE(OFFSET($H$3,0,0,'Données projet'!$E$13+1,1))</f>
        <v>326.9460696675867</v>
      </c>
      <c r="CZ29" s="59">
        <f t="shared" si="42"/>
        <v>393.4020374592568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10.8</v>
      </c>
      <c r="DO29" s="12">
        <f>IF('Données projet'!$A$166&gt;35,DO28+DN29-DW28,IF(A29&lt;'Données projet'!$A$166,$DL$205^A29,IF(A29='Données projet'!$A$166,'Données projet'!$B$166,DO28+DN29-DW28)))</f>
        <v>134.80000000000001</v>
      </c>
      <c r="DP29" s="17">
        <f>DO29*VLOOKUP('Données projet'!$B$14,Paramètres!$A$1:$I$89,3,0)*VLOOKUP('Données projet'!$B$14,Paramètres!$A$1:$I$89,5,0)</f>
        <v>105.14400000000001</v>
      </c>
      <c r="DQ29" s="13">
        <f t="shared" si="43"/>
        <v>28.183884120602002</v>
      </c>
      <c r="DR29" s="20">
        <f t="shared" si="16"/>
        <v>232.21273151004846</v>
      </c>
      <c r="DS29" s="59">
        <f t="shared" si="17"/>
        <v>504.37301144382167</v>
      </c>
      <c r="DT29" s="59">
        <f ca="1">AVERAGE(OFFSET($DS$3,0,0,'Données projet'!$E$14+1,1))-AVERAGE(OFFSET($H$3,0,0,'Données projet'!$E$14+1,1))</f>
        <v>364.34528546733799</v>
      </c>
      <c r="DU29" s="59">
        <f t="shared" si="44"/>
        <v>346.5839763411152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80.630159999999975</v>
      </c>
      <c r="EL29" s="13">
        <f t="shared" si="45"/>
        <v>22.291191095412245</v>
      </c>
      <c r="EM29" s="20">
        <f t="shared" si="19"/>
        <v>179.25468649117627</v>
      </c>
      <c r="EN29" s="59">
        <f t="shared" si="20"/>
        <v>451.41496642494951</v>
      </c>
      <c r="EO29" s="59">
        <f ca="1">AVERAGE(OFFSET($EN$3,0,0,'Données projet'!$E$15+1,1))-AVERAGE(OFFSET($H$3,0,0,'Données projet'!$E$15+1,1))</f>
        <v>310.38232870602445</v>
      </c>
      <c r="EP29" s="59">
        <f t="shared" si="46"/>
        <v>303.45934457265537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9.4</v>
      </c>
      <c r="FE29" s="12">
        <f>IF('Données projet'!$A$218&gt;35,FE28+FD29-FM28,IF(A29&lt;'Données projet'!$A$218,$FB$205^A29,IF(A29='Données projet'!$A$218,'Données projet'!$B$218,FE28+FD29-FM28)))</f>
        <v>171.40000000000006</v>
      </c>
      <c r="FF29" s="17">
        <f>FE29*VLOOKUP('Données projet'!$B$16,Paramètres!$A$1:$I$89,3,0)*VLOOKUP('Données projet'!$B$16,Paramètres!$A$1:$I$89,5,0)</f>
        <v>163.10424000000006</v>
      </c>
      <c r="FG29" s="13">
        <f t="shared" si="47"/>
        <v>41.541900444856886</v>
      </c>
      <c r="FH29" s="20">
        <f t="shared" si="22"/>
        <v>356.42536127479252</v>
      </c>
      <c r="FI29" s="59">
        <f t="shared" si="23"/>
        <v>628.58564120856568</v>
      </c>
      <c r="FJ29" s="59">
        <f ca="1">AVERAGE(OFFSET($FI$3,0,0,'Données projet'!$E$16+1,1))-AVERAGE(OFFSET($H$3,0,0,'Données projet'!$E$16+1,1))</f>
        <v>457.706832425622</v>
      </c>
      <c r="FK29" s="59">
        <f t="shared" si="48"/>
        <v>474.61768219844873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14.2</v>
      </c>
      <c r="FZ29" s="12">
        <f>IF('Données projet'!$A$244&gt;35,FZ28+FY29-GH28,IF(A29&lt;'Données projet'!$A$244,$FW$205^A29,IF(A29='Données projet'!$A$244,'Données projet'!$B$244,FZ28+FY29-GH28)))</f>
        <v>120.19999999999996</v>
      </c>
      <c r="GA29" s="17">
        <f>FZ29*VLOOKUP('Données projet'!$B$17,Paramètres!$A$1:$I$89,3,0)*VLOOKUP('Données projet'!$B$17,Paramètres!$A$1:$I$89,5,0)</f>
        <v>116.25743999999996</v>
      </c>
      <c r="GB29" s="13">
        <f t="shared" si="49"/>
        <v>30.800505515381992</v>
      </c>
      <c r="GC29" s="20">
        <f t="shared" si="25"/>
        <v>256.1259217726236</v>
      </c>
      <c r="GD29" s="59">
        <f t="shared" si="26"/>
        <v>528.28620170639681</v>
      </c>
      <c r="GE29" s="59">
        <f ca="1">AVERAGE(OFFSET($GD$3,0,0,'Données projet'!$E$17+1,1))-AVERAGE(OFFSET($H$3,0,0,'Données projet'!$E$17+1,1))</f>
        <v>428.11167311086814</v>
      </c>
      <c r="GF29" s="59">
        <f t="shared" si="50"/>
        <v>415.69449942923609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1.1368683772161603E-13</v>
      </c>
      <c r="GV29" s="17">
        <f>GU29*VLOOKUP('Données projet'!$B$18,Paramètres!$A$1:$I$89,3,0)*VLOOKUP('Données projet'!$B$18,Paramètres!$A$1:$I$89,5,0)</f>
        <v>6.5087988332379613E-14</v>
      </c>
      <c r="GW29" s="13">
        <f t="shared" si="51"/>
        <v>1.0279249680474958E-12</v>
      </c>
      <c r="GX29" s="20">
        <f t="shared" si="28"/>
        <v>1.9036642323616162E-12</v>
      </c>
      <c r="GY29" s="59">
        <f t="shared" si="29"/>
        <v>272.16027993377509</v>
      </c>
      <c r="GZ29" s="59">
        <f ca="1">AVERAGE(OFFSET($GY$3,0,0,'Données projet'!$E$18+1,1))-AVERAGE(OFFSET($H$3,0,0,'Données projet'!$E$18+1,1))</f>
        <v>249.88816678272056</v>
      </c>
      <c r="HA29" s="59">
        <f t="shared" si="52"/>
        <v>432.10802787437319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89.898818034574333</v>
      </c>
      <c r="HH29" s="21">
        <f>EXP(-LN(2)/25)*HH28+(1-EXP(-LN(2)/25))/(LN(2)/25)*Calculateur!HC29*Calculateur!HE29*VLOOKUP('Données projet'!$B$18,Paramètres!$A$1:$I$89,3,0)*0.475*44/12</f>
        <v>24.037456293602069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113.93627432817641</v>
      </c>
    </row>
    <row r="30" spans="1:218" x14ac:dyDescent="0.3">
      <c r="A30" s="10">
        <f t="shared" si="31"/>
        <v>27</v>
      </c>
      <c r="B30" s="71">
        <f>'Scénario référence'!$B$16*5+'Scénario référence'!$B$17*0+'Scénario référence'!$B$18*5</f>
        <v>1.4000000000000001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5.1333333333333337</v>
      </c>
      <c r="H30" s="65">
        <f t="shared" si="1"/>
        <v>236.13333333333335</v>
      </c>
      <c r="I30" s="6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14.2</v>
      </c>
      <c r="N30" s="13">
        <f>IF('Données projet'!$A$36&gt;35,N29+M30-V29,IF(A30&lt;'Données projet'!$A$36,$K$205^A30,IF(A30='Données projet'!$A$36,'Données projet'!$B$36,N29+M30-V29)))</f>
        <v>134.39999999999995</v>
      </c>
      <c r="O30" s="13">
        <f>N30*VLOOKUP('Données projet'!$B$9,Paramètres!$A$1:$I$89,3,0)*VLOOKUP('Données projet'!$B$9,Paramètres!$A$1:$I$89,5,0)</f>
        <v>106.92863999999996</v>
      </c>
      <c r="P30" s="13">
        <f t="shared" si="33"/>
        <v>28.606159868782917</v>
      </c>
      <c r="Q30" s="20">
        <f t="shared" si="2"/>
        <v>236.05644310479681</v>
      </c>
      <c r="R30" s="59">
        <f t="shared" si="0"/>
        <v>509.72143910911456</v>
      </c>
      <c r="S30" s="59">
        <f ca="1">AVERAGE(OFFSET($R$3,0,0,'Données projet'!$E$9+1,1))-AVERAGE(OFFSET($H$3,0,0,'Données projet'!$E$9+1,1))</f>
        <v>360.06385535620069</v>
      </c>
      <c r="T30" s="59">
        <f t="shared" si="34"/>
        <v>350.82516032456408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84.508320000000026</v>
      </c>
      <c r="AK30" s="13">
        <f t="shared" si="35"/>
        <v>23.235950088324714</v>
      </c>
      <c r="AL30" s="20">
        <f t="shared" si="4"/>
        <v>187.65460373716556</v>
      </c>
      <c r="AM30" s="59">
        <f t="shared" si="5"/>
        <v>461.31959974148333</v>
      </c>
      <c r="AN30" s="59">
        <f ca="1">AVERAGE(OFFSET($AM$3,0,0,'Données projet'!$E$10+1,1))-AVERAGE(OFFSET($H$3,0,0,'Données projet'!$E$10+1,1))</f>
        <v>448.65237942538027</v>
      </c>
      <c r="AO30" s="59">
        <f t="shared" si="36"/>
        <v>283.56749129825107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9.4</v>
      </c>
      <c r="BD30" s="12">
        <f>IF('Données projet'!$A$88&gt;35,BD29+BC30-BL29,IF(A30&lt;'Données projet'!$A$88,$BA$205^A30,IF(A30='Données projet'!$A$88,'Données projet'!$B$88,BD29+BC30-BL29)))</f>
        <v>87.8</v>
      </c>
      <c r="BE30" s="13">
        <f>BD30*VLOOKUP('Données projet'!$B$11,Paramètres!$A$1:$I$89,3,0)*VLOOKUP('Données projet'!$B$11,Paramètres!$A$1:$I$89,5,0)</f>
        <v>75.332400000000007</v>
      </c>
      <c r="BF30" s="13">
        <f t="shared" si="37"/>
        <v>20.991969498724234</v>
      </c>
      <c r="BG30" s="20">
        <f t="shared" si="7"/>
        <v>167.76494354361137</v>
      </c>
      <c r="BH30" s="59">
        <f t="shared" si="8"/>
        <v>441.42993954792911</v>
      </c>
      <c r="BI30" s="59">
        <f ca="1">AVERAGE(OFFSET($BH$3,0,0,'Données projet'!$E$11+1,1))-AVERAGE(OFFSET($H$3,0,0,'Données projet'!$E$11+1,1))</f>
        <v>456.76871853389395</v>
      </c>
      <c r="BJ30" s="59">
        <f t="shared" si="38"/>
        <v>262.12425810289176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130</v>
      </c>
      <c r="BW30" s="12">
        <f>VLOOKUP(A30,'Données projet'!$A$113:$I$133,9,0)</f>
        <v>6.6</v>
      </c>
      <c r="BX30" s="12">
        <f t="array" ref="BX30">INDEX(BW:BW,MIN(IF(ISNUMBER(BW30:BW226),ROW(BW30:BW226),"")))</f>
        <v>6.6</v>
      </c>
      <c r="BY30" s="12">
        <f>IF('Données projet'!$A$114&gt;35,BY29+BX30-CG29,IF(A30&lt;'Données projet'!$A$114,$BV$205^A30,IF(A30='Données projet'!$A$114,'Données projet'!$B$114,BY29+BX30-CG29)))</f>
        <v>130</v>
      </c>
      <c r="BZ30" s="13">
        <f>BY30*VLOOKUP('Données projet'!$B$12,Paramètres!$A$1:$I$89,3,0)*VLOOKUP('Données projet'!$B$12,Paramètres!$A$1:$I$89,5,0)</f>
        <v>95.315999999999988</v>
      </c>
      <c r="CA30" s="13">
        <f t="shared" si="39"/>
        <v>25.843002723192381</v>
      </c>
      <c r="CB30" s="20">
        <f t="shared" si="10"/>
        <v>211.01859640956005</v>
      </c>
      <c r="CC30" s="59">
        <f t="shared" si="11"/>
        <v>484.68359241387782</v>
      </c>
      <c r="CD30" s="59">
        <f ca="1">AVERAGE(OFFSET($CC$3,0,0,'Données projet'!$E$12+1,1))-AVERAGE(OFFSET($H$3,0,0,'Données projet'!$E$12+1,1))</f>
        <v>242.65851607945316</v>
      </c>
      <c r="CE30" s="59">
        <f t="shared" si="40"/>
        <v>218.9349999985487</v>
      </c>
      <c r="CF30" s="15">
        <f>IF(ISNA(VLOOKUP(A30,'Données projet'!$A$113:$I$133,3,0)),0,VLOOKUP(A30,'Données projet'!$A$113:$I$133,3,0))</f>
        <v>3</v>
      </c>
      <c r="CG30" s="15">
        <f>IF(ISNA(VLOOKUP(A30,'Données projet'!$A$113:$I$133,4,0)),0,VLOOKUP(A30,'Données projet'!$A$113:$I$133,4,0))</f>
        <v>38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13</v>
      </c>
      <c r="CT30" s="12">
        <f>IF('Données projet'!$A$140&gt;35,CT29+CS30-DB29,IF(A30&lt;'Données projet'!$A$140,$CQ$205^A30,IF(A30='Données projet'!$A$140,'Données projet'!$B$140,CT29+CS30-DB29)))</f>
        <v>145.00000000000003</v>
      </c>
      <c r="CU30" s="17">
        <f>CT30*VLOOKUP('Données projet'!$B$13,Paramètres!$A$1:$I$89,3,0)*VLOOKUP('Données projet'!$B$13,Paramètres!$A$1:$I$89,5,0)</f>
        <v>126.67200000000003</v>
      </c>
      <c r="CV30" s="13">
        <f t="shared" si="41"/>
        <v>33.226199426361347</v>
      </c>
      <c r="CW30" s="20">
        <f t="shared" si="13"/>
        <v>278.48936400091276</v>
      </c>
      <c r="CX30" s="59">
        <f t="shared" si="14"/>
        <v>552.1543600052305</v>
      </c>
      <c r="CY30" s="59">
        <f ca="1">AVERAGE(OFFSET($CX$3,0,0,'Données projet'!$E$13+1,1))-AVERAGE(OFFSET($H$3,0,0,'Données projet'!$E$13+1,1))</f>
        <v>326.9460696675867</v>
      </c>
      <c r="CZ30" s="59">
        <f t="shared" si="42"/>
        <v>393.4020374592568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10.8</v>
      </c>
      <c r="DO30" s="12">
        <f>IF('Données projet'!$A$166&gt;35,DO29+DN30-DW29,IF(A30&lt;'Données projet'!$A$166,$DL$205^A30,IF(A30='Données projet'!$A$166,'Données projet'!$B$166,DO29+DN30-DW29)))</f>
        <v>145.60000000000002</v>
      </c>
      <c r="DP30" s="17">
        <f>DO30*VLOOKUP('Données projet'!$B$14,Paramètres!$A$1:$I$89,3,0)*VLOOKUP('Données projet'!$B$14,Paramètres!$A$1:$I$89,5,0)</f>
        <v>113.56800000000003</v>
      </c>
      <c r="DQ30" s="13">
        <f t="shared" si="43"/>
        <v>30.17006506205821</v>
      </c>
      <c r="DR30" s="20">
        <f t="shared" si="16"/>
        <v>250.34379664975143</v>
      </c>
      <c r="DS30" s="59">
        <f t="shared" si="17"/>
        <v>524.00879265406911</v>
      </c>
      <c r="DT30" s="59">
        <f ca="1">AVERAGE(OFFSET($DS$3,0,0,'Données projet'!$E$14+1,1))-AVERAGE(OFFSET($H$3,0,0,'Données projet'!$E$14+1,1))</f>
        <v>364.34528546733799</v>
      </c>
      <c r="DU30" s="59">
        <f t="shared" si="44"/>
        <v>346.5839763411152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90.155519999999967</v>
      </c>
      <c r="EL30" s="13">
        <f t="shared" si="45"/>
        <v>24.60272890328697</v>
      </c>
      <c r="EM30" s="20">
        <f t="shared" si="19"/>
        <v>199.87061683989143</v>
      </c>
      <c r="EN30" s="59">
        <f t="shared" si="20"/>
        <v>473.53561284420914</v>
      </c>
      <c r="EO30" s="59">
        <f ca="1">AVERAGE(OFFSET($EN$3,0,0,'Données projet'!$E$15+1,1))-AVERAGE(OFFSET($H$3,0,0,'Données projet'!$E$15+1,1))</f>
        <v>310.38232870602445</v>
      </c>
      <c r="EP30" s="59">
        <f t="shared" si="46"/>
        <v>303.45934457265537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9.4</v>
      </c>
      <c r="FE30" s="12">
        <f>IF('Données projet'!$A$218&gt;35,FE29+FD30-FM29,IF(A30&lt;'Données projet'!$A$218,$FB$205^A30,IF(A30='Données projet'!$A$218,'Données projet'!$B$218,FE29+FD30-FM29)))</f>
        <v>180.80000000000007</v>
      </c>
      <c r="FF30" s="17">
        <f>FE30*VLOOKUP('Données projet'!$B$16,Paramètres!$A$1:$I$89,3,0)*VLOOKUP('Données projet'!$B$16,Paramètres!$A$1:$I$89,5,0)</f>
        <v>172.04928000000007</v>
      </c>
      <c r="FG30" s="13">
        <f t="shared" si="47"/>
        <v>43.548673566823723</v>
      </c>
      <c r="FH30" s="20">
        <f t="shared" si="22"/>
        <v>375.49976912888474</v>
      </c>
      <c r="FI30" s="59">
        <f t="shared" si="23"/>
        <v>649.16476513320254</v>
      </c>
      <c r="FJ30" s="59">
        <f ca="1">AVERAGE(OFFSET($FI$3,0,0,'Données projet'!$E$16+1,1))-AVERAGE(OFFSET($H$3,0,0,'Données projet'!$E$16+1,1))</f>
        <v>457.706832425622</v>
      </c>
      <c r="FK30" s="59">
        <f t="shared" si="48"/>
        <v>474.61768219844873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14.2</v>
      </c>
      <c r="FZ30" s="12">
        <f>IF('Données projet'!$A$244&gt;35,FZ29+FY30-GH29,IF(A30&lt;'Données projet'!$A$244,$FW$205^A30,IF(A30='Données projet'!$A$244,'Données projet'!$B$244,FZ29+FY30-GH29)))</f>
        <v>134.39999999999995</v>
      </c>
      <c r="GA30" s="17">
        <f>FZ30*VLOOKUP('Données projet'!$B$17,Paramètres!$A$1:$I$89,3,0)*VLOOKUP('Données projet'!$B$17,Paramètres!$A$1:$I$89,5,0)</f>
        <v>129.99167999999997</v>
      </c>
      <c r="GB30" s="13">
        <f t="shared" si="49"/>
        <v>33.994436817469854</v>
      </c>
      <c r="GC30" s="20">
        <f t="shared" si="25"/>
        <v>285.60915345709321</v>
      </c>
      <c r="GD30" s="59">
        <f t="shared" si="26"/>
        <v>559.27414946141096</v>
      </c>
      <c r="GE30" s="59">
        <f ca="1">AVERAGE(OFFSET($GD$3,0,0,'Données projet'!$E$17+1,1))-AVERAGE(OFFSET($H$3,0,0,'Données projet'!$E$17+1,1))</f>
        <v>428.11167311086814</v>
      </c>
      <c r="GF30" s="59">
        <f t="shared" si="50"/>
        <v>415.69449942923609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1.1368683772161603E-13</v>
      </c>
      <c r="GV30" s="17">
        <f>GU30*VLOOKUP('Données projet'!$B$18,Paramètres!$A$1:$I$89,3,0)*VLOOKUP('Données projet'!$B$18,Paramètres!$A$1:$I$89,5,0)</f>
        <v>6.5087988332379613E-14</v>
      </c>
      <c r="GW30" s="13">
        <f t="shared" si="51"/>
        <v>1.0279249680474958E-12</v>
      </c>
      <c r="GX30" s="20">
        <f t="shared" si="28"/>
        <v>1.9036642323616162E-12</v>
      </c>
      <c r="GY30" s="59">
        <f t="shared" si="29"/>
        <v>273.66499600431962</v>
      </c>
      <c r="GZ30" s="59">
        <f ca="1">AVERAGE(OFFSET($GY$3,0,0,'Données projet'!$E$18+1,1))-AVERAGE(OFFSET($H$3,0,0,'Données projet'!$E$18+1,1))</f>
        <v>249.88816678272056</v>
      </c>
      <c r="HA30" s="59">
        <f t="shared" si="52"/>
        <v>432.10802787437319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88.135957045781041</v>
      </c>
      <c r="HH30" s="21">
        <f>EXP(-LN(2)/25)*HH29+(1-EXP(-LN(2)/25))/(LN(2)/25)*Calculateur!HC30*Calculateur!HE30*VLOOKUP('Données projet'!$B$18,Paramètres!$A$1:$I$89,3,0)*0.475*44/12</f>
        <v>23.380150787178632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111.51610783295968</v>
      </c>
    </row>
    <row r="31" spans="1:218" x14ac:dyDescent="0.3">
      <c r="A31" s="10">
        <f t="shared" si="31"/>
        <v>28</v>
      </c>
      <c r="B31" s="71">
        <f>'Scénario référence'!$B$16*5+'Scénario référence'!$B$17*0+'Scénario référence'!$B$18*5</f>
        <v>1.4000000000000001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5.1333333333333337</v>
      </c>
      <c r="H31" s="65">
        <f t="shared" si="1"/>
        <v>236.13333333333335</v>
      </c>
      <c r="I31" s="6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14.2</v>
      </c>
      <c r="N31" s="13">
        <f>IF('Données projet'!$A$36&gt;35,N30+M31-V30,IF(A31&lt;'Données projet'!$A$36,$K$205^A31,IF(A31='Données projet'!$A$36,'Données projet'!$B$36,N30+M31-V30)))</f>
        <v>148.59999999999994</v>
      </c>
      <c r="O31" s="13">
        <f>N31*VLOOKUP('Données projet'!$B$9,Paramètres!$A$1:$I$89,3,0)*VLOOKUP('Données projet'!$B$9,Paramètres!$A$1:$I$89,5,0)</f>
        <v>118.22615999999996</v>
      </c>
      <c r="P31" s="13">
        <f t="shared" si="33"/>
        <v>31.260922342884676</v>
      </c>
      <c r="Q31" s="20">
        <f t="shared" si="2"/>
        <v>260.35666841385739</v>
      </c>
      <c r="R31" s="59">
        <f t="shared" si="0"/>
        <v>535.52147985201293</v>
      </c>
      <c r="S31" s="59">
        <f ca="1">AVERAGE(OFFSET($R$3,0,0,'Données projet'!$E$9+1,1))-AVERAGE(OFFSET($H$3,0,0,'Données projet'!$E$9+1,1))</f>
        <v>360.06385535620069</v>
      </c>
      <c r="T31" s="59">
        <f t="shared" si="34"/>
        <v>350.82516032456408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92.832480000000018</v>
      </c>
      <c r="AK31" s="13">
        <f t="shared" si="35"/>
        <v>25.247114117480137</v>
      </c>
      <c r="AL31" s="20">
        <f t="shared" si="4"/>
        <v>205.65529308794461</v>
      </c>
      <c r="AM31" s="59">
        <f t="shared" si="5"/>
        <v>480.82010452610018</v>
      </c>
      <c r="AN31" s="59">
        <f ca="1">AVERAGE(OFFSET($AM$3,0,0,'Données projet'!$E$10+1,1))-AVERAGE(OFFSET($H$3,0,0,'Données projet'!$E$10+1,1))</f>
        <v>448.65237942538027</v>
      </c>
      <c r="AO31" s="59">
        <f t="shared" si="36"/>
        <v>283.56749129825107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9.4</v>
      </c>
      <c r="BD31" s="12">
        <f>IF('Données projet'!$A$88&gt;35,BD30+BC31-BL30,IF(A31&lt;'Données projet'!$A$88,$BA$205^A31,IF(A31='Données projet'!$A$88,'Données projet'!$B$88,BD30+BC31-BL30)))</f>
        <v>97.2</v>
      </c>
      <c r="BE31" s="13">
        <f>BD31*VLOOKUP('Données projet'!$B$11,Paramètres!$A$1:$I$89,3,0)*VLOOKUP('Données projet'!$B$11,Paramètres!$A$1:$I$89,5,0)</f>
        <v>83.397600000000011</v>
      </c>
      <c r="BF31" s="13">
        <f t="shared" si="37"/>
        <v>22.965893371329315</v>
      </c>
      <c r="BG31" s="20">
        <f t="shared" si="7"/>
        <v>185.24975095506522</v>
      </c>
      <c r="BH31" s="59">
        <f t="shared" si="8"/>
        <v>460.41456239322076</v>
      </c>
      <c r="BI31" s="59">
        <f ca="1">AVERAGE(OFFSET($BH$3,0,0,'Données projet'!$E$11+1,1))-AVERAGE(OFFSET($H$3,0,0,'Données projet'!$E$11+1,1))</f>
        <v>456.76871853389395</v>
      </c>
      <c r="BJ31" s="59">
        <f t="shared" si="38"/>
        <v>262.12425810289176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5.5</v>
      </c>
      <c r="BY31" s="12">
        <f>IF('Données projet'!$A$114&gt;35,BY30+BX31-CG30,IF(A31&lt;'Données projet'!$A$114,$BV$205^A31,IF(A31='Données projet'!$A$114,'Données projet'!$B$114,BY30+BX31-CG30)))</f>
        <v>97.5</v>
      </c>
      <c r="BZ31" s="13">
        <f>BY31*VLOOKUP('Données projet'!$B$12,Paramètres!$A$1:$I$89,3,0)*VLOOKUP('Données projet'!$B$12,Paramètres!$A$1:$I$89,5,0)</f>
        <v>71.486999999999995</v>
      </c>
      <c r="CA31" s="13">
        <f t="shared" si="39"/>
        <v>20.042279102156858</v>
      </c>
      <c r="CB31" s="20">
        <f t="shared" si="10"/>
        <v>159.41349443625651</v>
      </c>
      <c r="CC31" s="59">
        <f t="shared" si="11"/>
        <v>434.57830587441208</v>
      </c>
      <c r="CD31" s="59">
        <f ca="1">AVERAGE(OFFSET($CC$3,0,0,'Données projet'!$E$12+1,1))-AVERAGE(OFFSET($H$3,0,0,'Données projet'!$E$12+1,1))</f>
        <v>242.65851607945316</v>
      </c>
      <c r="CE31" s="59">
        <f t="shared" si="40"/>
        <v>218.9349999985487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13</v>
      </c>
      <c r="CT31" s="12">
        <f>IF('Données projet'!$A$140&gt;35,CT30+CS31-DB30,IF(A31&lt;'Données projet'!$A$140,$CQ$205^A31,IF(A31='Données projet'!$A$140,'Données projet'!$B$140,CT30+CS31-DB30)))</f>
        <v>158.00000000000003</v>
      </c>
      <c r="CU31" s="17">
        <f>CT31*VLOOKUP('Données projet'!$B$13,Paramètres!$A$1:$I$89,3,0)*VLOOKUP('Données projet'!$B$13,Paramètres!$A$1:$I$89,5,0)</f>
        <v>138.02880000000005</v>
      </c>
      <c r="CV31" s="13">
        <f t="shared" si="41"/>
        <v>35.845059256813073</v>
      </c>
      <c r="CW31" s="20">
        <f t="shared" si="13"/>
        <v>302.83030487228285</v>
      </c>
      <c r="CX31" s="59">
        <f t="shared" si="14"/>
        <v>577.99511631043833</v>
      </c>
      <c r="CY31" s="59">
        <f ca="1">AVERAGE(OFFSET($CX$3,0,0,'Données projet'!$E$13+1,1))-AVERAGE(OFFSET($H$3,0,0,'Données projet'!$E$13+1,1))</f>
        <v>326.9460696675867</v>
      </c>
      <c r="CZ31" s="59">
        <f t="shared" si="42"/>
        <v>393.4020374592568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10.8</v>
      </c>
      <c r="DO31" s="12">
        <f>IF('Données projet'!$A$166&gt;35,DO30+DN31-DW30,IF(A31&lt;'Données projet'!$A$166,$DL$205^A31,IF(A31='Données projet'!$A$166,'Données projet'!$B$166,DO30+DN31-DW30)))</f>
        <v>156.40000000000003</v>
      </c>
      <c r="DP31" s="17">
        <f>DO31*VLOOKUP('Données projet'!$B$14,Paramètres!$A$1:$I$89,3,0)*VLOOKUP('Données projet'!$B$14,Paramètres!$A$1:$I$89,5,0)</f>
        <v>121.99200000000003</v>
      </c>
      <c r="DQ31" s="13">
        <f t="shared" si="43"/>
        <v>32.139154469866327</v>
      </c>
      <c r="DR31" s="20">
        <f t="shared" si="16"/>
        <v>268.44509403501723</v>
      </c>
      <c r="DS31" s="59">
        <f t="shared" si="17"/>
        <v>543.60990547317283</v>
      </c>
      <c r="DT31" s="59">
        <f ca="1">AVERAGE(OFFSET($DS$3,0,0,'Données projet'!$E$14+1,1))-AVERAGE(OFFSET($H$3,0,0,'Données projet'!$E$14+1,1))</f>
        <v>364.34528546733799</v>
      </c>
      <c r="DU31" s="59">
        <f t="shared" si="44"/>
        <v>346.5839763411152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99.680879999999959</v>
      </c>
      <c r="EL31" s="13">
        <f t="shared" si="45"/>
        <v>26.885957471977871</v>
      </c>
      <c r="EM31" s="20">
        <f t="shared" si="19"/>
        <v>220.43724193036135</v>
      </c>
      <c r="EN31" s="59">
        <f t="shared" si="20"/>
        <v>495.60205336851686</v>
      </c>
      <c r="EO31" s="59">
        <f ca="1">AVERAGE(OFFSET($EN$3,0,0,'Données projet'!$E$15+1,1))-AVERAGE(OFFSET($H$3,0,0,'Données projet'!$E$15+1,1))</f>
        <v>310.38232870602445</v>
      </c>
      <c r="EP31" s="59">
        <f t="shared" si="46"/>
        <v>303.45934457265537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9.4</v>
      </c>
      <c r="FE31" s="12">
        <f>IF('Données projet'!$A$218&gt;35,FE30+FD31-FM30,IF(A31&lt;'Données projet'!$A$218,$FB$205^A31,IF(A31='Données projet'!$A$218,'Données projet'!$B$218,FE30+FD31-FM30)))</f>
        <v>190.20000000000007</v>
      </c>
      <c r="FF31" s="17">
        <f>FE31*VLOOKUP('Données projet'!$B$16,Paramètres!$A$1:$I$89,3,0)*VLOOKUP('Données projet'!$B$16,Paramètres!$A$1:$I$89,5,0)</f>
        <v>180.99432000000007</v>
      </c>
      <c r="FG31" s="13">
        <f t="shared" si="47"/>
        <v>45.543333072238994</v>
      </c>
      <c r="FH31" s="20">
        <f t="shared" si="22"/>
        <v>394.55307910081638</v>
      </c>
      <c r="FI31" s="59">
        <f t="shared" si="23"/>
        <v>669.71789053897191</v>
      </c>
      <c r="FJ31" s="59">
        <f ca="1">AVERAGE(OFFSET($FI$3,0,0,'Données projet'!$E$16+1,1))-AVERAGE(OFFSET($H$3,0,0,'Données projet'!$E$16+1,1))</f>
        <v>457.706832425622</v>
      </c>
      <c r="FK31" s="59">
        <f t="shared" si="48"/>
        <v>474.61768219844873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14.2</v>
      </c>
      <c r="FZ31" s="12">
        <f>IF('Données projet'!$A$244&gt;35,FZ30+FY31-GH30,IF(A31&lt;'Données projet'!$A$244,$FW$205^A31,IF(A31='Données projet'!$A$244,'Données projet'!$B$244,FZ30+FY31-GH30)))</f>
        <v>148.59999999999994</v>
      </c>
      <c r="GA31" s="17">
        <f>FZ31*VLOOKUP('Données projet'!$B$17,Paramètres!$A$1:$I$89,3,0)*VLOOKUP('Données projet'!$B$17,Paramètres!$A$1:$I$89,5,0)</f>
        <v>143.72591999999995</v>
      </c>
      <c r="GB31" s="13">
        <f t="shared" si="49"/>
        <v>37.149252269987983</v>
      </c>
      <c r="GC31" s="20">
        <f t="shared" si="25"/>
        <v>315.02425837022901</v>
      </c>
      <c r="GD31" s="59">
        <f t="shared" si="26"/>
        <v>590.1890698083846</v>
      </c>
      <c r="GE31" s="59">
        <f ca="1">AVERAGE(OFFSET($GD$3,0,0,'Données projet'!$E$17+1,1))-AVERAGE(OFFSET($H$3,0,0,'Données projet'!$E$17+1,1))</f>
        <v>428.11167311086814</v>
      </c>
      <c r="GF31" s="59">
        <f t="shared" si="50"/>
        <v>415.69449942923609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1.1368683772161603E-13</v>
      </c>
      <c r="GV31" s="17">
        <f>GU31*VLOOKUP('Données projet'!$B$18,Paramètres!$A$1:$I$89,3,0)*VLOOKUP('Données projet'!$B$18,Paramètres!$A$1:$I$89,5,0)</f>
        <v>6.5087988332379613E-14</v>
      </c>
      <c r="GW31" s="13">
        <f t="shared" si="51"/>
        <v>1.0279249680474958E-12</v>
      </c>
      <c r="GX31" s="20">
        <f t="shared" si="28"/>
        <v>1.9036642323616162E-12</v>
      </c>
      <c r="GY31" s="59">
        <f t="shared" si="29"/>
        <v>275.16481143815741</v>
      </c>
      <c r="GZ31" s="59">
        <f ca="1">AVERAGE(OFFSET($GY$3,0,0,'Données projet'!$E$18+1,1))-AVERAGE(OFFSET($H$3,0,0,'Données projet'!$E$18+1,1))</f>
        <v>249.88816678272056</v>
      </c>
      <c r="HA31" s="59">
        <f t="shared" si="52"/>
        <v>432.10802787437319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86.407664685738951</v>
      </c>
      <c r="HH31" s="21">
        <f>EXP(-LN(2)/25)*HH30+(1-EXP(-LN(2)/25))/(LN(2)/25)*Calculateur!HC31*Calculateur!HE31*VLOOKUP('Données projet'!$B$18,Paramètres!$A$1:$I$89,3,0)*0.475*44/12</f>
        <v>22.740819334394537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109.14848402013348</v>
      </c>
    </row>
    <row r="32" spans="1:218" x14ac:dyDescent="0.3">
      <c r="A32" s="10">
        <f t="shared" si="31"/>
        <v>29</v>
      </c>
      <c r="B32" s="71">
        <f>'Scénario référence'!$B$16*5+'Scénario référence'!$B$17*0+'Scénario référence'!$B$18*5</f>
        <v>1.4000000000000001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5.1333333333333337</v>
      </c>
      <c r="H32" s="65">
        <f t="shared" si="1"/>
        <v>236.13333333333335</v>
      </c>
      <c r="I32" s="6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14.2</v>
      </c>
      <c r="N32" s="13">
        <f>IF('Données projet'!$A$36&gt;35,N31+M32-V31,IF(A32&lt;'Données projet'!$A$36,$K$205^A32,IF(A32='Données projet'!$A$36,'Données projet'!$B$36,N31+M32-V31)))</f>
        <v>162.79999999999993</v>
      </c>
      <c r="O32" s="13">
        <f>N32*VLOOKUP('Données projet'!$B$9,Paramètres!$A$1:$I$89,3,0)*VLOOKUP('Données projet'!$B$9,Paramètres!$A$1:$I$89,5,0)</f>
        <v>129.52367999999996</v>
      </c>
      <c r="P32" s="13">
        <f t="shared" si="33"/>
        <v>33.886272262901727</v>
      </c>
      <c r="Q32" s="20">
        <f t="shared" si="2"/>
        <v>284.60566685788712</v>
      </c>
      <c r="R32" s="59">
        <f t="shared" si="0"/>
        <v>561.26547810826435</v>
      </c>
      <c r="S32" s="59">
        <f ca="1">AVERAGE(OFFSET($R$3,0,0,'Données projet'!$E$9+1,1))-AVERAGE(OFFSET($H$3,0,0,'Données projet'!$E$9+1,1))</f>
        <v>360.06385535620069</v>
      </c>
      <c r="T32" s="59">
        <f t="shared" si="34"/>
        <v>350.82516032456408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101.15664000000001</v>
      </c>
      <c r="AK32" s="13">
        <f t="shared" si="35"/>
        <v>27.237366379381644</v>
      </c>
      <c r="AL32" s="20">
        <f t="shared" si="4"/>
        <v>223.61956111075639</v>
      </c>
      <c r="AM32" s="59">
        <f t="shared" si="5"/>
        <v>500.2793723611336</v>
      </c>
      <c r="AN32" s="59">
        <f ca="1">AVERAGE(OFFSET($AM$3,0,0,'Données projet'!$E$10+1,1))-AVERAGE(OFFSET($H$3,0,0,'Données projet'!$E$10+1,1))</f>
        <v>448.65237942538027</v>
      </c>
      <c r="AO32" s="59">
        <f t="shared" si="36"/>
        <v>283.56749129825107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9.4</v>
      </c>
      <c r="BD32" s="12">
        <f>IF('Données projet'!$A$88&gt;35,BD31+BC32-BL31,IF(A32&lt;'Données projet'!$A$88,$BA$205^A32,IF(A32='Données projet'!$A$88,'Données projet'!$B$88,BD31+BC32-BL31)))</f>
        <v>106.60000000000001</v>
      </c>
      <c r="BE32" s="13">
        <f>BD32*VLOOKUP('Données projet'!$B$11,Paramètres!$A$1:$I$89,3,0)*VLOOKUP('Données projet'!$B$11,Paramètres!$A$1:$I$89,5,0)</f>
        <v>91.462800000000016</v>
      </c>
      <c r="BF32" s="13">
        <f t="shared" si="37"/>
        <v>24.917685409456144</v>
      </c>
      <c r="BG32" s="20">
        <f t="shared" si="7"/>
        <v>202.69601208813614</v>
      </c>
      <c r="BH32" s="59">
        <f t="shared" si="8"/>
        <v>479.35582333851335</v>
      </c>
      <c r="BI32" s="59">
        <f ca="1">AVERAGE(OFFSET($BH$3,0,0,'Données projet'!$E$11+1,1))-AVERAGE(OFFSET($H$3,0,0,'Données projet'!$E$11+1,1))</f>
        <v>456.76871853389395</v>
      </c>
      <c r="BJ32" s="59">
        <f t="shared" si="38"/>
        <v>262.12425810289176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5.5</v>
      </c>
      <c r="BY32" s="12">
        <f>IF('Données projet'!$A$114&gt;35,BY31+BX32-CG31,IF(A32&lt;'Données projet'!$A$114,$BV$205^A32,IF(A32='Données projet'!$A$114,'Données projet'!$B$114,BY31+BX32-CG31)))</f>
        <v>103</v>
      </c>
      <c r="BZ32" s="13">
        <f>BY32*VLOOKUP('Données projet'!$B$12,Paramètres!$A$1:$I$89,3,0)*VLOOKUP('Données projet'!$B$12,Paramètres!$A$1:$I$89,5,0)</f>
        <v>75.519599999999997</v>
      </c>
      <c r="CA32" s="13">
        <f t="shared" si="39"/>
        <v>21.03805562204553</v>
      </c>
      <c r="CB32" s="20">
        <f t="shared" si="10"/>
        <v>168.17125020839597</v>
      </c>
      <c r="CC32" s="59">
        <f t="shared" si="11"/>
        <v>444.83106145877321</v>
      </c>
      <c r="CD32" s="59">
        <f ca="1">AVERAGE(OFFSET($CC$3,0,0,'Données projet'!$E$12+1,1))-AVERAGE(OFFSET($H$3,0,0,'Données projet'!$E$12+1,1))</f>
        <v>242.65851607945316</v>
      </c>
      <c r="CE32" s="59">
        <f t="shared" si="40"/>
        <v>218.9349999985487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13</v>
      </c>
      <c r="CT32" s="12">
        <f>IF('Données projet'!$A$140&gt;35,CT31+CS32-DB31,IF(A32&lt;'Données projet'!$A$140,$CQ$205^A32,IF(A32='Données projet'!$A$140,'Données projet'!$B$140,CT31+CS32-DB31)))</f>
        <v>171.00000000000003</v>
      </c>
      <c r="CU32" s="17">
        <f>CT32*VLOOKUP('Données projet'!$B$13,Paramètres!$A$1:$I$89,3,0)*VLOOKUP('Données projet'!$B$13,Paramètres!$A$1:$I$89,5,0)</f>
        <v>149.38560000000004</v>
      </c>
      <c r="CV32" s="13">
        <f t="shared" si="41"/>
        <v>38.438927680599591</v>
      </c>
      <c r="CW32" s="20">
        <f t="shared" si="13"/>
        <v>327.12771904371101</v>
      </c>
      <c r="CX32" s="59">
        <f t="shared" si="14"/>
        <v>603.78753029408824</v>
      </c>
      <c r="CY32" s="59">
        <f ca="1">AVERAGE(OFFSET($CX$3,0,0,'Données projet'!$E$13+1,1))-AVERAGE(OFFSET($H$3,0,0,'Données projet'!$E$13+1,1))</f>
        <v>326.9460696675867</v>
      </c>
      <c r="CZ32" s="59">
        <f t="shared" si="42"/>
        <v>393.4020374592568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10.8</v>
      </c>
      <c r="DO32" s="12">
        <f>IF('Données projet'!$A$166&gt;35,DO31+DN32-DW31,IF(A32&lt;'Données projet'!$A$166,$DL$205^A32,IF(A32='Données projet'!$A$166,'Données projet'!$B$166,DO31+DN32-DW31)))</f>
        <v>167.20000000000005</v>
      </c>
      <c r="DP32" s="17">
        <f>DO32*VLOOKUP('Données projet'!$B$14,Paramètres!$A$1:$I$89,3,0)*VLOOKUP('Données projet'!$B$14,Paramètres!$A$1:$I$89,5,0)</f>
        <v>130.41600000000005</v>
      </c>
      <c r="DQ32" s="13">
        <f t="shared" si="43"/>
        <v>34.092466837179941</v>
      </c>
      <c r="DR32" s="20">
        <f t="shared" si="16"/>
        <v>286.51891307475512</v>
      </c>
      <c r="DS32" s="59">
        <f t="shared" si="17"/>
        <v>563.17872432513241</v>
      </c>
      <c r="DT32" s="59">
        <f ca="1">AVERAGE(OFFSET($DS$3,0,0,'Données projet'!$E$14+1,1))-AVERAGE(OFFSET($H$3,0,0,'Données projet'!$E$14+1,1))</f>
        <v>364.34528546733799</v>
      </c>
      <c r="DU32" s="59">
        <f t="shared" si="44"/>
        <v>346.5839763411152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109.20623999999995</v>
      </c>
      <c r="EL32" s="13">
        <f t="shared" si="45"/>
        <v>29.143889772388857</v>
      </c>
      <c r="EM32" s="20">
        <f t="shared" si="19"/>
        <v>240.95980935357719</v>
      </c>
      <c r="EN32" s="59">
        <f t="shared" si="20"/>
        <v>517.61962060395444</v>
      </c>
      <c r="EO32" s="59">
        <f ca="1">AVERAGE(OFFSET($EN$3,0,0,'Données projet'!$E$15+1,1))-AVERAGE(OFFSET($H$3,0,0,'Données projet'!$E$15+1,1))</f>
        <v>310.38232870602445</v>
      </c>
      <c r="EP32" s="59">
        <f t="shared" si="46"/>
        <v>303.45934457265537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9.4</v>
      </c>
      <c r="FE32" s="12">
        <f>IF('Données projet'!$A$218&gt;35,FE31+FD32-FM31,IF(A32&lt;'Données projet'!$A$218,$FB$205^A32,IF(A32='Données projet'!$A$218,'Données projet'!$B$218,FE31+FD32-FM31)))</f>
        <v>199.60000000000008</v>
      </c>
      <c r="FF32" s="17">
        <f>FE32*VLOOKUP('Données projet'!$B$16,Paramètres!$A$1:$I$89,3,0)*VLOOKUP('Données projet'!$B$16,Paramètres!$A$1:$I$89,5,0)</f>
        <v>189.93936000000008</v>
      </c>
      <c r="FG32" s="13">
        <f t="shared" si="47"/>
        <v>47.526545959149885</v>
      </c>
      <c r="FH32" s="20">
        <f t="shared" si="22"/>
        <v>413.58645287885287</v>
      </c>
      <c r="FI32" s="59">
        <f t="shared" si="23"/>
        <v>690.2462641292301</v>
      </c>
      <c r="FJ32" s="59">
        <f ca="1">AVERAGE(OFFSET($FI$3,0,0,'Données projet'!$E$16+1,1))-AVERAGE(OFFSET($H$3,0,0,'Données projet'!$E$16+1,1))</f>
        <v>457.706832425622</v>
      </c>
      <c r="FK32" s="59">
        <f t="shared" si="48"/>
        <v>474.61768219844873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14.2</v>
      </c>
      <c r="FZ32" s="12">
        <f>IF('Données projet'!$A$244&gt;35,FZ31+FY32-GH31,IF(A32&lt;'Données projet'!$A$244,$FW$205^A32,IF(A32='Données projet'!$A$244,'Données projet'!$B$244,FZ31+FY32-GH31)))</f>
        <v>162.79999999999993</v>
      </c>
      <c r="GA32" s="17">
        <f>FZ32*VLOOKUP('Données projet'!$B$17,Paramètres!$A$1:$I$89,3,0)*VLOOKUP('Données projet'!$B$17,Paramètres!$A$1:$I$89,5,0)</f>
        <v>157.46015999999992</v>
      </c>
      <c r="GB32" s="13">
        <f t="shared" si="49"/>
        <v>40.269114998475459</v>
      </c>
      <c r="GC32" s="20">
        <f t="shared" si="25"/>
        <v>344.37848728901122</v>
      </c>
      <c r="GD32" s="59">
        <f t="shared" si="26"/>
        <v>621.03829853938851</v>
      </c>
      <c r="GE32" s="59">
        <f ca="1">AVERAGE(OFFSET($GD$3,0,0,'Données projet'!$E$17+1,1))-AVERAGE(OFFSET($H$3,0,0,'Données projet'!$E$17+1,1))</f>
        <v>428.11167311086814</v>
      </c>
      <c r="GF32" s="59">
        <f t="shared" si="50"/>
        <v>415.69449942923609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1.1368683772161603E-13</v>
      </c>
      <c r="GV32" s="17">
        <f>GU32*VLOOKUP('Données projet'!$B$18,Paramètres!$A$1:$I$89,3,0)*VLOOKUP('Données projet'!$B$18,Paramètres!$A$1:$I$89,5,0)</f>
        <v>6.5087988332379613E-14</v>
      </c>
      <c r="GW32" s="13">
        <f t="shared" si="51"/>
        <v>1.0279249680474958E-12</v>
      </c>
      <c r="GX32" s="20">
        <f t="shared" si="28"/>
        <v>1.9036642323616162E-12</v>
      </c>
      <c r="GY32" s="59">
        <f t="shared" si="29"/>
        <v>276.65981125037911</v>
      </c>
      <c r="GZ32" s="59">
        <f ca="1">AVERAGE(OFFSET($GY$3,0,0,'Données projet'!$E$18+1,1))-AVERAGE(OFFSET($H$3,0,0,'Données projet'!$E$18+1,1))</f>
        <v>249.88816678272056</v>
      </c>
      <c r="HA32" s="59">
        <f t="shared" si="52"/>
        <v>432.10802787437319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84.713263084723039</v>
      </c>
      <c r="HH32" s="21">
        <f>EXP(-LN(2)/25)*HH31+(1-EXP(-LN(2)/25))/(LN(2)/25)*Calculateur!HC32*Calculateur!HE32*VLOOKUP('Données projet'!$B$18,Paramètres!$A$1:$I$89,3,0)*0.475*44/12</f>
        <v>22.118970433807803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106.83223351853084</v>
      </c>
    </row>
    <row r="33" spans="1:218" x14ac:dyDescent="0.3">
      <c r="A33" s="10">
        <f t="shared" si="31"/>
        <v>30</v>
      </c>
      <c r="B33" s="71">
        <f>'Scénario référence'!$B$16*5+'Scénario référence'!$B$17*0+'Scénario référence'!$B$18*5</f>
        <v>1.4000000000000001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5.1333333333333337</v>
      </c>
      <c r="H33" s="65">
        <f t="shared" si="1"/>
        <v>236.13333333333335</v>
      </c>
      <c r="I33" s="6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177</v>
      </c>
      <c r="L33" s="12">
        <f>VLOOKUP(A33,'Données projet'!$A$35:$I$55,9,0)</f>
        <v>14.2</v>
      </c>
      <c r="M33" s="12">
        <f t="array" ref="M33">INDEX(L:L,MIN(IF(ISNUMBER(L33:L229),ROW(L33:L229),"")))</f>
        <v>14.2</v>
      </c>
      <c r="N33" s="13">
        <f>IF('Données projet'!$A$36&gt;35,N32+M33-V32,IF(A33&lt;'Données projet'!$A$36,$K$205^A33,IF(A33='Données projet'!$A$36,'Données projet'!$B$36,N32+M33-V32)))</f>
        <v>176.99999999999991</v>
      </c>
      <c r="O33" s="13">
        <f>N33*VLOOKUP('Données projet'!$B$9,Paramètres!$A$1:$I$89,3,0)*VLOOKUP('Données projet'!$B$9,Paramètres!$A$1:$I$89,5,0)</f>
        <v>140.82119999999992</v>
      </c>
      <c r="P33" s="13">
        <f t="shared" si="33"/>
        <v>36.485066799987997</v>
      </c>
      <c r="Q33" s="20">
        <f t="shared" si="2"/>
        <v>308.80841467664561</v>
      </c>
      <c r="R33" s="59">
        <f t="shared" si="0"/>
        <v>586.95849365789741</v>
      </c>
      <c r="S33" s="59">
        <f ca="1">AVERAGE(OFFSET($R$3,0,0,'Données projet'!$E$9+1,1))-AVERAGE(OFFSET($H$3,0,0,'Données projet'!$E$9+1,1))</f>
        <v>360.06385535620069</v>
      </c>
      <c r="T33" s="59">
        <f t="shared" si="34"/>
        <v>350.82516032456408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109.48080000000002</v>
      </c>
      <c r="AK33" s="13">
        <f t="shared" si="35"/>
        <v>29.208623339903898</v>
      </c>
      <c r="AL33" s="20">
        <f t="shared" si="4"/>
        <v>241.55074565033269</v>
      </c>
      <c r="AM33" s="59">
        <f t="shared" si="5"/>
        <v>519.7008246315844</v>
      </c>
      <c r="AN33" s="59">
        <f ca="1">AVERAGE(OFFSET($AM$3,0,0,'Données projet'!$E$10+1,1))-AVERAGE(OFFSET($H$3,0,0,'Données projet'!$E$10+1,1))</f>
        <v>448.65237942538027</v>
      </c>
      <c r="AO33" s="59">
        <f t="shared" si="36"/>
        <v>283.56749129825107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116</v>
      </c>
      <c r="BB33" s="12">
        <f>VLOOKUP(A33,'Données projet'!$A$87:$I$107,9,0)</f>
        <v>9.4</v>
      </c>
      <c r="BC33" s="12">
        <f t="array" ref="BC33">INDEX(BB:BB,MIN(IF(ISNUMBER(BB33:BB229),ROW(BB33:BB229),"")))</f>
        <v>9.4</v>
      </c>
      <c r="BD33" s="12">
        <f>IF('Données projet'!$A$88&gt;35,BD32+BC33-BL32,IF(A33&lt;'Données projet'!$A$88,$BA$205^A33,IF(A33='Données projet'!$A$88,'Données projet'!$B$88,BD32+BC33-BL32)))</f>
        <v>116.00000000000001</v>
      </c>
      <c r="BE33" s="13">
        <f>BD33*VLOOKUP('Données projet'!$B$11,Paramètres!$A$1:$I$89,3,0)*VLOOKUP('Données projet'!$B$11,Paramètres!$A$1:$I$89,5,0)</f>
        <v>99.52800000000002</v>
      </c>
      <c r="BF33" s="13">
        <f t="shared" si="37"/>
        <v>26.849519112903323</v>
      </c>
      <c r="BG33" s="20">
        <f t="shared" si="7"/>
        <v>220.10751245497332</v>
      </c>
      <c r="BH33" s="59">
        <f t="shared" si="8"/>
        <v>498.25759143622508</v>
      </c>
      <c r="BI33" s="59">
        <f ca="1">AVERAGE(OFFSET($BH$3,0,0,'Données projet'!$E$11+1,1))-AVERAGE(OFFSET($H$3,0,0,'Données projet'!$E$11+1,1))</f>
        <v>456.76871853389395</v>
      </c>
      <c r="BJ33" s="59">
        <f t="shared" si="38"/>
        <v>262.12425810289176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5.5</v>
      </c>
      <c r="BY33" s="12">
        <f>IF('Données projet'!$A$114&gt;35,BY32+BX33-CG32,IF(A33&lt;'Données projet'!$A$114,$BV$205^A33,IF(A33='Données projet'!$A$114,'Données projet'!$B$114,BY32+BX33-CG32)))</f>
        <v>108.5</v>
      </c>
      <c r="BZ33" s="13">
        <f>BY33*VLOOKUP('Données projet'!$B$12,Paramètres!$A$1:$I$89,3,0)*VLOOKUP('Données projet'!$B$12,Paramètres!$A$1:$I$89,5,0)</f>
        <v>79.552199999999999</v>
      </c>
      <c r="CA33" s="13">
        <f t="shared" si="39"/>
        <v>22.027658957299707</v>
      </c>
      <c r="CB33" s="20">
        <f t="shared" si="10"/>
        <v>176.91825435063029</v>
      </c>
      <c r="CC33" s="59">
        <f t="shared" si="11"/>
        <v>455.06833333188206</v>
      </c>
      <c r="CD33" s="59">
        <f ca="1">AVERAGE(OFFSET($CC$3,0,0,'Données projet'!$E$12+1,1))-AVERAGE(OFFSET($H$3,0,0,'Données projet'!$E$12+1,1))</f>
        <v>242.65851607945316</v>
      </c>
      <c r="CE33" s="59">
        <f t="shared" si="40"/>
        <v>218.9349999985487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184</v>
      </c>
      <c r="CR33" s="12">
        <f>VLOOKUP(A33,'Données projet'!$A$139:$I$159,9,0)</f>
        <v>13</v>
      </c>
      <c r="CS33" s="12">
        <f t="array" ref="CS33">INDEX(CR:CR,MIN(IF(ISNUMBER(CR33:CR229),ROW(CR33:CR229),"")))</f>
        <v>13</v>
      </c>
      <c r="CT33" s="12">
        <f>IF('Données projet'!$A$140&gt;35,CT32+CS33-DB32,IF(A33&lt;'Données projet'!$A$140,$CQ$205^A33,IF(A33='Données projet'!$A$140,'Données projet'!$B$140,CT32+CS33-DB32)))</f>
        <v>184.00000000000003</v>
      </c>
      <c r="CU33" s="17">
        <f>CT33*VLOOKUP('Données projet'!$B$13,Paramètres!$A$1:$I$89,3,0)*VLOOKUP('Données projet'!$B$13,Paramètres!$A$1:$I$89,5,0)</f>
        <v>160.74240000000003</v>
      </c>
      <c r="CV33" s="13">
        <f t="shared" si="41"/>
        <v>41.009920657227809</v>
      </c>
      <c r="CW33" s="20">
        <f t="shared" si="13"/>
        <v>351.38529181133845</v>
      </c>
      <c r="CX33" s="59">
        <f t="shared" si="14"/>
        <v>629.53537079259013</v>
      </c>
      <c r="CY33" s="59">
        <f ca="1">AVERAGE(OFFSET($CX$3,0,0,'Données projet'!$E$13+1,1))-AVERAGE(OFFSET($H$3,0,0,'Données projet'!$E$13+1,1))</f>
        <v>326.9460696675867</v>
      </c>
      <c r="CZ33" s="59">
        <f t="shared" si="42"/>
        <v>393.4020374592568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44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178</v>
      </c>
      <c r="DM33" s="12">
        <f>VLOOKUP(A33,'Données projet'!$A$165:$I$185,9,0)</f>
        <v>10.8</v>
      </c>
      <c r="DN33" s="12">
        <f t="array" ref="DN33">INDEX(DM:DM,MIN(IF(ISNUMBER(DM33:DM229),ROW(DM33:DM229),"")))</f>
        <v>10.8</v>
      </c>
      <c r="DO33" s="12">
        <f>IF('Données projet'!$A$166&gt;35,DO32+DN33-DW32,IF(A33&lt;'Données projet'!$A$166,$DL$205^A33,IF(A33='Données projet'!$A$166,'Données projet'!$B$166,DO32+DN33-DW32)))</f>
        <v>178.00000000000006</v>
      </c>
      <c r="DP33" s="17">
        <f>DO33*VLOOKUP('Données projet'!$B$14,Paramètres!$A$1:$I$89,3,0)*VLOOKUP('Données projet'!$B$14,Paramètres!$A$1:$I$89,5,0)</f>
        <v>138.84000000000006</v>
      </c>
      <c r="DQ33" s="13">
        <f t="shared" si="43"/>
        <v>36.031137240112955</v>
      </c>
      <c r="DR33" s="20">
        <f t="shared" si="16"/>
        <v>304.56723069319679</v>
      </c>
      <c r="DS33" s="59">
        <f t="shared" si="17"/>
        <v>582.71730967444853</v>
      </c>
      <c r="DT33" s="59">
        <f ca="1">AVERAGE(OFFSET($DS$3,0,0,'Données projet'!$E$14+1,1))-AVERAGE(OFFSET($H$3,0,0,'Données projet'!$E$14+1,1))</f>
        <v>364.34528546733799</v>
      </c>
      <c r="DU33" s="59">
        <f t="shared" si="44"/>
        <v>346.5839763411152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23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118.73159999999994</v>
      </c>
      <c r="EL33" s="13">
        <f t="shared" si="45"/>
        <v>31.378983114681567</v>
      </c>
      <c r="EM33" s="20">
        <f t="shared" si="19"/>
        <v>261.44259892473696</v>
      </c>
      <c r="EN33" s="59">
        <f t="shared" si="20"/>
        <v>539.59267790598869</v>
      </c>
      <c r="EO33" s="59">
        <f ca="1">AVERAGE(OFFSET($EN$3,0,0,'Données projet'!$E$15+1,1))-AVERAGE(OFFSET($H$3,0,0,'Données projet'!$E$15+1,1))</f>
        <v>310.38232870602445</v>
      </c>
      <c r="EP33" s="59">
        <f t="shared" si="46"/>
        <v>303.45934457265537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209</v>
      </c>
      <c r="FC33" s="12">
        <f>VLOOKUP(A33,'Données projet'!$A$217:$I$237,9,0)</f>
        <v>9.4</v>
      </c>
      <c r="FD33" s="12">
        <f t="array" ref="FD33">INDEX(FC:FC,MIN(IF(ISNUMBER(FC33:FC229),ROW(FC33:FC229),"")))</f>
        <v>9.4</v>
      </c>
      <c r="FE33" s="12">
        <f>IF('Données projet'!$A$218&gt;35,FE32+FD33-FM32,IF(A33&lt;'Données projet'!$A$218,$FB$205^A33,IF(A33='Données projet'!$A$218,'Données projet'!$B$218,FE32+FD33-FM32)))</f>
        <v>209.00000000000009</v>
      </c>
      <c r="FF33" s="17">
        <f>FE33*VLOOKUP('Données projet'!$B$16,Paramètres!$A$1:$I$89,3,0)*VLOOKUP('Données projet'!$B$16,Paramètres!$A$1:$I$89,5,0)</f>
        <v>198.88440000000008</v>
      </c>
      <c r="FG33" s="13">
        <f t="shared" si="47"/>
        <v>49.498912851979021</v>
      </c>
      <c r="FH33" s="20">
        <f t="shared" si="22"/>
        <v>432.60093655053032</v>
      </c>
      <c r="FI33" s="59">
        <f t="shared" si="23"/>
        <v>710.75101553178206</v>
      </c>
      <c r="FJ33" s="59">
        <f ca="1">AVERAGE(OFFSET($FI$3,0,0,'Données projet'!$E$16+1,1))-AVERAGE(OFFSET($H$3,0,0,'Données projet'!$E$16+1,1))</f>
        <v>457.706832425622</v>
      </c>
      <c r="FK33" s="59">
        <f t="shared" si="48"/>
        <v>474.61768219844873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177</v>
      </c>
      <c r="FX33" s="12">
        <f>VLOOKUP(A33,'Données projet'!$A$243:$I$263,9,0)</f>
        <v>14.2</v>
      </c>
      <c r="FY33" s="12">
        <f t="array" ref="FY33">INDEX(FX:FX,MIN(IF(ISNUMBER(FX33:FX229),ROW(FX33:FX229),"")))</f>
        <v>14.2</v>
      </c>
      <c r="FZ33" s="12">
        <f>IF('Données projet'!$A$244&gt;35,FZ32+FY33-GH32,IF(A33&lt;'Données projet'!$A$244,$FW$205^A33,IF(A33='Données projet'!$A$244,'Données projet'!$B$244,FZ32+FY33-GH32)))</f>
        <v>176.99999999999991</v>
      </c>
      <c r="GA33" s="17">
        <f>FZ33*VLOOKUP('Données projet'!$B$17,Paramètres!$A$1:$I$89,3,0)*VLOOKUP('Données projet'!$B$17,Paramètres!$A$1:$I$89,5,0)</f>
        <v>171.19439999999994</v>
      </c>
      <c r="GB33" s="13">
        <f t="shared" si="49"/>
        <v>43.35742035290977</v>
      </c>
      <c r="GC33" s="20">
        <f t="shared" si="25"/>
        <v>373.67775378131773</v>
      </c>
      <c r="GD33" s="59">
        <f t="shared" si="26"/>
        <v>651.82783276256941</v>
      </c>
      <c r="GE33" s="59">
        <f ca="1">AVERAGE(OFFSET($GD$3,0,0,'Données projet'!$E$17+1,1))-AVERAGE(OFFSET($H$3,0,0,'Données projet'!$E$17+1,1))</f>
        <v>428.11167311086814</v>
      </c>
      <c r="GF33" s="59">
        <f t="shared" si="50"/>
        <v>415.69449942923609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35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1.1368683772161603E-13</v>
      </c>
      <c r="GV33" s="17">
        <f>GU33*VLOOKUP('Données projet'!$B$18,Paramètres!$A$1:$I$89,3,0)*VLOOKUP('Données projet'!$B$18,Paramètres!$A$1:$I$89,5,0)</f>
        <v>6.5087988332379613E-14</v>
      </c>
      <c r="GW33" s="13">
        <f t="shared" si="51"/>
        <v>1.0279249680474958E-12</v>
      </c>
      <c r="GX33" s="20">
        <f t="shared" si="28"/>
        <v>1.9036642323616162E-12</v>
      </c>
      <c r="GY33" s="59">
        <f t="shared" si="29"/>
        <v>278.15007898125361</v>
      </c>
      <c r="GZ33" s="59">
        <f ca="1">AVERAGE(OFFSET($GY$3,0,0,'Données projet'!$E$18+1,1))-AVERAGE(OFFSET($H$3,0,0,'Données projet'!$E$18+1,1))</f>
        <v>249.88816678272056</v>
      </c>
      <c r="HA33" s="59">
        <f t="shared" si="52"/>
        <v>432.10802787437319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83.052087665620121</v>
      </c>
      <c r="HH33" s="21">
        <f>EXP(-LN(2)/25)*HH32+(1-EXP(-LN(2)/25))/(LN(2)/25)*Calculateur!HC33*Calculateur!HE33*VLOOKUP('Données projet'!$B$18,Paramètres!$A$1:$I$89,3,0)*0.475*44/12</f>
        <v>21.514126024109228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104.56621368972935</v>
      </c>
    </row>
    <row r="34" spans="1:218" x14ac:dyDescent="0.3">
      <c r="A34" s="10">
        <f t="shared" si="31"/>
        <v>31</v>
      </c>
      <c r="B34" s="71">
        <f>'Scénario référence'!$B$16*5+'Scénario référence'!$B$17*0+'Scénario référence'!$B$18*5</f>
        <v>1.4000000000000001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5.1333333333333337</v>
      </c>
      <c r="H34" s="65">
        <f t="shared" si="1"/>
        <v>236.13333333333335</v>
      </c>
      <c r="I34" s="6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</v>
      </c>
      <c r="N34" s="13">
        <f>IF('Données projet'!$A$36&gt;35,N33+M34-V33,IF(A34&lt;'Données projet'!$A$36,$K$205^A34,IF(A34='Données projet'!$A$36,'Données projet'!$B$36,N33+M34-V33)))</f>
        <v>154.79999999999993</v>
      </c>
      <c r="O34" s="13">
        <f>N34*VLOOKUP('Données projet'!$B$9,Paramètres!$A$1:$I$89,3,0)*VLOOKUP('Données projet'!$B$9,Paramètres!$A$1:$I$89,5,0)</f>
        <v>123.15887999999995</v>
      </c>
      <c r="P34" s="13">
        <f t="shared" si="33"/>
        <v>32.410638331814873</v>
      </c>
      <c r="Q34" s="20">
        <f t="shared" si="2"/>
        <v>270.95024442791083</v>
      </c>
      <c r="R34" s="59">
        <f t="shared" si="0"/>
        <v>549.3637189274998</v>
      </c>
      <c r="S34" s="59">
        <f ca="1">AVERAGE(OFFSET($R$3,0,0,'Données projet'!$E$9+1,1))-AVERAGE(OFFSET($H$3,0,0,'Données projet'!$E$9+1,1))</f>
        <v>360.06385535620069</v>
      </c>
      <c r="T34" s="59">
        <f t="shared" si="34"/>
        <v>350.82516032456408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93.91824000000004</v>
      </c>
      <c r="AK34" s="13">
        <f t="shared" si="35"/>
        <v>25.507853654186022</v>
      </c>
      <c r="AL34" s="20">
        <f t="shared" si="4"/>
        <v>208.00044644770739</v>
      </c>
      <c r="AM34" s="59">
        <f t="shared" si="5"/>
        <v>486.41392094729633</v>
      </c>
      <c r="AN34" s="59">
        <f ca="1">AVERAGE(OFFSET($AM$3,0,0,'Données projet'!$E$10+1,1))-AVERAGE(OFFSET($H$3,0,0,'Données projet'!$E$10+1,1))</f>
        <v>448.65237942538027</v>
      </c>
      <c r="AO34" s="59">
        <f t="shared" si="36"/>
        <v>283.56749129825107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98.200000000000017</v>
      </c>
      <c r="BE34" s="13">
        <f>BD34*VLOOKUP('Données projet'!$B$11,Paramètres!$A$1:$I$89,3,0)*VLOOKUP('Données projet'!$B$11,Paramètres!$A$1:$I$89,5,0)</f>
        <v>84.255600000000015</v>
      </c>
      <c r="BF34" s="13">
        <f t="shared" si="37"/>
        <v>23.174541098743855</v>
      </c>
      <c r="BG34" s="20">
        <f t="shared" si="7"/>
        <v>187.10749574697891</v>
      </c>
      <c r="BH34" s="59">
        <f t="shared" si="8"/>
        <v>465.5209702465678</v>
      </c>
      <c r="BI34" s="59">
        <f ca="1">AVERAGE(OFFSET($BH$3,0,0,'Données projet'!$E$11+1,1))-AVERAGE(OFFSET($H$3,0,0,'Données projet'!$E$11+1,1))</f>
        <v>456.76871853389395</v>
      </c>
      <c r="BJ34" s="59">
        <f t="shared" si="38"/>
        <v>262.12425810289176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5.5</v>
      </c>
      <c r="BY34" s="12">
        <f>IF('Données projet'!$A$114&gt;35,BY33+BX34-CG33,IF(A34&lt;'Données projet'!$A$114,$BV$205^A34,IF(A34='Données projet'!$A$114,'Données projet'!$B$114,BY33+BX34-CG33)))</f>
        <v>114</v>
      </c>
      <c r="BZ34" s="13">
        <f>BY34*VLOOKUP('Données projet'!$B$12,Paramètres!$A$1:$I$89,3,0)*VLOOKUP('Données projet'!$B$12,Paramètres!$A$1:$I$89,5,0)</f>
        <v>83.584800000000001</v>
      </c>
      <c r="CA34" s="13">
        <f t="shared" si="39"/>
        <v>23.011437736237617</v>
      </c>
      <c r="CB34" s="20">
        <f t="shared" si="10"/>
        <v>185.65511405728049</v>
      </c>
      <c r="CC34" s="59">
        <f t="shared" si="11"/>
        <v>464.06858855686937</v>
      </c>
      <c r="CD34" s="59">
        <f ca="1">AVERAGE(OFFSET($CC$3,0,0,'Données projet'!$E$12+1,1))-AVERAGE(OFFSET($H$3,0,0,'Données projet'!$E$12+1,1))</f>
        <v>242.65851607945316</v>
      </c>
      <c r="CE34" s="59">
        <f t="shared" si="40"/>
        <v>218.9349999985487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12.2</v>
      </c>
      <c r="CT34" s="12">
        <f>IF('Données projet'!$A$140&gt;35,CT33+CS34-DB33,IF(A34&lt;'Données projet'!$A$140,$CQ$205^A34,IF(A34='Données projet'!$A$140,'Données projet'!$B$140,CT33+CS34-DB33)))</f>
        <v>152.20000000000002</v>
      </c>
      <c r="CU34" s="17">
        <f>CT34*VLOOKUP('Données projet'!$B$13,Paramètres!$A$1:$I$89,3,0)*VLOOKUP('Données projet'!$B$13,Paramètres!$A$1:$I$89,5,0)</f>
        <v>132.96192000000002</v>
      </c>
      <c r="CV34" s="13">
        <f t="shared" si="41"/>
        <v>34.679872132599144</v>
      </c>
      <c r="CW34" s="20">
        <f t="shared" si="13"/>
        <v>291.97612129761018</v>
      </c>
      <c r="CX34" s="59">
        <f t="shared" si="14"/>
        <v>570.38959579719904</v>
      </c>
      <c r="CY34" s="59">
        <f ca="1">AVERAGE(OFFSET($CX$3,0,0,'Données projet'!$E$13+1,1))-AVERAGE(OFFSET($H$3,0,0,'Données projet'!$E$13+1,1))</f>
        <v>326.9460696675867</v>
      </c>
      <c r="CZ34" s="59">
        <f t="shared" si="42"/>
        <v>393.4020374592568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11.6</v>
      </c>
      <c r="DO34" s="12">
        <f>IF('Données projet'!$A$166&gt;35,DO33+DN34-DW33,IF(A34&lt;'Données projet'!$A$166,$DL$205^A34,IF(A34='Données projet'!$A$166,'Données projet'!$B$166,DO33+DN34-DW33)))</f>
        <v>166.60000000000005</v>
      </c>
      <c r="DP34" s="17">
        <f>DO34*VLOOKUP('Données projet'!$B$14,Paramètres!$A$1:$I$89,3,0)*VLOOKUP('Données projet'!$B$14,Paramètres!$A$1:$I$89,5,0)</f>
        <v>129.94800000000004</v>
      </c>
      <c r="DQ34" s="13">
        <f t="shared" si="43"/>
        <v>33.984343379340828</v>
      </c>
      <c r="DR34" s="20">
        <f t="shared" si="16"/>
        <v>285.51549805235203</v>
      </c>
      <c r="DS34" s="59">
        <f t="shared" si="17"/>
        <v>563.92897255194089</v>
      </c>
      <c r="DT34" s="59">
        <f ca="1">AVERAGE(OFFSET($DS$3,0,0,'Données projet'!$E$14+1,1))-AVERAGE(OFFSET($H$3,0,0,'Données projet'!$E$14+1,1))</f>
        <v>364.34528546733799</v>
      </c>
      <c r="DU34" s="59">
        <f t="shared" si="44"/>
        <v>346.5839763411152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103.83983999999995</v>
      </c>
      <c r="EL34" s="13">
        <f t="shared" si="45"/>
        <v>27.874770752794774</v>
      </c>
      <c r="EM34" s="20">
        <f t="shared" si="19"/>
        <v>229.40294706111749</v>
      </c>
      <c r="EN34" s="59">
        <f t="shared" si="20"/>
        <v>507.81642156070643</v>
      </c>
      <c r="EO34" s="59">
        <f ca="1">AVERAGE(OFFSET($EN$3,0,0,'Données projet'!$E$15+1,1))-AVERAGE(OFFSET($H$3,0,0,'Données projet'!$E$15+1,1))</f>
        <v>310.38232870602445</v>
      </c>
      <c r="EP34" s="59">
        <f t="shared" si="46"/>
        <v>303.45934457265537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8.1999999999999993</v>
      </c>
      <c r="FE34" s="12">
        <f>IF('Données projet'!$A$218&gt;35,FE33+FD34-FM33,IF(A34&lt;'Données projet'!$A$218,$FB$205^A34,IF(A34='Données projet'!$A$218,'Données projet'!$B$218,FE33+FD34-FM33)))</f>
        <v>189.20000000000007</v>
      </c>
      <c r="FF34" s="17">
        <f>FE34*VLOOKUP('Données projet'!$B$16,Paramètres!$A$1:$I$89,3,0)*VLOOKUP('Données projet'!$B$16,Paramètres!$A$1:$I$89,5,0)</f>
        <v>180.04272000000009</v>
      </c>
      <c r="FG34" s="13">
        <f t="shared" si="47"/>
        <v>45.331690448223775</v>
      </c>
      <c r="FH34" s="20">
        <f t="shared" si="22"/>
        <v>392.52709819732326</v>
      </c>
      <c r="FI34" s="59">
        <f t="shared" si="23"/>
        <v>670.94057269691211</v>
      </c>
      <c r="FJ34" s="59">
        <f ca="1">AVERAGE(OFFSET($FI$3,0,0,'Données projet'!$E$16+1,1))-AVERAGE(OFFSET($H$3,0,0,'Données projet'!$E$16+1,1))</f>
        <v>457.706832425622</v>
      </c>
      <c r="FK34" s="59">
        <f t="shared" si="48"/>
        <v>474.61768219844873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12.8</v>
      </c>
      <c r="FZ34" s="12">
        <f>IF('Données projet'!$A$244&gt;35,FZ33+FY34-GH33,IF(A34&lt;'Données projet'!$A$244,$FW$205^A34,IF(A34='Données projet'!$A$244,'Données projet'!$B$244,FZ33+FY34-GH33)))</f>
        <v>154.79999999999993</v>
      </c>
      <c r="GA34" s="17">
        <f>FZ34*VLOOKUP('Données projet'!$B$17,Paramètres!$A$1:$I$89,3,0)*VLOOKUP('Données projet'!$B$17,Paramètres!$A$1:$I$89,5,0)</f>
        <v>149.72255999999993</v>
      </c>
      <c r="GB34" s="13">
        <f t="shared" si="49"/>
        <v>38.515529593578471</v>
      </c>
      <c r="GC34" s="20">
        <f t="shared" si="25"/>
        <v>327.84800604214905</v>
      </c>
      <c r="GD34" s="59">
        <f t="shared" si="26"/>
        <v>606.26148054173791</v>
      </c>
      <c r="GE34" s="59">
        <f ca="1">AVERAGE(OFFSET($GD$3,0,0,'Données projet'!$E$17+1,1))-AVERAGE(OFFSET($H$3,0,0,'Données projet'!$E$17+1,1))</f>
        <v>428.11167311086814</v>
      </c>
      <c r="GF34" s="59">
        <f t="shared" si="50"/>
        <v>415.69449942923609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1.1368683772161603E-13</v>
      </c>
      <c r="GV34" s="17">
        <f>GU34*VLOOKUP('Données projet'!$B$18,Paramètres!$A$1:$I$89,3,0)*VLOOKUP('Données projet'!$B$18,Paramètres!$A$1:$I$89,5,0)</f>
        <v>6.5087988332379613E-14</v>
      </c>
      <c r="GW34" s="13">
        <f t="shared" si="51"/>
        <v>1.0279249680474958E-12</v>
      </c>
      <c r="GX34" s="20">
        <f t="shared" si="28"/>
        <v>1.9036642323616162E-12</v>
      </c>
      <c r="GY34" s="59">
        <f t="shared" si="29"/>
        <v>278.41347449959079</v>
      </c>
      <c r="GZ34" s="59">
        <f ca="1">AVERAGE(OFFSET($GY$3,0,0,'Données projet'!$E$18+1,1))-AVERAGE(OFFSET($H$3,0,0,'Données projet'!$E$18+1,1))</f>
        <v>249.88816678272056</v>
      </c>
      <c r="HA34" s="59">
        <f t="shared" si="52"/>
        <v>432.10802787437319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81.423486883268851</v>
      </c>
      <c r="HH34" s="21">
        <f>EXP(-LN(2)/25)*HH33+(1-EXP(-LN(2)/25))/(LN(2)/25)*Calculateur!HC34*Calculateur!HE34*VLOOKUP('Données projet'!$B$18,Paramètres!$A$1:$I$89,3,0)*0.475*44/12</f>
        <v>20.925821116601245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102.34930799987009</v>
      </c>
    </row>
    <row r="35" spans="1:218" x14ac:dyDescent="0.3">
      <c r="A35" s="10">
        <f t="shared" si="31"/>
        <v>32</v>
      </c>
      <c r="B35" s="71">
        <f>'Scénario référence'!$B$16*5+'Scénario référence'!$B$17*0+'Scénario référence'!$B$18*5</f>
        <v>1.4000000000000001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5.1333333333333337</v>
      </c>
      <c r="H35" s="65">
        <f t="shared" si="1"/>
        <v>236.13333333333335</v>
      </c>
      <c r="I35" s="6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</v>
      </c>
      <c r="N35" s="13">
        <f>IF('Données projet'!$A$36&gt;35,N34+M35-V34,IF(A35&lt;'Données projet'!$A$36,$K$205^A35,IF(A35='Données projet'!$A$36,'Données projet'!$B$36,N34+M35-V34)))</f>
        <v>167.59999999999994</v>
      </c>
      <c r="O35" s="13">
        <f>N35*VLOOKUP('Données projet'!$B$9,Paramètres!$A$1:$I$89,3,0)*VLOOKUP('Données projet'!$B$9,Paramètres!$A$1:$I$89,5,0)</f>
        <v>133.34255999999996</v>
      </c>
      <c r="P35" s="13">
        <f t="shared" si="33"/>
        <v>34.767581918978188</v>
      </c>
      <c r="Q35" s="20">
        <f t="shared" ref="Q35:Q66" si="53">(O35+P35)*0.475*44/12</f>
        <v>292.7918305088869</v>
      </c>
      <c r="R35" s="59">
        <f t="shared" si="0"/>
        <v>571.46413120343402</v>
      </c>
      <c r="S35" s="59">
        <f ca="1">AVERAGE(OFFSET($R$3,0,0,'Données projet'!$E$9+1,1))-AVERAGE(OFFSET($H$3,0,0,'Données projet'!$E$9+1,1))</f>
        <v>360.06385535620069</v>
      </c>
      <c r="T35" s="59">
        <f t="shared" si="34"/>
        <v>350.82516032456408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103.69008000000004</v>
      </c>
      <c r="AK35" s="13">
        <f t="shared" si="35"/>
        <v>27.83924565319537</v>
      </c>
      <c r="AL35" s="20">
        <f t="shared" si="4"/>
        <v>229.08024217931529</v>
      </c>
      <c r="AM35" s="59">
        <f t="shared" si="5"/>
        <v>507.75254287386241</v>
      </c>
      <c r="AN35" s="59">
        <f ca="1">AVERAGE(OFFSET($AM$3,0,0,'Données projet'!$E$10+1,1))-AVERAGE(OFFSET($H$3,0,0,'Données projet'!$E$10+1,1))</f>
        <v>448.65237942538027</v>
      </c>
      <c r="AO35" s="59">
        <f t="shared" si="36"/>
        <v>283.56749129825107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108.40000000000002</v>
      </c>
      <c r="BE35" s="13">
        <f>BD35*VLOOKUP('Données projet'!$B$11,Paramètres!$A$1:$I$89,3,0)*VLOOKUP('Données projet'!$B$11,Paramètres!$A$1:$I$89,5,0)</f>
        <v>93.007200000000026</v>
      </c>
      <c r="BF35" s="13">
        <f t="shared" si="37"/>
        <v>25.289096064617418</v>
      </c>
      <c r="BG35" s="20">
        <f t="shared" si="7"/>
        <v>206.03271564587536</v>
      </c>
      <c r="BH35" s="59">
        <f t="shared" si="8"/>
        <v>484.7050163404225</v>
      </c>
      <c r="BI35" s="59">
        <f ca="1">AVERAGE(OFFSET($BH$3,0,0,'Données projet'!$E$11+1,1))-AVERAGE(OFFSET($H$3,0,0,'Données projet'!$E$11+1,1))</f>
        <v>456.76871853389395</v>
      </c>
      <c r="BJ35" s="59">
        <f t="shared" si="38"/>
        <v>262.12425810289176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5.5</v>
      </c>
      <c r="BY35" s="12">
        <f>IF('Données projet'!$A$114&gt;35,BY34+BX35-CG34,IF(A35&lt;'Données projet'!$A$114,$BV$205^A35,IF(A35='Données projet'!$A$114,'Données projet'!$B$114,BY34+BX35-CG34)))</f>
        <v>119.5</v>
      </c>
      <c r="BZ35" s="13">
        <f>BY35*VLOOKUP('Données projet'!$B$12,Paramètres!$A$1:$I$89,3,0)*VLOOKUP('Données projet'!$B$12,Paramètres!$A$1:$I$89,5,0)</f>
        <v>87.617400000000004</v>
      </c>
      <c r="CA35" s="13">
        <f t="shared" si="39"/>
        <v>23.989705046942845</v>
      </c>
      <c r="CB35" s="20">
        <f t="shared" si="10"/>
        <v>194.38237462342545</v>
      </c>
      <c r="CC35" s="59">
        <f t="shared" si="11"/>
        <v>473.05467531797257</v>
      </c>
      <c r="CD35" s="59">
        <f ca="1">AVERAGE(OFFSET($CC$3,0,0,'Données projet'!$E$12+1,1))-AVERAGE(OFFSET($H$3,0,0,'Données projet'!$E$12+1,1))</f>
        <v>242.65851607945316</v>
      </c>
      <c r="CE35" s="59">
        <f t="shared" si="40"/>
        <v>218.9349999985487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12.2</v>
      </c>
      <c r="CT35" s="12">
        <f>IF('Données projet'!$A$140&gt;35,CT34+CS35-DB34,IF(A35&lt;'Données projet'!$A$140,$CQ$205^A35,IF(A35='Données projet'!$A$140,'Données projet'!$B$140,CT34+CS35-DB34)))</f>
        <v>164.4</v>
      </c>
      <c r="CU35" s="17">
        <f>CT35*VLOOKUP('Données projet'!$B$13,Paramètres!$A$1:$I$89,3,0)*VLOOKUP('Données projet'!$B$13,Paramètres!$A$1:$I$89,5,0)</f>
        <v>143.61984000000001</v>
      </c>
      <c r="CV35" s="13">
        <f t="shared" si="41"/>
        <v>37.125023974706046</v>
      </c>
      <c r="CW35" s="20">
        <f t="shared" si="13"/>
        <v>314.79730475594641</v>
      </c>
      <c r="CX35" s="59">
        <f t="shared" si="14"/>
        <v>593.46960545049353</v>
      </c>
      <c r="CY35" s="59">
        <f ca="1">AVERAGE(OFFSET($CX$3,0,0,'Données projet'!$E$13+1,1))-AVERAGE(OFFSET($H$3,0,0,'Données projet'!$E$13+1,1))</f>
        <v>326.9460696675867</v>
      </c>
      <c r="CZ35" s="59">
        <f t="shared" si="42"/>
        <v>393.4020374592568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11.6</v>
      </c>
      <c r="DO35" s="12">
        <f>IF('Données projet'!$A$166&gt;35,DO34+DN35-DW34,IF(A35&lt;'Données projet'!$A$166,$DL$205^A35,IF(A35='Données projet'!$A$166,'Données projet'!$B$166,DO34+DN35-DW34)))</f>
        <v>178.20000000000005</v>
      </c>
      <c r="DP35" s="17">
        <f>DO35*VLOOKUP('Données projet'!$B$14,Paramètres!$A$1:$I$89,3,0)*VLOOKUP('Données projet'!$B$14,Paramètres!$A$1:$I$89,5,0)</f>
        <v>138.99600000000004</v>
      </c>
      <c r="DQ35" s="13">
        <f t="shared" si="43"/>
        <v>36.066906938767758</v>
      </c>
      <c r="DR35" s="20">
        <f t="shared" si="16"/>
        <v>304.90122958502059</v>
      </c>
      <c r="DS35" s="59">
        <f t="shared" si="17"/>
        <v>583.57353027956765</v>
      </c>
      <c r="DT35" s="59">
        <f ca="1">AVERAGE(OFFSET($DS$3,0,0,'Données projet'!$E$14+1,1))-AVERAGE(OFFSET($H$3,0,0,'Données projet'!$E$14+1,1))</f>
        <v>364.34528546733799</v>
      </c>
      <c r="DU35" s="59">
        <f t="shared" si="44"/>
        <v>346.5839763411152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112.42607999999996</v>
      </c>
      <c r="EL35" s="13">
        <f t="shared" si="45"/>
        <v>29.901860176237435</v>
      </c>
      <c r="EM35" s="20">
        <f t="shared" si="19"/>
        <v>247.88782914028013</v>
      </c>
      <c r="EN35" s="59">
        <f t="shared" si="20"/>
        <v>526.56012983482719</v>
      </c>
      <c r="EO35" s="59">
        <f ca="1">AVERAGE(OFFSET($EN$3,0,0,'Données projet'!$E$15+1,1))-AVERAGE(OFFSET($H$3,0,0,'Données projet'!$E$15+1,1))</f>
        <v>310.38232870602445</v>
      </c>
      <c r="EP35" s="59">
        <f t="shared" si="46"/>
        <v>303.45934457265537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8.1999999999999993</v>
      </c>
      <c r="FE35" s="12">
        <f>IF('Données projet'!$A$218&gt;35,FE34+FD35-FM34,IF(A35&lt;'Données projet'!$A$218,$FB$205^A35,IF(A35='Données projet'!$A$218,'Données projet'!$B$218,FE34+FD35-FM34)))</f>
        <v>197.40000000000006</v>
      </c>
      <c r="FF35" s="17">
        <f>FE35*VLOOKUP('Données projet'!$B$16,Paramètres!$A$1:$I$89,3,0)*VLOOKUP('Données projet'!$B$16,Paramètres!$A$1:$I$89,5,0)</f>
        <v>187.84584000000007</v>
      </c>
      <c r="FG35" s="13">
        <f t="shared" si="47"/>
        <v>47.063383068685603</v>
      </c>
      <c r="FH35" s="20">
        <f t="shared" si="22"/>
        <v>409.13356351129414</v>
      </c>
      <c r="FI35" s="59">
        <f t="shared" si="23"/>
        <v>687.80586420584132</v>
      </c>
      <c r="FJ35" s="59">
        <f ca="1">AVERAGE(OFFSET($FI$3,0,0,'Données projet'!$E$16+1,1))-AVERAGE(OFFSET($H$3,0,0,'Données projet'!$E$16+1,1))</f>
        <v>457.706832425622</v>
      </c>
      <c r="FK35" s="59">
        <f t="shared" si="48"/>
        <v>474.61768219844873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12.8</v>
      </c>
      <c r="FZ35" s="12">
        <f>IF('Données projet'!$A$244&gt;35,FZ34+FY35-GH34,IF(A35&lt;'Données projet'!$A$244,$FW$205^A35,IF(A35='Données projet'!$A$244,'Données projet'!$B$244,FZ34+FY35-GH34)))</f>
        <v>167.59999999999994</v>
      </c>
      <c r="GA35" s="17">
        <f>FZ35*VLOOKUP('Données projet'!$B$17,Paramètres!$A$1:$I$89,3,0)*VLOOKUP('Données projet'!$B$17,Paramètres!$A$1:$I$89,5,0)</f>
        <v>162.10271999999995</v>
      </c>
      <c r="GB35" s="13">
        <f t="shared" si="49"/>
        <v>41.316428778358635</v>
      </c>
      <c r="GC35" s="20">
        <f t="shared" si="25"/>
        <v>354.28835078897447</v>
      </c>
      <c r="GD35" s="59">
        <f t="shared" si="26"/>
        <v>632.96065148352159</v>
      </c>
      <c r="GE35" s="59">
        <f ca="1">AVERAGE(OFFSET($GD$3,0,0,'Données projet'!$E$17+1,1))-AVERAGE(OFFSET($H$3,0,0,'Données projet'!$E$17+1,1))</f>
        <v>428.11167311086814</v>
      </c>
      <c r="GF35" s="59">
        <f t="shared" si="50"/>
        <v>415.69449942923609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1.1368683772161603E-13</v>
      </c>
      <c r="GV35" s="17">
        <f>GU35*VLOOKUP('Données projet'!$B$18,Paramètres!$A$1:$I$89,3,0)*VLOOKUP('Données projet'!$B$18,Paramètres!$A$1:$I$89,5,0)</f>
        <v>6.5087988332379613E-14</v>
      </c>
      <c r="GW35" s="13">
        <f t="shared" si="51"/>
        <v>1.0279249680474958E-12</v>
      </c>
      <c r="GX35" s="20">
        <f t="shared" si="28"/>
        <v>1.9036642323616162E-12</v>
      </c>
      <c r="GY35" s="59">
        <f t="shared" si="29"/>
        <v>278.67230069454899</v>
      </c>
      <c r="GZ35" s="59">
        <f ca="1">AVERAGE(OFFSET($GY$3,0,0,'Données projet'!$E$18+1,1))-AVERAGE(OFFSET($H$3,0,0,'Données projet'!$E$18+1,1))</f>
        <v>249.88816678272056</v>
      </c>
      <c r="HA35" s="59">
        <f t="shared" si="52"/>
        <v>432.10802787437319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79.826821968911091</v>
      </c>
      <c r="HH35" s="21">
        <f>EXP(-LN(2)/25)*HH34+(1-EXP(-LN(2)/25))/(LN(2)/25)*Calculateur!HC35*Calculateur!HE35*VLOOKUP('Données projet'!$B$18,Paramètres!$A$1:$I$89,3,0)*0.475*44/12</f>
        <v>20.353603437726679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100.18042540663777</v>
      </c>
    </row>
    <row r="36" spans="1:218" x14ac:dyDescent="0.3">
      <c r="A36" s="10">
        <f t="shared" si="31"/>
        <v>33</v>
      </c>
      <c r="B36" s="71">
        <f>'Scénario référence'!$B$16*5+'Scénario référence'!$B$17*0+'Scénario référence'!$B$18*5</f>
        <v>1.4000000000000001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5.1333333333333337</v>
      </c>
      <c r="H36" s="65">
        <f t="shared" si="1"/>
        <v>236.13333333333335</v>
      </c>
      <c r="I36" s="6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</v>
      </c>
      <c r="N36" s="13">
        <f>IF('Données projet'!$A$36&gt;35,N35+M36-V35,IF(A36&lt;'Données projet'!$A$36,$K$205^A36,IF(A36='Données projet'!$A$36,'Données projet'!$B$36,N35+M36-V35)))</f>
        <v>180.39999999999995</v>
      </c>
      <c r="O36" s="13">
        <f>N36*VLOOKUP('Données projet'!$B$9,Paramètres!$A$1:$I$89,3,0)*VLOOKUP('Données projet'!$B$9,Paramètres!$A$1:$I$89,5,0)</f>
        <v>143.52623999999997</v>
      </c>
      <c r="P36" s="13">
        <f t="shared" si="33"/>
        <v>37.103644337236275</v>
      </c>
      <c r="Q36" s="20">
        <f t="shared" si="53"/>
        <v>314.59704855401981</v>
      </c>
      <c r="R36" s="59">
        <f t="shared" si="0"/>
        <v>593.52368538769133</v>
      </c>
      <c r="S36" s="59">
        <f ca="1">AVERAGE(OFFSET($R$3,0,0,'Données projet'!$E$9+1,1))-AVERAGE(OFFSET($H$3,0,0,'Données projet'!$E$9+1,1))</f>
        <v>360.06385535620069</v>
      </c>
      <c r="T36" s="59">
        <f t="shared" si="34"/>
        <v>350.82516032456408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113.46192000000002</v>
      </c>
      <c r="AK36" s="13">
        <f t="shared" si="35"/>
        <v>30.145163126535493</v>
      </c>
      <c r="AL36" s="20">
        <f t="shared" si="4"/>
        <v>250.11566977871598</v>
      </c>
      <c r="AM36" s="59">
        <f t="shared" si="5"/>
        <v>529.04230661238739</v>
      </c>
      <c r="AN36" s="59">
        <f ca="1">AVERAGE(OFFSET($AM$3,0,0,'Données projet'!$E$10+1,1))-AVERAGE(OFFSET($H$3,0,0,'Données projet'!$E$10+1,1))</f>
        <v>448.65237942538027</v>
      </c>
      <c r="AO36" s="59">
        <f t="shared" si="36"/>
        <v>283.56749129825107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118.60000000000002</v>
      </c>
      <c r="BE36" s="13">
        <f>BD36*VLOOKUP('Données projet'!$B$11,Paramètres!$A$1:$I$89,3,0)*VLOOKUP('Données projet'!$B$11,Paramètres!$A$1:$I$89,5,0)</f>
        <v>101.75880000000004</v>
      </c>
      <c r="BF36" s="13">
        <f t="shared" si="37"/>
        <v>27.380581268956313</v>
      </c>
      <c r="BG36" s="20">
        <f t="shared" si="7"/>
        <v>224.91775571009896</v>
      </c>
      <c r="BH36" s="59">
        <f t="shared" si="8"/>
        <v>503.84439254377043</v>
      </c>
      <c r="BI36" s="59">
        <f ca="1">AVERAGE(OFFSET($BH$3,0,0,'Données projet'!$E$11+1,1))-AVERAGE(OFFSET($H$3,0,0,'Données projet'!$E$11+1,1))</f>
        <v>456.76871853389395</v>
      </c>
      <c r="BJ36" s="59">
        <f t="shared" si="38"/>
        <v>262.12425810289176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5.5</v>
      </c>
      <c r="BY36" s="12">
        <f>IF('Données projet'!$A$114&gt;35,BY35+BX36-CG35,IF(A36&lt;'Données projet'!$A$114,$BV$205^A36,IF(A36='Données projet'!$A$114,'Données projet'!$B$114,BY35+BX36-CG35)))</f>
        <v>125</v>
      </c>
      <c r="BZ36" s="13">
        <f>BY36*VLOOKUP('Données projet'!$B$12,Paramètres!$A$1:$I$89,3,0)*VLOOKUP('Données projet'!$B$12,Paramètres!$A$1:$I$89,5,0)</f>
        <v>91.65</v>
      </c>
      <c r="CA36" s="13">
        <f t="shared" si="39"/>
        <v>24.962743528770854</v>
      </c>
      <c r="CB36" s="20">
        <f t="shared" si="10"/>
        <v>203.10052831260927</v>
      </c>
      <c r="CC36" s="59">
        <f t="shared" si="11"/>
        <v>482.02716514628071</v>
      </c>
      <c r="CD36" s="59">
        <f ca="1">AVERAGE(OFFSET($CC$3,0,0,'Données projet'!$E$12+1,1))-AVERAGE(OFFSET($H$3,0,0,'Données projet'!$E$12+1,1))</f>
        <v>242.65851607945316</v>
      </c>
      <c r="CE36" s="59">
        <f t="shared" si="40"/>
        <v>218.9349999985487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12.2</v>
      </c>
      <c r="CT36" s="12">
        <f>IF('Données projet'!$A$140&gt;35,CT35+CS36-DB35,IF(A36&lt;'Données projet'!$A$140,$CQ$205^A36,IF(A36='Données projet'!$A$140,'Données projet'!$B$140,CT35+CS36-DB35)))</f>
        <v>176.6</v>
      </c>
      <c r="CU36" s="17">
        <f>CT36*VLOOKUP('Données projet'!$B$13,Paramètres!$A$1:$I$89,3,0)*VLOOKUP('Données projet'!$B$13,Paramètres!$A$1:$I$89,5,0)</f>
        <v>154.27776</v>
      </c>
      <c r="CV36" s="13">
        <f t="shared" si="41"/>
        <v>39.549125277353333</v>
      </c>
      <c r="CW36" s="20">
        <f t="shared" si="13"/>
        <v>337.58182519139035</v>
      </c>
      <c r="CX36" s="59">
        <f t="shared" si="14"/>
        <v>616.50846202506182</v>
      </c>
      <c r="CY36" s="59">
        <f ca="1">AVERAGE(OFFSET($CX$3,0,0,'Données projet'!$E$13+1,1))-AVERAGE(OFFSET($H$3,0,0,'Données projet'!$E$13+1,1))</f>
        <v>326.9460696675867</v>
      </c>
      <c r="CZ36" s="59">
        <f t="shared" si="42"/>
        <v>393.4020374592568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11.6</v>
      </c>
      <c r="DO36" s="12">
        <f>IF('Données projet'!$A$166&gt;35,DO35+DN36-DW35,IF(A36&lt;'Données projet'!$A$166,$DL$205^A36,IF(A36='Données projet'!$A$166,'Données projet'!$B$166,DO35+DN36-DW35)))</f>
        <v>189.80000000000004</v>
      </c>
      <c r="DP36" s="17">
        <f>DO36*VLOOKUP('Données projet'!$B$14,Paramètres!$A$1:$I$89,3,0)*VLOOKUP('Données projet'!$B$14,Paramètres!$A$1:$I$89,5,0)</f>
        <v>148.04400000000004</v>
      </c>
      <c r="DQ36" s="13">
        <f t="shared" si="43"/>
        <v>38.133738604016052</v>
      </c>
      <c r="DR36" s="20">
        <f t="shared" si="16"/>
        <v>324.25956140199474</v>
      </c>
      <c r="DS36" s="59">
        <f t="shared" si="17"/>
        <v>603.18619823566621</v>
      </c>
      <c r="DT36" s="59">
        <f ca="1">AVERAGE(OFFSET($DS$3,0,0,'Données projet'!$E$14+1,1))-AVERAGE(OFFSET($H$3,0,0,'Données projet'!$E$14+1,1))</f>
        <v>364.34528546733799</v>
      </c>
      <c r="DU36" s="59">
        <f t="shared" si="44"/>
        <v>346.5839763411152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121.01231999999996</v>
      </c>
      <c r="EL36" s="13">
        <f t="shared" si="45"/>
        <v>31.910990749554291</v>
      </c>
      <c r="EM36" s="20">
        <f t="shared" si="19"/>
        <v>266.34143288880699</v>
      </c>
      <c r="EN36" s="59">
        <f t="shared" si="20"/>
        <v>545.26806972247846</v>
      </c>
      <c r="EO36" s="59">
        <f ca="1">AVERAGE(OFFSET($EN$3,0,0,'Données projet'!$E$15+1,1))-AVERAGE(OFFSET($H$3,0,0,'Données projet'!$E$15+1,1))</f>
        <v>310.38232870602445</v>
      </c>
      <c r="EP36" s="59">
        <f t="shared" si="46"/>
        <v>303.45934457265537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8.1999999999999993</v>
      </c>
      <c r="FE36" s="12">
        <f>IF('Données projet'!$A$218&gt;35,FE35+FD36-FM35,IF(A36&lt;'Données projet'!$A$218,$FB$205^A36,IF(A36='Données projet'!$A$218,'Données projet'!$B$218,FE35+FD36-FM35)))</f>
        <v>205.60000000000005</v>
      </c>
      <c r="FF36" s="17">
        <f>FE36*VLOOKUP('Données projet'!$B$16,Paramètres!$A$1:$I$89,3,0)*VLOOKUP('Données projet'!$B$16,Paramètres!$A$1:$I$89,5,0)</f>
        <v>195.64896000000005</v>
      </c>
      <c r="FG36" s="13">
        <f t="shared" si="47"/>
        <v>48.78672018080816</v>
      </c>
      <c r="FH36" s="20">
        <f t="shared" si="22"/>
        <v>425.72547631490761</v>
      </c>
      <c r="FI36" s="59">
        <f t="shared" si="23"/>
        <v>704.65211314857902</v>
      </c>
      <c r="FJ36" s="59">
        <f ca="1">AVERAGE(OFFSET($FI$3,0,0,'Données projet'!$E$16+1,1))-AVERAGE(OFFSET($H$3,0,0,'Données projet'!$E$16+1,1))</f>
        <v>457.706832425622</v>
      </c>
      <c r="FK36" s="59">
        <f t="shared" si="48"/>
        <v>474.61768219844873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12.8</v>
      </c>
      <c r="FZ36" s="12">
        <f>IF('Données projet'!$A$244&gt;35,FZ35+FY36-GH35,IF(A36&lt;'Données projet'!$A$244,$FW$205^A36,IF(A36='Données projet'!$A$244,'Données projet'!$B$244,FZ35+FY36-GH35)))</f>
        <v>180.39999999999995</v>
      </c>
      <c r="GA36" s="17">
        <f>FZ36*VLOOKUP('Données projet'!$B$17,Paramètres!$A$1:$I$89,3,0)*VLOOKUP('Données projet'!$B$17,Paramètres!$A$1:$I$89,5,0)</f>
        <v>174.48287999999997</v>
      </c>
      <c r="GB36" s="13">
        <f t="shared" si="49"/>
        <v>44.092513602166164</v>
      </c>
      <c r="GC36" s="20">
        <f t="shared" si="25"/>
        <v>380.68547719043931</v>
      </c>
      <c r="GD36" s="59">
        <f t="shared" si="26"/>
        <v>659.61211402411072</v>
      </c>
      <c r="GE36" s="59">
        <f ca="1">AVERAGE(OFFSET($GD$3,0,0,'Données projet'!$E$17+1,1))-AVERAGE(OFFSET($H$3,0,0,'Données projet'!$E$17+1,1))</f>
        <v>428.11167311086814</v>
      </c>
      <c r="GF36" s="59">
        <f t="shared" si="50"/>
        <v>415.69449942923609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1.1368683772161603E-13</v>
      </c>
      <c r="GV36" s="17">
        <f>GU36*VLOOKUP('Données projet'!$B$18,Paramètres!$A$1:$I$89,3,0)*VLOOKUP('Données projet'!$B$18,Paramètres!$A$1:$I$89,5,0)</f>
        <v>6.5087988332379613E-14</v>
      </c>
      <c r="GW36" s="13">
        <f t="shared" si="51"/>
        <v>1.0279249680474958E-12</v>
      </c>
      <c r="GX36" s="20">
        <f t="shared" si="28"/>
        <v>1.9036642323616162E-12</v>
      </c>
      <c r="GY36" s="59">
        <f t="shared" si="29"/>
        <v>278.92663683367334</v>
      </c>
      <c r="GZ36" s="59">
        <f ca="1">AVERAGE(OFFSET($GY$3,0,0,'Données projet'!$E$18+1,1))-AVERAGE(OFFSET($H$3,0,0,'Données projet'!$E$18+1,1))</f>
        <v>249.88816678272056</v>
      </c>
      <c r="HA36" s="59">
        <f t="shared" si="52"/>
        <v>432.10802787437319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78.261466679654447</v>
      </c>
      <c r="HH36" s="21">
        <f>EXP(-LN(2)/25)*HH35+(1-EXP(-LN(2)/25))/(LN(2)/25)*Calculateur!HC36*Calculateur!HE36*VLOOKUP('Données projet'!$B$18,Paramètres!$A$1:$I$89,3,0)*0.475*44/12</f>
        <v>19.797033081372557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98.058499761027008</v>
      </c>
    </row>
    <row r="37" spans="1:218" x14ac:dyDescent="0.3">
      <c r="A37" s="10">
        <f t="shared" si="31"/>
        <v>34</v>
      </c>
      <c r="B37" s="71">
        <f>'Scénario référence'!$B$16*5+'Scénario référence'!$B$17*0+'Scénario référence'!$B$18*5</f>
        <v>1.4000000000000001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5.1333333333333337</v>
      </c>
      <c r="H37" s="65">
        <f t="shared" si="1"/>
        <v>236.13333333333335</v>
      </c>
      <c r="I37" s="6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</v>
      </c>
      <c r="N37" s="13">
        <f>IF('Données projet'!$A$36&gt;35,N36+M37-V36,IF(A37&lt;'Données projet'!$A$36,$K$205^A37,IF(A37='Données projet'!$A$36,'Données projet'!$B$36,N36+M37-V36)))</f>
        <v>193.19999999999996</v>
      </c>
      <c r="O37" s="13">
        <f>N37*VLOOKUP('Données projet'!$B$9,Paramètres!$A$1:$I$89,3,0)*VLOOKUP('Données projet'!$B$9,Paramètres!$A$1:$I$89,5,0)</f>
        <v>153.70991999999998</v>
      </c>
      <c r="P37" s="13">
        <f t="shared" si="33"/>
        <v>39.420475690379831</v>
      </c>
      <c r="Q37" s="20">
        <f t="shared" si="53"/>
        <v>336.3687724940782</v>
      </c>
      <c r="R37" s="59">
        <f t="shared" si="0"/>
        <v>615.54533330347056</v>
      </c>
      <c r="S37" s="59">
        <f ca="1">AVERAGE(OFFSET($R$3,0,0,'Données projet'!$E$9+1,1))-AVERAGE(OFFSET($H$3,0,0,'Données projet'!$E$9+1,1))</f>
        <v>360.06385535620069</v>
      </c>
      <c r="T37" s="59">
        <f t="shared" si="34"/>
        <v>350.82516032456408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123.23376000000005</v>
      </c>
      <c r="AK37" s="13">
        <f t="shared" si="35"/>
        <v>32.428049504876491</v>
      </c>
      <c r="AL37" s="20">
        <f t="shared" si="4"/>
        <v>271.11098488765998</v>
      </c>
      <c r="AM37" s="59">
        <f t="shared" si="5"/>
        <v>550.28754569705234</v>
      </c>
      <c r="AN37" s="59">
        <f ca="1">AVERAGE(OFFSET($AM$3,0,0,'Données projet'!$E$10+1,1))-AVERAGE(OFFSET($H$3,0,0,'Données projet'!$E$10+1,1))</f>
        <v>448.65237942538027</v>
      </c>
      <c r="AO37" s="59">
        <f t="shared" si="36"/>
        <v>283.56749129825107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128.80000000000001</v>
      </c>
      <c r="BE37" s="13">
        <f>BD37*VLOOKUP('Données projet'!$B$11,Paramètres!$A$1:$I$89,3,0)*VLOOKUP('Données projet'!$B$11,Paramètres!$A$1:$I$89,5,0)</f>
        <v>110.51040000000003</v>
      </c>
      <c r="BF37" s="13">
        <f t="shared" si="37"/>
        <v>29.451206375056412</v>
      </c>
      <c r="BG37" s="20">
        <f t="shared" si="7"/>
        <v>243.76646443655662</v>
      </c>
      <c r="BH37" s="59">
        <f t="shared" si="8"/>
        <v>522.943025245949</v>
      </c>
      <c r="BI37" s="59">
        <f ca="1">AVERAGE(OFFSET($BH$3,0,0,'Données projet'!$E$11+1,1))-AVERAGE(OFFSET($H$3,0,0,'Données projet'!$E$11+1,1))</f>
        <v>456.76871853389395</v>
      </c>
      <c r="BJ37" s="59">
        <f t="shared" si="38"/>
        <v>262.12425810289176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5.5</v>
      </c>
      <c r="BY37" s="12">
        <f>IF('Données projet'!$A$114&gt;35,BY36+BX37-CG36,IF(A37&lt;'Données projet'!$A$114,$BV$205^A37,IF(A37='Données projet'!$A$114,'Données projet'!$B$114,BY36+BX37-CG36)))</f>
        <v>130.5</v>
      </c>
      <c r="BZ37" s="13">
        <f>BY37*VLOOKUP('Données projet'!$B$12,Paramètres!$A$1:$I$89,3,0)*VLOOKUP('Données projet'!$B$12,Paramètres!$A$1:$I$89,5,0)</f>
        <v>95.682599999999994</v>
      </c>
      <c r="CA37" s="13">
        <f t="shared" si="39"/>
        <v>25.930809542453641</v>
      </c>
      <c r="CB37" s="20">
        <f t="shared" si="10"/>
        <v>211.81002161977344</v>
      </c>
      <c r="CC37" s="59">
        <f t="shared" si="11"/>
        <v>490.98658242916576</v>
      </c>
      <c r="CD37" s="59">
        <f ca="1">AVERAGE(OFFSET($CC$3,0,0,'Données projet'!$E$12+1,1))-AVERAGE(OFFSET($H$3,0,0,'Données projet'!$E$12+1,1))</f>
        <v>242.65851607945316</v>
      </c>
      <c r="CE37" s="59">
        <f t="shared" si="40"/>
        <v>218.9349999985487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12.2</v>
      </c>
      <c r="CT37" s="12">
        <f>IF('Données projet'!$A$140&gt;35,CT36+CS37-DB36,IF(A37&lt;'Données projet'!$A$140,$CQ$205^A37,IF(A37='Données projet'!$A$140,'Données projet'!$B$140,CT36+CS37-DB36)))</f>
        <v>188.79999999999998</v>
      </c>
      <c r="CU37" s="17">
        <f>CT37*VLOOKUP('Données projet'!$B$13,Paramètres!$A$1:$I$89,3,0)*VLOOKUP('Données projet'!$B$13,Paramètres!$A$1:$I$89,5,0)</f>
        <v>164.93567999999999</v>
      </c>
      <c r="CV37" s="13">
        <f t="shared" si="41"/>
        <v>41.953795695589498</v>
      </c>
      <c r="CW37" s="20">
        <f t="shared" si="13"/>
        <v>360.33250350315166</v>
      </c>
      <c r="CX37" s="59">
        <f t="shared" si="14"/>
        <v>639.50906431254407</v>
      </c>
      <c r="CY37" s="59">
        <f ca="1">AVERAGE(OFFSET($CX$3,0,0,'Données projet'!$E$13+1,1))-AVERAGE(OFFSET($H$3,0,0,'Données projet'!$E$13+1,1))</f>
        <v>326.9460696675867</v>
      </c>
      <c r="CZ37" s="59">
        <f t="shared" si="42"/>
        <v>393.4020374592568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11.6</v>
      </c>
      <c r="DO37" s="12">
        <f>IF('Données projet'!$A$166&gt;35,DO36+DN37-DW36,IF(A37&lt;'Données projet'!$A$166,$DL$205^A37,IF(A37='Données projet'!$A$166,'Données projet'!$B$166,DO36+DN37-DW36)))</f>
        <v>201.40000000000003</v>
      </c>
      <c r="DP37" s="17">
        <f>DO37*VLOOKUP('Données projet'!$B$14,Paramètres!$A$1:$I$89,3,0)*VLOOKUP('Données projet'!$B$14,Paramètres!$A$1:$I$89,5,0)</f>
        <v>157.09200000000004</v>
      </c>
      <c r="DQ37" s="13">
        <f t="shared" si="43"/>
        <v>40.185909342127296</v>
      </c>
      <c r="DR37" s="20">
        <f t="shared" si="16"/>
        <v>343.59235877087173</v>
      </c>
      <c r="DS37" s="59">
        <f t="shared" si="17"/>
        <v>622.76891958026408</v>
      </c>
      <c r="DT37" s="59">
        <f ca="1">AVERAGE(OFFSET($DS$3,0,0,'Données projet'!$E$14+1,1))-AVERAGE(OFFSET($H$3,0,0,'Données projet'!$E$14+1,1))</f>
        <v>364.34528546733799</v>
      </c>
      <c r="DU37" s="59">
        <f t="shared" si="44"/>
        <v>346.5839763411152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129.59855999999996</v>
      </c>
      <c r="EL37" s="13">
        <f t="shared" si="45"/>
        <v>33.903581644574395</v>
      </c>
      <c r="EM37" s="20">
        <f t="shared" si="19"/>
        <v>284.76623003096699</v>
      </c>
      <c r="EN37" s="59">
        <f t="shared" si="20"/>
        <v>563.94279084035929</v>
      </c>
      <c r="EO37" s="59">
        <f ca="1">AVERAGE(OFFSET($EN$3,0,0,'Données projet'!$E$15+1,1))-AVERAGE(OFFSET($H$3,0,0,'Données projet'!$E$15+1,1))</f>
        <v>310.38232870602445</v>
      </c>
      <c r="EP37" s="59">
        <f t="shared" si="46"/>
        <v>303.45934457265537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8.1999999999999993</v>
      </c>
      <c r="FE37" s="12">
        <f>IF('Données projet'!$A$218&gt;35,FE36+FD37-FM36,IF(A37&lt;'Données projet'!$A$218,$FB$205^A37,IF(A37='Données projet'!$A$218,'Données projet'!$B$218,FE36+FD37-FM36)))</f>
        <v>213.80000000000004</v>
      </c>
      <c r="FF37" s="17">
        <f>FE37*VLOOKUP('Données projet'!$B$16,Paramètres!$A$1:$I$89,3,0)*VLOOKUP('Données projet'!$B$16,Paramètres!$A$1:$I$89,5,0)</f>
        <v>203.45208000000005</v>
      </c>
      <c r="FG37" s="13">
        <f t="shared" si="47"/>
        <v>50.502073157681401</v>
      </c>
      <c r="FH37" s="20">
        <f t="shared" si="22"/>
        <v>442.30348341629519</v>
      </c>
      <c r="FI37" s="59">
        <f t="shared" si="23"/>
        <v>721.48004422568761</v>
      </c>
      <c r="FJ37" s="59">
        <f ca="1">AVERAGE(OFFSET($FI$3,0,0,'Données projet'!$E$16+1,1))-AVERAGE(OFFSET($H$3,0,0,'Données projet'!$E$16+1,1))</f>
        <v>457.706832425622</v>
      </c>
      <c r="FK37" s="59">
        <f t="shared" si="48"/>
        <v>474.61768219844873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12.8</v>
      </c>
      <c r="FZ37" s="12">
        <f>IF('Données projet'!$A$244&gt;35,FZ36+FY37-GH36,IF(A37&lt;'Données projet'!$A$244,$FW$205^A37,IF(A37='Données projet'!$A$244,'Données projet'!$B$244,FZ36+FY37-GH36)))</f>
        <v>193.19999999999996</v>
      </c>
      <c r="GA37" s="17">
        <f>FZ37*VLOOKUP('Données projet'!$B$17,Paramètres!$A$1:$I$89,3,0)*VLOOKUP('Données projet'!$B$17,Paramètres!$A$1:$I$89,5,0)</f>
        <v>186.86303999999998</v>
      </c>
      <c r="GB37" s="13">
        <f t="shared" si="49"/>
        <v>46.845744983534466</v>
      </c>
      <c r="GC37" s="20">
        <f t="shared" si="25"/>
        <v>407.04280051298912</v>
      </c>
      <c r="GD37" s="59">
        <f t="shared" si="26"/>
        <v>686.21936132238147</v>
      </c>
      <c r="GE37" s="59">
        <f ca="1">AVERAGE(OFFSET($GD$3,0,0,'Données projet'!$E$17+1,1))-AVERAGE(OFFSET($H$3,0,0,'Données projet'!$E$17+1,1))</f>
        <v>428.11167311086814</v>
      </c>
      <c r="GF37" s="59">
        <f t="shared" si="50"/>
        <v>415.69449942923609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1.1368683772161603E-13</v>
      </c>
      <c r="GV37" s="17">
        <f>GU37*VLOOKUP('Données projet'!$B$18,Paramètres!$A$1:$I$89,3,0)*VLOOKUP('Données projet'!$B$18,Paramètres!$A$1:$I$89,5,0)</f>
        <v>6.5087988332379613E-14</v>
      </c>
      <c r="GW37" s="13">
        <f t="shared" si="51"/>
        <v>1.0279249680474958E-12</v>
      </c>
      <c r="GX37" s="20">
        <f t="shared" si="28"/>
        <v>1.9036642323616162E-12</v>
      </c>
      <c r="GY37" s="59">
        <f t="shared" si="29"/>
        <v>279.17656080939423</v>
      </c>
      <c r="GZ37" s="59">
        <f ca="1">AVERAGE(OFFSET($GY$3,0,0,'Données projet'!$E$18+1,1))-AVERAGE(OFFSET($H$3,0,0,'Données projet'!$E$18+1,1))</f>
        <v>249.88816678272056</v>
      </c>
      <c r="HA37" s="59">
        <f t="shared" si="52"/>
        <v>432.10802787437319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76.726807052847676</v>
      </c>
      <c r="HH37" s="21">
        <f>EXP(-LN(2)/25)*HH36+(1-EXP(-LN(2)/25))/(LN(2)/25)*Calculateur!HC37*Calculateur!HE37*VLOOKUP('Données projet'!$B$18,Paramètres!$A$1:$I$89,3,0)*0.475*44/12</f>
        <v>19.255682170681702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95.98248922352937</v>
      </c>
    </row>
    <row r="38" spans="1:218" x14ac:dyDescent="0.3">
      <c r="A38" s="10">
        <f t="shared" si="31"/>
        <v>35</v>
      </c>
      <c r="B38" s="71">
        <f>'Scénario référence'!$B$16*5+'Scénario référence'!$B$17*0+'Scénario référence'!$B$18*5</f>
        <v>1.4000000000000001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5.1333333333333337</v>
      </c>
      <c r="H38" s="65">
        <f t="shared" si="1"/>
        <v>236.13333333333335</v>
      </c>
      <c r="I38" s="6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206</v>
      </c>
      <c r="L38" s="12">
        <f>VLOOKUP(A38,'Données projet'!$A$35:$I$55,9,0)</f>
        <v>12.8</v>
      </c>
      <c r="M38" s="12">
        <f t="array" ref="M38">INDEX(L:L,MIN(IF(ISNUMBER(L38:L234),ROW(L38:L234),"")))</f>
        <v>12.8</v>
      </c>
      <c r="N38" s="13">
        <f>IF('Données projet'!$A$36&gt;35,N37+M38-V37,IF(A38&lt;'Données projet'!$A$36,$K$205^A38,IF(A38='Données projet'!$A$36,'Données projet'!$B$36,N37+M38-V37)))</f>
        <v>205.99999999999997</v>
      </c>
      <c r="O38" s="13">
        <f>N38*VLOOKUP('Données projet'!$B$9,Paramètres!$A$1:$I$89,3,0)*VLOOKUP('Données projet'!$B$9,Paramètres!$A$1:$I$89,5,0)</f>
        <v>163.89359999999999</v>
      </c>
      <c r="P38" s="13">
        <f t="shared" si="33"/>
        <v>41.71949506642347</v>
      </c>
      <c r="Q38" s="20">
        <f t="shared" si="53"/>
        <v>358.10947390735419</v>
      </c>
      <c r="R38" s="59">
        <f t="shared" si="0"/>
        <v>637.53162307023513</v>
      </c>
      <c r="S38" s="59">
        <f ca="1">AVERAGE(OFFSET($R$3,0,0,'Données projet'!$E$9+1,1))-AVERAGE(OFFSET($H$3,0,0,'Données projet'!$E$9+1,1))</f>
        <v>360.06385535620069</v>
      </c>
      <c r="T38" s="59">
        <f t="shared" si="34"/>
        <v>350.82516032456408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35</v>
      </c>
      <c r="W38" s="16">
        <f>IF(ISNA(VLOOKUP(A38,'Données projet'!$A$35:$I$55,5,0)),0%,VLOOKUP(A38,'Données projet'!$A$35:$I$55,5,0)*VLOOKUP('Données projet'!$B$9,Paramètres!$A$1:$I$89,7,0))</f>
        <v>0.53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16.314951939891504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16.314951939891504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133.00560000000004</v>
      </c>
      <c r="AK38" s="13">
        <f t="shared" si="35"/>
        <v>34.689938673073549</v>
      </c>
      <c r="AL38" s="20">
        <f t="shared" si="4"/>
        <v>292.06972985560316</v>
      </c>
      <c r="AM38" s="59">
        <f t="shared" si="5"/>
        <v>571.49187901848404</v>
      </c>
      <c r="AN38" s="59">
        <f ca="1">AVERAGE(OFFSET($AM$3,0,0,'Données projet'!$E$10+1,1))-AVERAGE(OFFSET($H$3,0,0,'Données projet'!$E$10+1,1))</f>
        <v>448.65237942538027</v>
      </c>
      <c r="AO38" s="59">
        <f t="shared" si="36"/>
        <v>283.56749129825107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12.042764376793015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12.042764376793015</v>
      </c>
      <c r="AY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139</v>
      </c>
      <c r="BB38" s="12">
        <f>VLOOKUP(A38,'Données projet'!$A$87:$I$107,9,0)</f>
        <v>10.199999999999999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139</v>
      </c>
      <c r="BE38" s="13">
        <f>BD38*VLOOKUP('Données projet'!$B$11,Paramètres!$A$1:$I$89,3,0)*VLOOKUP('Données projet'!$B$11,Paramètres!$A$1:$I$89,5,0)</f>
        <v>119.26200000000001</v>
      </c>
      <c r="BF38" s="13">
        <f t="shared" si="37"/>
        <v>31.502811162802828</v>
      </c>
      <c r="BG38" s="20">
        <f t="shared" si="7"/>
        <v>262.58204610854824</v>
      </c>
      <c r="BH38" s="59">
        <f t="shared" si="8"/>
        <v>542.00419527142913</v>
      </c>
      <c r="BI38" s="59">
        <f ca="1">AVERAGE(OFFSET($BH$3,0,0,'Données projet'!$E$11+1,1))-AVERAGE(OFFSET($H$3,0,0,'Données projet'!$E$11+1,1))</f>
        <v>456.76871853389395</v>
      </c>
      <c r="BJ38" s="59">
        <f t="shared" si="38"/>
        <v>262.12425810289176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14.075644810886788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14.075644810886788</v>
      </c>
      <c r="BT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136</v>
      </c>
      <c r="BW38" s="12">
        <f>VLOOKUP(A38,'Données projet'!$A$113:$I$133,9,0)</f>
        <v>5.5</v>
      </c>
      <c r="BX38" s="12">
        <f t="array" ref="BX38">INDEX(BW:BW,MIN(IF(ISNUMBER(BW38:BW234),ROW(BW38:BW234),"")))</f>
        <v>5.5</v>
      </c>
      <c r="BY38" s="12">
        <f>IF('Données projet'!$A$114&gt;35,BY37+BX38-CG37,IF(A38&lt;'Données projet'!$A$114,$BV$205^A38,IF(A38='Données projet'!$A$114,'Données projet'!$B$114,BY37+BX38-CG37)))</f>
        <v>136</v>
      </c>
      <c r="BZ38" s="13">
        <f>BY38*VLOOKUP('Données projet'!$B$12,Paramètres!$A$1:$I$89,3,0)*VLOOKUP('Données projet'!$B$12,Paramètres!$A$1:$I$89,5,0)</f>
        <v>99.715199999999996</v>
      </c>
      <c r="CA38" s="13">
        <f t="shared" si="39"/>
        <v>26.894136617382181</v>
      </c>
      <c r="CB38" s="20">
        <f t="shared" si="10"/>
        <v>220.51126127527394</v>
      </c>
      <c r="CC38" s="59">
        <f t="shared" si="11"/>
        <v>499.93341043815485</v>
      </c>
      <c r="CD38" s="59">
        <f ca="1">AVERAGE(OFFSET($CC$3,0,0,'Données projet'!$E$12+1,1))-AVERAGE(OFFSET($H$3,0,0,'Données projet'!$E$12+1,1))</f>
        <v>242.65851607945316</v>
      </c>
      <c r="CE38" s="59">
        <f t="shared" si="40"/>
        <v>218.9349999985487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201</v>
      </c>
      <c r="CR38" s="12">
        <f>VLOOKUP(A38,'Données projet'!$A$139:$I$159,9,0)</f>
        <v>12.2</v>
      </c>
      <c r="CS38" s="12">
        <f t="array" ref="CS38">INDEX(CR:CR,MIN(IF(ISNUMBER(CR38:CR234),ROW(CR38:CR234),"")))</f>
        <v>12.2</v>
      </c>
      <c r="CT38" s="12">
        <f>IF('Données projet'!$A$140&gt;35,CT37+CS38-DB37,IF(A38&lt;'Données projet'!$A$140,$CQ$205^A38,IF(A38='Données projet'!$A$140,'Données projet'!$B$140,CT37+CS38-DB37)))</f>
        <v>200.99999999999997</v>
      </c>
      <c r="CU38" s="17">
        <f>CT38*VLOOKUP('Données projet'!$B$13,Paramètres!$A$1:$I$89,3,0)*VLOOKUP('Données projet'!$B$13,Paramètres!$A$1:$I$89,5,0)</f>
        <v>175.59359999999998</v>
      </c>
      <c r="CV38" s="13">
        <f t="shared" si="41"/>
        <v>44.340433728638573</v>
      </c>
      <c r="CW38" s="20">
        <f t="shared" si="13"/>
        <v>383.05177541071208</v>
      </c>
      <c r="CX38" s="59">
        <f t="shared" si="14"/>
        <v>662.47392457359297</v>
      </c>
      <c r="CY38" s="59">
        <f ca="1">AVERAGE(OFFSET($CX$3,0,0,'Données projet'!$E$13+1,1))-AVERAGE(OFFSET($H$3,0,0,'Données projet'!$E$13+1,1))</f>
        <v>326.9460696675867</v>
      </c>
      <c r="CZ38" s="59">
        <f t="shared" si="42"/>
        <v>393.4020374592568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17.441244959493336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17.441244959493336</v>
      </c>
      <c r="DJ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213</v>
      </c>
      <c r="DM38" s="12">
        <f>VLOOKUP(A38,'Données projet'!$A$165:$I$185,9,0)</f>
        <v>11.6</v>
      </c>
      <c r="DN38" s="12">
        <f t="array" ref="DN38">INDEX(DM:DM,MIN(IF(ISNUMBER(DM38:DM234),ROW(DM38:DM234),"")))</f>
        <v>11.6</v>
      </c>
      <c r="DO38" s="12">
        <f>IF('Données projet'!$A$166&gt;35,DO37+DN38-DW37,IF(A38&lt;'Données projet'!$A$166,$DL$205^A38,IF(A38='Données projet'!$A$166,'Données projet'!$B$166,DO37+DN38-DW37)))</f>
        <v>213.00000000000003</v>
      </c>
      <c r="DP38" s="17">
        <f>DO38*VLOOKUP('Données projet'!$B$14,Paramètres!$A$1:$I$89,3,0)*VLOOKUP('Données projet'!$B$14,Paramètres!$A$1:$I$89,5,0)</f>
        <v>166.14000000000001</v>
      </c>
      <c r="DQ38" s="13">
        <f t="shared" si="43"/>
        <v>42.224359783104845</v>
      </c>
      <c r="DR38" s="20">
        <f t="shared" si="16"/>
        <v>362.90125995557429</v>
      </c>
      <c r="DS38" s="59">
        <f t="shared" si="17"/>
        <v>642.32340911845517</v>
      </c>
      <c r="DT38" s="59">
        <f ca="1">AVERAGE(OFFSET($DS$3,0,0,'Données projet'!$E$14+1,1))-AVERAGE(OFFSET($H$3,0,0,'Données projet'!$E$14+1,1))</f>
        <v>364.34528546733799</v>
      </c>
      <c r="DU38" s="59">
        <f t="shared" si="44"/>
        <v>346.5839763411152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29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10.752468193565193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10.752468193565193</v>
      </c>
      <c r="EE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138.18479999999997</v>
      </c>
      <c r="EL38" s="13">
        <f t="shared" si="45"/>
        <v>35.88085334799969</v>
      </c>
      <c r="EM38" s="20">
        <f t="shared" si="19"/>
        <v>303.16434624776605</v>
      </c>
      <c r="EN38" s="59">
        <f t="shared" si="20"/>
        <v>582.58649541064688</v>
      </c>
      <c r="EO38" s="59">
        <f ca="1">AVERAGE(OFFSET($EN$3,0,0,'Données projet'!$E$15+1,1))-AVERAGE(OFFSET($H$3,0,0,'Données projet'!$E$15+1,1))</f>
        <v>310.38232870602445</v>
      </c>
      <c r="EP38" s="59">
        <f t="shared" si="46"/>
        <v>303.45934457265537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13.755743792457542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13.755743792457542</v>
      </c>
      <c r="EZ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222</v>
      </c>
      <c r="FC38" s="12">
        <f>VLOOKUP(A38,'Données projet'!$A$217:$I$237,9,0)</f>
        <v>8.1999999999999993</v>
      </c>
      <c r="FD38" s="12">
        <f t="array" ref="FD38">INDEX(FC:FC,MIN(IF(ISNUMBER(FC38:FC234),ROW(FC38:FC234),"")))</f>
        <v>8.1999999999999993</v>
      </c>
      <c r="FE38" s="12">
        <f>IF('Données projet'!$A$218&gt;35,FE37+FD38-FM37,IF(A38&lt;'Données projet'!$A$218,$FB$205^A38,IF(A38='Données projet'!$A$218,'Données projet'!$B$218,FE37+FD38-FM37)))</f>
        <v>222.00000000000003</v>
      </c>
      <c r="FF38" s="17">
        <f>FE38*VLOOKUP('Données projet'!$B$16,Paramètres!$A$1:$I$89,3,0)*VLOOKUP('Données projet'!$B$16,Paramètres!$A$1:$I$89,5,0)</f>
        <v>211.25520000000003</v>
      </c>
      <c r="FG38" s="13">
        <f t="shared" si="47"/>
        <v>52.209783272091016</v>
      </c>
      <c r="FH38" s="20">
        <f t="shared" si="22"/>
        <v>458.86817919889182</v>
      </c>
      <c r="FI38" s="59">
        <f t="shared" si="23"/>
        <v>738.29032836177271</v>
      </c>
      <c r="FJ38" s="59">
        <f ca="1">AVERAGE(OFFSET($FI$3,0,0,'Données projet'!$E$16+1,1))-AVERAGE(OFFSET($H$3,0,0,'Données projet'!$E$16+1,1))</f>
        <v>457.706832425622</v>
      </c>
      <c r="FK38" s="59">
        <f t="shared" si="48"/>
        <v>474.61768219844873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29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13.118011196149537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13.118011196149537</v>
      </c>
      <c r="FU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206</v>
      </c>
      <c r="FX38" s="12">
        <f>VLOOKUP(A38,'Données projet'!$A$243:$I$263,9,0)</f>
        <v>12.8</v>
      </c>
      <c r="FY38" s="12">
        <f t="array" ref="FY38">INDEX(FX:FX,MIN(IF(ISNUMBER(FX38:FX234),ROW(FX38:FX234),"")))</f>
        <v>12.8</v>
      </c>
      <c r="FZ38" s="12">
        <f>IF('Données projet'!$A$244&gt;35,FZ37+FY38-GH37,IF(A38&lt;'Données projet'!$A$244,$FW$205^A38,IF(A38='Données projet'!$A$244,'Données projet'!$B$244,FZ37+FY38-GH37)))</f>
        <v>205.99999999999997</v>
      </c>
      <c r="GA38" s="17">
        <f>FZ38*VLOOKUP('Données projet'!$B$17,Paramètres!$A$1:$I$89,3,0)*VLOOKUP('Données projet'!$B$17,Paramètres!$A$1:$I$89,5,0)</f>
        <v>199.24319999999997</v>
      </c>
      <c r="GB38" s="13">
        <f t="shared" si="49"/>
        <v>49.577809310922227</v>
      </c>
      <c r="GC38" s="20">
        <f t="shared" si="25"/>
        <v>433.36325788318953</v>
      </c>
      <c r="GD38" s="59">
        <f t="shared" si="26"/>
        <v>712.78540704607042</v>
      </c>
      <c r="GE38" s="59">
        <f ca="1">AVERAGE(OFFSET($GD$3,0,0,'Données projet'!$E$17+1,1))-AVERAGE(OFFSET($H$3,0,0,'Données projet'!$E$17+1,1))</f>
        <v>428.11167311086814</v>
      </c>
      <c r="GF38" s="59">
        <f t="shared" si="50"/>
        <v>415.69449942923609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35</v>
      </c>
      <c r="GI38" s="16">
        <f>IF(ISNA(VLOOKUP(A38,'Données projet'!$A$243:$I$263,5,0)),0%,VLOOKUP(A38,'Données projet'!$A$243:$I$263,5,0)*VLOOKUP('Données projet'!$B$17,Paramètres!$A$1:$I$89,7,0))</f>
        <v>0.43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16.091624813818257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16.091624813818257</v>
      </c>
      <c r="GP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1.1368683772161603E-13</v>
      </c>
      <c r="GV38" s="17">
        <f>GU38*VLOOKUP('Données projet'!$B$18,Paramètres!$A$1:$I$89,3,0)*VLOOKUP('Données projet'!$B$18,Paramètres!$A$1:$I$89,5,0)</f>
        <v>6.5087988332379613E-14</v>
      </c>
      <c r="GW38" s="13">
        <f t="shared" si="51"/>
        <v>1.0279249680474958E-12</v>
      </c>
      <c r="GX38" s="20">
        <f t="shared" si="28"/>
        <v>1.9036642323616162E-12</v>
      </c>
      <c r="GY38" s="59">
        <f t="shared" si="29"/>
        <v>279.42214916288276</v>
      </c>
      <c r="GZ38" s="59">
        <f ca="1">AVERAGE(OFFSET($GY$3,0,0,'Données projet'!$E$18+1,1))-AVERAGE(OFFSET($H$3,0,0,'Données projet'!$E$18+1,1))</f>
        <v>249.88816678272056</v>
      </c>
      <c r="HA38" s="59">
        <f t="shared" si="52"/>
        <v>432.10802787437319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75.222241165272649</v>
      </c>
      <c r="HH38" s="21">
        <f>EXP(-LN(2)/25)*HH37+(1-EXP(-LN(2)/25))/(LN(2)/25)*Calculateur!HC38*Calculateur!HE38*VLOOKUP('Données projet'!$B$18,Paramètres!$A$1:$I$89,3,0)*0.475*44/12</f>
        <v>18.729134529112095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93.951375694384751</v>
      </c>
    </row>
    <row r="39" spans="1:218" x14ac:dyDescent="0.3">
      <c r="A39" s="10">
        <f t="shared" si="31"/>
        <v>36</v>
      </c>
      <c r="B39" s="71">
        <f>'Scénario référence'!$B$16*5+'Scénario référence'!$B$17*0+'Scénario référence'!$B$18*5</f>
        <v>1.4000000000000001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5.1333333333333337</v>
      </c>
      <c r="H39" s="65">
        <f t="shared" si="1"/>
        <v>236.13333333333335</v>
      </c>
      <c r="I39" s="6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11.4</v>
      </c>
      <c r="N39" s="13">
        <f>IF('Données projet'!$A$36&gt;35,N38+M39-V38,IF(A39&lt;'Données projet'!$A$36,$K$205^A39,IF(A39='Données projet'!$A$36,'Données projet'!$B$36,N38+M39-V38)))</f>
        <v>182.39999999999998</v>
      </c>
      <c r="O39" s="13">
        <f>N39*VLOOKUP('Données projet'!$B$9,Paramètres!$A$1:$I$89,3,0)*VLOOKUP('Données projet'!$B$9,Paramètres!$A$1:$I$89,5,0)</f>
        <v>145.11743999999999</v>
      </c>
      <c r="P39" s="13">
        <f t="shared" si="33"/>
        <v>37.466878406916173</v>
      </c>
      <c r="Q39" s="20">
        <f t="shared" si="53"/>
        <v>318.00102122537896</v>
      </c>
      <c r="R39" s="59">
        <f t="shared" si="0"/>
        <v>597.66449833286856</v>
      </c>
      <c r="S39" s="59">
        <f ca="1">AVERAGE(OFFSET($R$3,0,0,'Données projet'!$E$9+1,1))-AVERAGE(OFFSET($H$3,0,0,'Données projet'!$E$9+1,1))</f>
        <v>360.06385535620069</v>
      </c>
      <c r="T39" s="59">
        <f t="shared" si="34"/>
        <v>350.82516032456408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15.995025683488322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15.995025683488322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117.80496000000004</v>
      </c>
      <c r="AK39" s="13">
        <f t="shared" si="35"/>
        <v>31.162493487829593</v>
      </c>
      <c r="AL39" s="20">
        <f t="shared" si="4"/>
        <v>259.45164815796994</v>
      </c>
      <c r="AM39" s="59">
        <f t="shared" si="5"/>
        <v>539.1151252654596</v>
      </c>
      <c r="AN39" s="59">
        <f ca="1">AVERAGE(OFFSET($AM$3,0,0,'Données projet'!$E$10+1,1))-AVERAGE(OFFSET($H$3,0,0,'Données projet'!$E$10+1,1))</f>
        <v>448.65237942538027</v>
      </c>
      <c r="AO39" s="59">
        <f t="shared" si="36"/>
        <v>283.56749129825107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11.80661311272508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11.80661311272508</v>
      </c>
      <c r="AY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10.4</v>
      </c>
      <c r="BD39" s="12">
        <f>IF('Données projet'!$A$88&gt;35,BD38+BC39-BL38,IF(A39&lt;'Données projet'!$A$88,$BA$205^A39,IF(A39='Données projet'!$A$88,'Données projet'!$B$88,BD38+BC39-BL38)))</f>
        <v>121.4</v>
      </c>
      <c r="BE39" s="13">
        <f>BD39*VLOOKUP('Données projet'!$B$11,Paramètres!$A$1:$I$89,3,0)*VLOOKUP('Données projet'!$B$11,Paramètres!$A$1:$I$89,5,0)</f>
        <v>104.16120000000002</v>
      </c>
      <c r="BF39" s="13">
        <f t="shared" si="37"/>
        <v>27.95098158074293</v>
      </c>
      <c r="BG39" s="20">
        <f t="shared" si="7"/>
        <v>230.09538291979393</v>
      </c>
      <c r="BH39" s="59">
        <f t="shared" si="8"/>
        <v>509.75886002728362</v>
      </c>
      <c r="BI39" s="59">
        <f ca="1">AVERAGE(OFFSET($BH$3,0,0,'Données projet'!$E$11+1,1))-AVERAGE(OFFSET($H$3,0,0,'Données projet'!$E$11+1,1))</f>
        <v>456.76871853389395</v>
      </c>
      <c r="BJ39" s="59">
        <f t="shared" si="38"/>
        <v>262.12425810289176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13.799630001440905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13.799630001440905</v>
      </c>
      <c r="BT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6.8</v>
      </c>
      <c r="BY39" s="12">
        <f>IF('Données projet'!$A$114&gt;35,BY38+BX39-CG38,IF(A39&lt;'Données projet'!$A$114,$BV$205^A39,IF(A39='Données projet'!$A$114,'Données projet'!$B$114,BY38+BX39-CG38)))</f>
        <v>142.80000000000001</v>
      </c>
      <c r="BZ39" s="13">
        <f>BY39*VLOOKUP('Données projet'!$B$12,Paramètres!$A$1:$I$89,3,0)*VLOOKUP('Données projet'!$B$12,Paramètres!$A$1:$I$89,5,0)</f>
        <v>104.70096000000001</v>
      </c>
      <c r="CA39" s="13">
        <f t="shared" si="39"/>
        <v>28.07892464469024</v>
      </c>
      <c r="CB39" s="20">
        <f t="shared" si="10"/>
        <v>231.25829908950217</v>
      </c>
      <c r="CC39" s="59">
        <f t="shared" si="11"/>
        <v>510.9217761969918</v>
      </c>
      <c r="CD39" s="59">
        <f ca="1">AVERAGE(OFFSET($CC$3,0,0,'Données projet'!$E$12+1,1))-AVERAGE(OFFSET($H$3,0,0,'Données projet'!$E$12+1,1))</f>
        <v>242.65851607945316</v>
      </c>
      <c r="CE39" s="59">
        <f t="shared" si="40"/>
        <v>218.9349999985487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10.8</v>
      </c>
      <c r="CT39" s="12">
        <f>IF('Données projet'!$A$140&gt;35,CT38+CS39-DB38,IF(A39&lt;'Données projet'!$A$140,$CQ$205^A39,IF(A39='Données projet'!$A$140,'Données projet'!$B$140,CT38+CS39-DB38)))</f>
        <v>169.79999999999998</v>
      </c>
      <c r="CU39" s="17">
        <f>CT39*VLOOKUP('Données projet'!$B$13,Paramètres!$A$1:$I$89,3,0)*VLOOKUP('Données projet'!$B$13,Paramètres!$A$1:$I$89,5,0)</f>
        <v>148.33727999999999</v>
      </c>
      <c r="CV39" s="13">
        <f t="shared" si="41"/>
        <v>38.200481752654802</v>
      </c>
      <c r="CW39" s="20">
        <f t="shared" si="13"/>
        <v>324.88660171920714</v>
      </c>
      <c r="CX39" s="59">
        <f t="shared" si="14"/>
        <v>604.55007882669679</v>
      </c>
      <c r="CY39" s="59">
        <f ca="1">AVERAGE(OFFSET($CX$3,0,0,'Données projet'!$E$13+1,1))-AVERAGE(OFFSET($H$3,0,0,'Données projet'!$E$13+1,1))</f>
        <v>326.9460696675867</v>
      </c>
      <c r="CZ39" s="59">
        <f t="shared" si="42"/>
        <v>393.4020374592568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17.099232783946672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17.099232783946672</v>
      </c>
      <c r="DJ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195.40000000000003</v>
      </c>
      <c r="DP39" s="17">
        <f>DO39*VLOOKUP('Données projet'!$B$14,Paramètres!$A$1:$I$89,3,0)*VLOOKUP('Données projet'!$B$14,Paramètres!$A$1:$I$89,5,0)</f>
        <v>152.41200000000003</v>
      </c>
      <c r="DQ39" s="13">
        <f t="shared" si="43"/>
        <v>39.126211343688098</v>
      </c>
      <c r="DR39" s="20">
        <f t="shared" si="16"/>
        <v>333.59571809025681</v>
      </c>
      <c r="DS39" s="59">
        <f t="shared" si="17"/>
        <v>613.25919519774652</v>
      </c>
      <c r="DT39" s="59">
        <f ca="1">AVERAGE(OFFSET($DS$3,0,0,'Données projet'!$E$14+1,1))-AVERAGE(OFFSET($H$3,0,0,'Données projet'!$E$14+1,1))</f>
        <v>364.34528546733799</v>
      </c>
      <c r="DU39" s="59">
        <f t="shared" si="44"/>
        <v>346.5839763411152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10.541618850647394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10.541618850647394</v>
      </c>
      <c r="EE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122.35391999999999</v>
      </c>
      <c r="EL39" s="13">
        <f t="shared" si="45"/>
        <v>32.223390225253354</v>
      </c>
      <c r="EM39" s="20">
        <f t="shared" si="19"/>
        <v>269.2221486423162</v>
      </c>
      <c r="EN39" s="59">
        <f t="shared" si="20"/>
        <v>548.88562574980585</v>
      </c>
      <c r="EO39" s="59">
        <f ca="1">AVERAGE(OFFSET($EN$3,0,0,'Données projet'!$E$15+1,1))-AVERAGE(OFFSET($H$3,0,0,'Données projet'!$E$15+1,1))</f>
        <v>310.38232870602445</v>
      </c>
      <c r="EP39" s="59">
        <f t="shared" si="46"/>
        <v>303.45934457265537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13.486002046862701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13.486002046862701</v>
      </c>
      <c r="EZ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8.4</v>
      </c>
      <c r="FE39" s="12">
        <f>IF('Données projet'!$A$218&gt;35,FE38+FD39-FM38,IF(A39&lt;'Données projet'!$A$218,$FB$205^A39,IF(A39='Données projet'!$A$218,'Données projet'!$B$218,FE38+FD39-FM38)))</f>
        <v>201.40000000000003</v>
      </c>
      <c r="FF39" s="17">
        <f>FE39*VLOOKUP('Données projet'!$B$16,Paramètres!$A$1:$I$89,3,0)*VLOOKUP('Données projet'!$B$16,Paramètres!$A$1:$I$89,5,0)</f>
        <v>191.65224000000003</v>
      </c>
      <c r="FG39" s="13">
        <f t="shared" si="47"/>
        <v>47.905055377617416</v>
      </c>
      <c r="FH39" s="20">
        <f t="shared" si="22"/>
        <v>417.22895611601695</v>
      </c>
      <c r="FI39" s="59">
        <f t="shared" si="23"/>
        <v>696.8924332235066</v>
      </c>
      <c r="FJ39" s="59">
        <f ca="1">AVERAGE(OFFSET($FI$3,0,0,'Données projet'!$E$16+1,1))-AVERAGE(OFFSET($H$3,0,0,'Données projet'!$E$16+1,1))</f>
        <v>457.706832425622</v>
      </c>
      <c r="FK39" s="59">
        <f t="shared" si="48"/>
        <v>474.61768219844873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12.860774997789822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12.860774997789822</v>
      </c>
      <c r="FU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11.4</v>
      </c>
      <c r="FZ39" s="12">
        <f>IF('Données projet'!$A$244&gt;35,FZ38+FY39-GH38,IF(A39&lt;'Données projet'!$A$244,$FW$205^A39,IF(A39='Données projet'!$A$244,'Données projet'!$B$244,FZ38+FY39-GH38)))</f>
        <v>182.39999999999998</v>
      </c>
      <c r="GA39" s="17">
        <f>FZ39*VLOOKUP('Données projet'!$B$17,Paramètres!$A$1:$I$89,3,0)*VLOOKUP('Données projet'!$B$17,Paramètres!$A$1:$I$89,5,0)</f>
        <v>176.41727999999998</v>
      </c>
      <c r="GB39" s="13">
        <f t="shared" si="49"/>
        <v>44.524166703747255</v>
      </c>
      <c r="GC39" s="20">
        <f t="shared" si="25"/>
        <v>384.8063530090264</v>
      </c>
      <c r="GD39" s="59">
        <f t="shared" si="26"/>
        <v>664.46983011651605</v>
      </c>
      <c r="GE39" s="59">
        <f ca="1">AVERAGE(OFFSET($GD$3,0,0,'Données projet'!$E$17+1,1))-AVERAGE(OFFSET($H$3,0,0,'Données projet'!$E$17+1,1))</f>
        <v>428.11167311086814</v>
      </c>
      <c r="GF39" s="59">
        <f t="shared" si="50"/>
        <v>415.69449942923609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15.776077866141273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15.776077866141273</v>
      </c>
      <c r="GP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1.1368683772161603E-13</v>
      </c>
      <c r="GV39" s="17">
        <f>GU39*VLOOKUP('Données projet'!$B$18,Paramètres!$A$1:$I$89,3,0)*VLOOKUP('Données projet'!$B$18,Paramètres!$A$1:$I$89,5,0)</f>
        <v>6.5087988332379613E-14</v>
      </c>
      <c r="GW39" s="13">
        <f t="shared" si="51"/>
        <v>1.0279249680474958E-12</v>
      </c>
      <c r="GX39" s="20">
        <f t="shared" si="28"/>
        <v>1.9036642323616162E-12</v>
      </c>
      <c r="GY39" s="59">
        <f t="shared" si="29"/>
        <v>279.66347710749153</v>
      </c>
      <c r="GZ39" s="59">
        <f ca="1">AVERAGE(OFFSET($GY$3,0,0,'Données projet'!$E$18+1,1))-AVERAGE(OFFSET($H$3,0,0,'Données projet'!$E$18+1,1))</f>
        <v>249.88816678272056</v>
      </c>
      <c r="HA39" s="59">
        <f t="shared" si="52"/>
        <v>432.10802787437319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73.74717889705839</v>
      </c>
      <c r="HH39" s="21">
        <f>EXP(-LN(2)/25)*HH38+(1-EXP(-LN(2)/25))/(LN(2)/25)*Calculateur!HC39*Calculateur!HE39*VLOOKUP('Données projet'!$B$18,Paramètres!$A$1:$I$89,3,0)*0.475*44/12</f>
        <v>18.216985360491147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91.964164257549541</v>
      </c>
    </row>
    <row r="40" spans="1:218" x14ac:dyDescent="0.3">
      <c r="A40" s="10">
        <f t="shared" si="31"/>
        <v>37</v>
      </c>
      <c r="B40" s="71">
        <f>'Scénario référence'!$B$16*5+'Scénario référence'!$B$17*0+'Scénario référence'!$B$18*5</f>
        <v>1.4000000000000001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5.1333333333333337</v>
      </c>
      <c r="H40" s="65">
        <f t="shared" si="1"/>
        <v>236.13333333333335</v>
      </c>
      <c r="I40" s="6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11.4</v>
      </c>
      <c r="N40" s="13">
        <f>IF('Données projet'!$A$36&gt;35,N39+M40-V39,IF(A40&lt;'Données projet'!$A$36,$K$205^A40,IF(A40='Données projet'!$A$36,'Données projet'!$B$36,N39+M40-V39)))</f>
        <v>193.79999999999998</v>
      </c>
      <c r="O40" s="13">
        <f>N40*VLOOKUP('Données projet'!$B$9,Paramètres!$A$1:$I$89,3,0)*VLOOKUP('Données projet'!$B$9,Paramètres!$A$1:$I$89,5,0)</f>
        <v>154.18727999999999</v>
      </c>
      <c r="P40" s="13">
        <f t="shared" si="33"/>
        <v>39.528629863903078</v>
      </c>
      <c r="Q40" s="20">
        <f t="shared" si="53"/>
        <v>337.38854301296448</v>
      </c>
      <c r="R40" s="59">
        <f t="shared" si="0"/>
        <v>617.28916156475236</v>
      </c>
      <c r="S40" s="59">
        <f ca="1">AVERAGE(OFFSET($R$3,0,0,'Données projet'!$E$9+1,1))-AVERAGE(OFFSET($H$3,0,0,'Données projet'!$E$9+1,1))</f>
        <v>360.06385535620069</v>
      </c>
      <c r="T40" s="59">
        <f t="shared" si="34"/>
        <v>350.82516032456408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15.681372985837458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15.681372985837458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127.93872000000003</v>
      </c>
      <c r="AK40" s="13">
        <f t="shared" si="35"/>
        <v>33.519615889545641</v>
      </c>
      <c r="AL40" s="20">
        <f t="shared" si="4"/>
        <v>281.20660167429202</v>
      </c>
      <c r="AM40" s="59">
        <f t="shared" si="5"/>
        <v>561.1072202260799</v>
      </c>
      <c r="AN40" s="59">
        <f ca="1">AVERAGE(OFFSET($AM$3,0,0,'Données projet'!$E$10+1,1))-AVERAGE(OFFSET($H$3,0,0,'Données projet'!$E$10+1,1))</f>
        <v>448.65237942538027</v>
      </c>
      <c r="AO40" s="59">
        <f t="shared" si="36"/>
        <v>283.56749129825107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11.575092630907468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11.575092630907468</v>
      </c>
      <c r="AY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10.4</v>
      </c>
      <c r="BD40" s="12">
        <f>IF('Données projet'!$A$88&gt;35,BD39+BC40-BL39,IF(A40&lt;'Données projet'!$A$88,$BA$205^A40,IF(A40='Données projet'!$A$88,'Données projet'!$B$88,BD39+BC40-BL39)))</f>
        <v>131.80000000000001</v>
      </c>
      <c r="BE40" s="13">
        <f>BD40*VLOOKUP('Données projet'!$B$11,Paramètres!$A$1:$I$89,3,0)*VLOOKUP('Données projet'!$B$11,Paramètres!$A$1:$I$89,5,0)</f>
        <v>113.08440000000002</v>
      </c>
      <c r="BF40" s="13">
        <f t="shared" si="37"/>
        <v>30.05651952806824</v>
      </c>
      <c r="BG40" s="20">
        <f t="shared" si="7"/>
        <v>249.3037681780522</v>
      </c>
      <c r="BH40" s="59">
        <f t="shared" si="8"/>
        <v>529.20438672984005</v>
      </c>
      <c r="BI40" s="59">
        <f ca="1">AVERAGE(OFFSET($BH$3,0,0,'Données projet'!$E$11+1,1))-AVERAGE(OFFSET($H$3,0,0,'Données projet'!$E$11+1,1))</f>
        <v>456.76871853389395</v>
      </c>
      <c r="BJ40" s="59">
        <f t="shared" si="38"/>
        <v>262.12425810289176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13.529027674055845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13.529027674055845</v>
      </c>
      <c r="BT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6.8</v>
      </c>
      <c r="BY40" s="12">
        <f>IF('Données projet'!$A$114&gt;35,BY39+BX40-CG39,IF(A40&lt;'Données projet'!$A$114,$BV$205^A40,IF(A40='Données projet'!$A$114,'Données projet'!$B$114,BY39+BX40-CG39)))</f>
        <v>149.60000000000002</v>
      </c>
      <c r="BZ40" s="13">
        <f>BY40*VLOOKUP('Données projet'!$B$12,Paramètres!$A$1:$I$89,3,0)*VLOOKUP('Données projet'!$B$12,Paramètres!$A$1:$I$89,5,0)</f>
        <v>109.68672000000002</v>
      </c>
      <c r="CA40" s="13">
        <f t="shared" si="39"/>
        <v>29.257161113605147</v>
      </c>
      <c r="CB40" s="20">
        <f t="shared" si="10"/>
        <v>241.9939262728623</v>
      </c>
      <c r="CC40" s="59">
        <f t="shared" si="11"/>
        <v>521.89454482465021</v>
      </c>
      <c r="CD40" s="59">
        <f ca="1">AVERAGE(OFFSET($CC$3,0,0,'Données projet'!$E$12+1,1))-AVERAGE(OFFSET($H$3,0,0,'Données projet'!$E$12+1,1))</f>
        <v>242.65851607945316</v>
      </c>
      <c r="CE40" s="59">
        <f t="shared" si="40"/>
        <v>218.9349999985487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10.8</v>
      </c>
      <c r="CT40" s="12">
        <f>IF('Données projet'!$A$140&gt;35,CT39+CS40-DB39,IF(A40&lt;'Données projet'!$A$140,$CQ$205^A40,IF(A40='Données projet'!$A$140,'Données projet'!$B$140,CT39+CS40-DB39)))</f>
        <v>180.6</v>
      </c>
      <c r="CU40" s="17">
        <f>CT40*VLOOKUP('Données projet'!$B$13,Paramètres!$A$1:$I$89,3,0)*VLOOKUP('Données projet'!$B$13,Paramètres!$A$1:$I$89,5,0)</f>
        <v>157.77216000000001</v>
      </c>
      <c r="CV40" s="13">
        <f t="shared" si="41"/>
        <v>40.339610539653599</v>
      </c>
      <c r="CW40" s="20">
        <f t="shared" si="13"/>
        <v>345.04466702323003</v>
      </c>
      <c r="CX40" s="59">
        <f t="shared" si="14"/>
        <v>624.94528557501792</v>
      </c>
      <c r="CY40" s="59">
        <f ca="1">AVERAGE(OFFSET($CX$3,0,0,'Données projet'!$E$13+1,1))-AVERAGE(OFFSET($H$3,0,0,'Données projet'!$E$13+1,1))</f>
        <v>326.9460696675867</v>
      </c>
      <c r="CZ40" s="59">
        <f t="shared" si="42"/>
        <v>393.4020374592568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16.763927258555647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16.763927258555647</v>
      </c>
      <c r="DJ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206.80000000000004</v>
      </c>
      <c r="DP40" s="17">
        <f>DO40*VLOOKUP('Données projet'!$B$14,Paramètres!$A$1:$I$89,3,0)*VLOOKUP('Données projet'!$B$14,Paramètres!$A$1:$I$89,5,0)</f>
        <v>161.30400000000003</v>
      </c>
      <c r="DQ40" s="13">
        <f t="shared" si="43"/>
        <v>41.136497157560399</v>
      </c>
      <c r="DR40" s="20">
        <f t="shared" si="16"/>
        <v>352.58386588275107</v>
      </c>
      <c r="DS40" s="59">
        <f t="shared" si="17"/>
        <v>632.4844844345389</v>
      </c>
      <c r="DT40" s="59">
        <f ca="1">AVERAGE(OFFSET($DS$3,0,0,'Données projet'!$E$14+1,1))-AVERAGE(OFFSET($H$3,0,0,'Données projet'!$E$14+1,1))</f>
        <v>364.34528546733799</v>
      </c>
      <c r="DU40" s="59">
        <f t="shared" si="44"/>
        <v>346.5839763411152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10.334904134738812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10.334904134738812</v>
      </c>
      <c r="EE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130.00103999999999</v>
      </c>
      <c r="EL40" s="13">
        <f t="shared" si="45"/>
        <v>33.996599645702723</v>
      </c>
      <c r="EM40" s="20">
        <f t="shared" si="19"/>
        <v>285.6292223829322</v>
      </c>
      <c r="EN40" s="59">
        <f t="shared" si="20"/>
        <v>565.52984093472014</v>
      </c>
      <c r="EO40" s="59">
        <f ca="1">AVERAGE(OFFSET($EN$3,0,0,'Données projet'!$E$15+1,1))-AVERAGE(OFFSET($H$3,0,0,'Données projet'!$E$15+1,1))</f>
        <v>310.38232870602445</v>
      </c>
      <c r="EP40" s="59">
        <f t="shared" si="46"/>
        <v>303.45934457265537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13.221549772372757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13.221549772372757</v>
      </c>
      <c r="EZ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8.4</v>
      </c>
      <c r="FE40" s="12">
        <f>IF('Données projet'!$A$218&gt;35,FE39+FD40-FM39,IF(A40&lt;'Données projet'!$A$218,$FB$205^A40,IF(A40='Données projet'!$A$218,'Données projet'!$B$218,FE39+FD40-FM39)))</f>
        <v>209.80000000000004</v>
      </c>
      <c r="FF40" s="17">
        <f>FE40*VLOOKUP('Données projet'!$B$16,Paramètres!$A$1:$I$89,3,0)*VLOOKUP('Données projet'!$B$16,Paramètres!$A$1:$I$89,5,0)</f>
        <v>199.64568000000006</v>
      </c>
      <c r="FG40" s="13">
        <f t="shared" si="47"/>
        <v>49.666290879455737</v>
      </c>
      <c r="FH40" s="20">
        <f t="shared" si="22"/>
        <v>434.21834928171887</v>
      </c>
      <c r="FI40" s="59">
        <f t="shared" si="23"/>
        <v>714.11896783350676</v>
      </c>
      <c r="FJ40" s="59">
        <f ca="1">AVERAGE(OFFSET($FI$3,0,0,'Données projet'!$E$16+1,1))-AVERAGE(OFFSET($H$3,0,0,'Données projet'!$E$16+1,1))</f>
        <v>457.706832425622</v>
      </c>
      <c r="FK40" s="59">
        <f t="shared" si="48"/>
        <v>474.61768219844873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12.608583044381351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12.608583044381351</v>
      </c>
      <c r="FU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11.4</v>
      </c>
      <c r="FZ40" s="12">
        <f>IF('Données projet'!$A$244&gt;35,FZ39+FY40-GH39,IF(A40&lt;'Données projet'!$A$244,$FW$205^A40,IF(A40='Données projet'!$A$244,'Données projet'!$B$244,FZ39+FY40-GH39)))</f>
        <v>193.79999999999998</v>
      </c>
      <c r="GA40" s="17">
        <f>FZ40*VLOOKUP('Données projet'!$B$17,Paramètres!$A$1:$I$89,3,0)*VLOOKUP('Données projet'!$B$17,Paramètres!$A$1:$I$89,5,0)</f>
        <v>187.44335999999998</v>
      </c>
      <c r="GB40" s="13">
        <f t="shared" si="49"/>
        <v>46.974271155353676</v>
      </c>
      <c r="GC40" s="20">
        <f t="shared" si="25"/>
        <v>408.27737426224098</v>
      </c>
      <c r="GD40" s="59">
        <f t="shared" si="26"/>
        <v>688.17799281402881</v>
      </c>
      <c r="GE40" s="59">
        <f ca="1">AVERAGE(OFFSET($GD$3,0,0,'Données projet'!$E$17+1,1))-AVERAGE(OFFSET($H$3,0,0,'Données projet'!$E$17+1,1))</f>
        <v>428.11167311086814</v>
      </c>
      <c r="GF40" s="59">
        <f t="shared" si="50"/>
        <v>415.69449942923609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15.466718601643603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15.466718601643603</v>
      </c>
      <c r="GP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1.1368683772161603E-13</v>
      </c>
      <c r="GV40" s="17">
        <f>GU40*VLOOKUP('Données projet'!$B$18,Paramètres!$A$1:$I$89,3,0)*VLOOKUP('Données projet'!$B$18,Paramètres!$A$1:$I$89,5,0)</f>
        <v>6.5087988332379613E-14</v>
      </c>
      <c r="GW40" s="13">
        <f t="shared" si="51"/>
        <v>1.0279249680474958E-12</v>
      </c>
      <c r="GX40" s="20">
        <f t="shared" si="28"/>
        <v>1.9036642323616162E-12</v>
      </c>
      <c r="GY40" s="59">
        <f t="shared" si="29"/>
        <v>279.90061855178976</v>
      </c>
      <c r="GZ40" s="59">
        <f ca="1">AVERAGE(OFFSET($GY$3,0,0,'Données projet'!$E$18+1,1))-AVERAGE(OFFSET($H$3,0,0,'Données projet'!$E$18+1,1))</f>
        <v>249.88816678272056</v>
      </c>
      <c r="HA40" s="59">
        <f t="shared" si="52"/>
        <v>432.10802787437319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72.301041700224658</v>
      </c>
      <c r="HH40" s="21">
        <f>EXP(-LN(2)/25)*HH39+(1-EXP(-LN(2)/25))/(LN(2)/25)*Calculateur!HC40*Calculateur!HE40*VLOOKUP('Données projet'!$B$18,Paramètres!$A$1:$I$89,3,0)*0.475*44/12</f>
        <v>17.718840937818893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90.019882638043555</v>
      </c>
    </row>
    <row r="41" spans="1:218" x14ac:dyDescent="0.3">
      <c r="A41" s="10">
        <f t="shared" si="31"/>
        <v>38</v>
      </c>
      <c r="B41" s="71">
        <f>'Scénario référence'!$B$16*5+'Scénario référence'!$B$17*0+'Scénario référence'!$B$18*5</f>
        <v>1.4000000000000001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5.1333333333333337</v>
      </c>
      <c r="H41" s="65">
        <f t="shared" si="1"/>
        <v>236.13333333333335</v>
      </c>
      <c r="I41" s="6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11.4</v>
      </c>
      <c r="N41" s="13">
        <f>IF('Données projet'!$A$36&gt;35,N40+M41-V40,IF(A41&lt;'Données projet'!$A$36,$K$205^A41,IF(A41='Données projet'!$A$36,'Données projet'!$B$36,N40+M41-V40)))</f>
        <v>205.2</v>
      </c>
      <c r="O41" s="13">
        <f>N41*VLOOKUP('Données projet'!$B$9,Paramètres!$A$1:$I$89,3,0)*VLOOKUP('Données projet'!$B$9,Paramètres!$A$1:$I$89,5,0)</f>
        <v>163.25712000000001</v>
      </c>
      <c r="P41" s="13">
        <f t="shared" si="33"/>
        <v>41.576304038313076</v>
      </c>
      <c r="Q41" s="20">
        <f t="shared" si="53"/>
        <v>356.75154686672863</v>
      </c>
      <c r="R41" s="59">
        <f t="shared" si="0"/>
        <v>636.88519298892504</v>
      </c>
      <c r="S41" s="59">
        <f ca="1">AVERAGE(OFFSET($R$3,0,0,'Données projet'!$E$9+1,1))-AVERAGE(OFFSET($H$3,0,0,'Données projet'!$E$9+1,1))</f>
        <v>360.06385535620069</v>
      </c>
      <c r="T41" s="59">
        <f t="shared" si="34"/>
        <v>350.82516032456408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15.373870826278271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15.373870826278271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138.07248000000001</v>
      </c>
      <c r="AK41" s="13">
        <f t="shared" si="35"/>
        <v>35.85508207677799</v>
      </c>
      <c r="AL41" s="20">
        <f t="shared" si="4"/>
        <v>302.9238372837217</v>
      </c>
      <c r="AM41" s="59">
        <f t="shared" si="5"/>
        <v>583.05748340591811</v>
      </c>
      <c r="AN41" s="59">
        <f ca="1">AVERAGE(OFFSET($AM$3,0,0,'Données projet'!$E$10+1,1))-AVERAGE(OFFSET($H$3,0,0,'Données projet'!$E$10+1,1))</f>
        <v>448.65237942538027</v>
      </c>
      <c r="AO41" s="59">
        <f t="shared" si="36"/>
        <v>283.56749129825107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11.34811212452475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11.34811212452475</v>
      </c>
      <c r="AY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10.4</v>
      </c>
      <c r="BD41" s="12">
        <f>IF('Données projet'!$A$88&gt;35,BD40+BC41-BL40,IF(A41&lt;'Données projet'!$A$88,$BA$205^A41,IF(A41='Données projet'!$A$88,'Données projet'!$B$88,BD40+BC41-BL40)))</f>
        <v>142.20000000000002</v>
      </c>
      <c r="BE41" s="13">
        <f>BD41*VLOOKUP('Données projet'!$B$11,Paramètres!$A$1:$I$89,3,0)*VLOOKUP('Données projet'!$B$11,Paramètres!$A$1:$I$89,5,0)</f>
        <v>122.00760000000004</v>
      </c>
      <c r="BF41" s="13">
        <f t="shared" si="37"/>
        <v>32.142785920703616</v>
      </c>
      <c r="BG41" s="20">
        <f t="shared" si="7"/>
        <v>268.47858881189217</v>
      </c>
      <c r="BH41" s="59">
        <f t="shared" si="8"/>
        <v>548.61223493408852</v>
      </c>
      <c r="BI41" s="59">
        <f ca="1">AVERAGE(OFFSET($BH$3,0,0,'Données projet'!$E$11+1,1))-AVERAGE(OFFSET($H$3,0,0,'Données projet'!$E$11+1,1))</f>
        <v>456.76871853389395</v>
      </c>
      <c r="BJ41" s="59">
        <f t="shared" si="38"/>
        <v>262.12425810289176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13.263731693259684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13.263731693259684</v>
      </c>
      <c r="BT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6.8</v>
      </c>
      <c r="BY41" s="12">
        <f>IF('Données projet'!$A$114&gt;35,BY40+BX41-CG40,IF(A41&lt;'Données projet'!$A$114,$BV$205^A41,IF(A41='Données projet'!$A$114,'Données projet'!$B$114,BY40+BX41-CG40)))</f>
        <v>156.40000000000003</v>
      </c>
      <c r="BZ41" s="13">
        <f>BY41*VLOOKUP('Données projet'!$B$12,Paramètres!$A$1:$I$89,3,0)*VLOOKUP('Données projet'!$B$12,Paramètres!$A$1:$I$89,5,0)</f>
        <v>114.67248000000002</v>
      </c>
      <c r="CA41" s="13">
        <f t="shared" si="39"/>
        <v>30.42917784146039</v>
      </c>
      <c r="CB41" s="20">
        <f t="shared" si="10"/>
        <v>252.71872074054355</v>
      </c>
      <c r="CC41" s="59">
        <f t="shared" si="11"/>
        <v>532.85236686273993</v>
      </c>
      <c r="CD41" s="59">
        <f ca="1">AVERAGE(OFFSET($CC$3,0,0,'Données projet'!$E$12+1,1))-AVERAGE(OFFSET($H$3,0,0,'Données projet'!$E$12+1,1))</f>
        <v>242.65851607945316</v>
      </c>
      <c r="CE41" s="59">
        <f t="shared" si="40"/>
        <v>218.9349999985487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10.8</v>
      </c>
      <c r="CT41" s="12">
        <f>IF('Données projet'!$A$140&gt;35,CT40+CS41-DB40,IF(A41&lt;'Données projet'!$A$140,$CQ$205^A41,IF(A41='Données projet'!$A$140,'Données projet'!$B$140,CT40+CS41-DB40)))</f>
        <v>191.4</v>
      </c>
      <c r="CU41" s="17">
        <f>CT41*VLOOKUP('Données projet'!$B$13,Paramètres!$A$1:$I$89,3,0)*VLOOKUP('Données projet'!$B$13,Paramètres!$A$1:$I$89,5,0)</f>
        <v>167.20704000000003</v>
      </c>
      <c r="CV41" s="13">
        <f t="shared" si="41"/>
        <v>42.463891647822834</v>
      </c>
      <c r="CW41" s="20">
        <f t="shared" si="13"/>
        <v>365.17687261995815</v>
      </c>
      <c r="CX41" s="59">
        <f t="shared" si="14"/>
        <v>645.3105187421545</v>
      </c>
      <c r="CY41" s="59">
        <f ca="1">AVERAGE(OFFSET($CX$3,0,0,'Données projet'!$E$13+1,1))-AVERAGE(OFFSET($H$3,0,0,'Données projet'!$E$13+1,1))</f>
        <v>326.9460696675867</v>
      </c>
      <c r="CZ41" s="59">
        <f t="shared" si="42"/>
        <v>393.4020374592568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16.435196870001366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16.435196870001366</v>
      </c>
      <c r="DJ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218.20000000000005</v>
      </c>
      <c r="DP41" s="17">
        <f>DO41*VLOOKUP('Données projet'!$B$14,Paramètres!$A$1:$I$89,3,0)*VLOOKUP('Données projet'!$B$14,Paramètres!$A$1:$I$89,5,0)</f>
        <v>170.19600000000005</v>
      </c>
      <c r="DQ41" s="13">
        <f t="shared" si="43"/>
        <v>43.13391812093576</v>
      </c>
      <c r="DR41" s="20">
        <f t="shared" si="16"/>
        <v>371.54960739396319</v>
      </c>
      <c r="DS41" s="59">
        <f t="shared" si="17"/>
        <v>651.68325351615954</v>
      </c>
      <c r="DT41" s="59">
        <f ca="1">AVERAGE(OFFSET($DS$3,0,0,'Données projet'!$E$14+1,1))-AVERAGE(OFFSET($H$3,0,0,'Données projet'!$E$14+1,1))</f>
        <v>364.34528546733799</v>
      </c>
      <c r="DU41" s="59">
        <f t="shared" si="44"/>
        <v>346.5839763411152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10.13224296832567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10.13224296832567</v>
      </c>
      <c r="EE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137.64815999999999</v>
      </c>
      <c r="EL41" s="13">
        <f t="shared" si="45"/>
        <v>35.757701898726467</v>
      </c>
      <c r="EM41" s="20">
        <f t="shared" si="19"/>
        <v>302.01520947361524</v>
      </c>
      <c r="EN41" s="59">
        <f t="shared" si="20"/>
        <v>582.14885559581171</v>
      </c>
      <c r="EO41" s="59">
        <f ca="1">AVERAGE(OFFSET($EN$3,0,0,'Données projet'!$E$15+1,1))-AVERAGE(OFFSET($H$3,0,0,'Données projet'!$E$15+1,1))</f>
        <v>310.38232870602445</v>
      </c>
      <c r="EP41" s="59">
        <f t="shared" si="46"/>
        <v>303.45934457265537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12.962283245685601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12.962283245685601</v>
      </c>
      <c r="EZ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8.4</v>
      </c>
      <c r="FE41" s="12">
        <f>IF('Données projet'!$A$218&gt;35,FE40+FD41-FM40,IF(A41&lt;'Données projet'!$A$218,$FB$205^A41,IF(A41='Données projet'!$A$218,'Données projet'!$B$218,FE40+FD41-FM40)))</f>
        <v>218.20000000000005</v>
      </c>
      <c r="FF41" s="17">
        <f>FE41*VLOOKUP('Données projet'!$B$16,Paramètres!$A$1:$I$89,3,0)*VLOOKUP('Données projet'!$B$16,Paramètres!$A$1:$I$89,5,0)</f>
        <v>207.63912000000005</v>
      </c>
      <c r="FG41" s="13">
        <f t="shared" si="47"/>
        <v>51.419335037191388</v>
      </c>
      <c r="FH41" s="20">
        <f t="shared" si="22"/>
        <v>451.19347585644169</v>
      </c>
      <c r="FI41" s="59">
        <f t="shared" si="23"/>
        <v>731.32712197863816</v>
      </c>
      <c r="FJ41" s="59">
        <f ca="1">AVERAGE(OFFSET($FI$3,0,0,'Données projet'!$E$16+1,1))-AVERAGE(OFFSET($H$3,0,0,'Données projet'!$E$16+1,1))</f>
        <v>457.706832425622</v>
      </c>
      <c r="FK41" s="59">
        <f t="shared" si="48"/>
        <v>474.61768219844873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12.361336421357318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12.361336421357318</v>
      </c>
      <c r="FU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11.4</v>
      </c>
      <c r="FZ41" s="12">
        <f>IF('Données projet'!$A$244&gt;35,FZ40+FY41-GH40,IF(A41&lt;'Données projet'!$A$244,$FW$205^A41,IF(A41='Données projet'!$A$244,'Données projet'!$B$244,FZ40+FY41-GH40)))</f>
        <v>205.2</v>
      </c>
      <c r="GA41" s="17">
        <f>FZ41*VLOOKUP('Données projet'!$B$17,Paramètres!$A$1:$I$89,3,0)*VLOOKUP('Données projet'!$B$17,Paramètres!$A$1:$I$89,5,0)</f>
        <v>198.46943999999999</v>
      </c>
      <c r="GB41" s="13">
        <f t="shared" si="49"/>
        <v>49.407646717262175</v>
      </c>
      <c r="GC41" s="20">
        <f t="shared" si="25"/>
        <v>431.71925936589827</v>
      </c>
      <c r="GD41" s="59">
        <f t="shared" si="26"/>
        <v>711.85290548809462</v>
      </c>
      <c r="GE41" s="59">
        <f ca="1">AVERAGE(OFFSET($GD$3,0,0,'Données projet'!$E$17+1,1))-AVERAGE(OFFSET($H$3,0,0,'Données projet'!$E$17+1,1))</f>
        <v>428.11167311086814</v>
      </c>
      <c r="GF41" s="59">
        <f t="shared" si="50"/>
        <v>415.69449942923609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15.163425683632212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15.163425683632212</v>
      </c>
      <c r="GP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1.1368683772161603E-13</v>
      </c>
      <c r="GV41" s="17">
        <f>GU41*VLOOKUP('Données projet'!$B$18,Paramètres!$A$1:$I$89,3,0)*VLOOKUP('Données projet'!$B$18,Paramètres!$A$1:$I$89,5,0)</f>
        <v>6.5087988332379613E-14</v>
      </c>
      <c r="GW41" s="13">
        <f t="shared" si="51"/>
        <v>1.0279249680474958E-12</v>
      </c>
      <c r="GX41" s="20">
        <f t="shared" si="28"/>
        <v>1.9036642323616162E-12</v>
      </c>
      <c r="GY41" s="59">
        <f t="shared" si="29"/>
        <v>280.13364612219829</v>
      </c>
      <c r="GZ41" s="59">
        <f ca="1">AVERAGE(OFFSET($GY$3,0,0,'Données projet'!$E$18+1,1))-AVERAGE(OFFSET($H$3,0,0,'Données projet'!$E$18+1,1))</f>
        <v>249.88816678272056</v>
      </c>
      <c r="HA41" s="59">
        <f t="shared" si="52"/>
        <v>432.10802787437319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70.883262371764246</v>
      </c>
      <c r="HH41" s="21">
        <f>EXP(-LN(2)/25)*HH40+(1-EXP(-LN(2)/25))/(LN(2)/25)*Calculateur!HC41*Calculateur!HE41*VLOOKUP('Données projet'!$B$18,Paramètres!$A$1:$I$89,3,0)*0.475*44/12</f>
        <v>17.234318300580888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88.117580672345127</v>
      </c>
    </row>
    <row r="42" spans="1:218" x14ac:dyDescent="0.3">
      <c r="A42" s="10">
        <f t="shared" si="31"/>
        <v>39</v>
      </c>
      <c r="B42" s="71">
        <f>'Scénario référence'!$B$16*5+'Scénario référence'!$B$17*0+'Scénario référence'!$B$18*5</f>
        <v>1.4000000000000001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5.1333333333333337</v>
      </c>
      <c r="H42" s="65">
        <f t="shared" si="1"/>
        <v>236.13333333333335</v>
      </c>
      <c r="I42" s="6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11.4</v>
      </c>
      <c r="N42" s="13">
        <f>IF('Données projet'!$A$36&gt;35,N41+M42-V41,IF(A42&lt;'Données projet'!$A$36,$K$205^A42,IF(A42='Données projet'!$A$36,'Données projet'!$B$36,N41+M42-V41)))</f>
        <v>216.6</v>
      </c>
      <c r="O42" s="13">
        <f>N42*VLOOKUP('Données projet'!$B$9,Paramètres!$A$1:$I$89,3,0)*VLOOKUP('Données projet'!$B$9,Paramètres!$A$1:$I$89,5,0)</f>
        <v>172.32695999999999</v>
      </c>
      <c r="P42" s="13">
        <f t="shared" si="33"/>
        <v>43.61077213808133</v>
      </c>
      <c r="Q42" s="20">
        <f t="shared" si="53"/>
        <v>376.09155014049156</v>
      </c>
      <c r="R42" s="59">
        <f t="shared" si="0"/>
        <v>656.45418132572149</v>
      </c>
      <c r="S42" s="59">
        <f ca="1">AVERAGE(OFFSET($R$3,0,0,'Données projet'!$E$9+1,1))-AVERAGE(OFFSET($H$3,0,0,'Données projet'!$E$9+1,1))</f>
        <v>360.06385535620069</v>
      </c>
      <c r="T42" s="59">
        <f t="shared" si="34"/>
        <v>350.82516032456408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15.072398596510244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15.072398596510244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148.20624000000001</v>
      </c>
      <c r="AK42" s="13">
        <f t="shared" si="35"/>
        <v>38.170662245893794</v>
      </c>
      <c r="AL42" s="20">
        <f t="shared" si="4"/>
        <v>324.60643807826506</v>
      </c>
      <c r="AM42" s="59">
        <f t="shared" si="5"/>
        <v>604.96906926349504</v>
      </c>
      <c r="AN42" s="59">
        <f ca="1">AVERAGE(OFFSET($AM$3,0,0,'Données projet'!$E$10+1,1))-AVERAGE(OFFSET($H$3,0,0,'Données projet'!$E$10+1,1))</f>
        <v>448.65237942538027</v>
      </c>
      <c r="AO42" s="59">
        <f t="shared" si="36"/>
        <v>283.56749129825107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11.125582567427758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11.125582567427758</v>
      </c>
      <c r="AY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10.4</v>
      </c>
      <c r="BD42" s="12">
        <f>IF('Données projet'!$A$88&gt;35,BD41+BC42-BL41,IF(A42&lt;'Données projet'!$A$88,$BA$205^A42,IF(A42='Données projet'!$A$88,'Données projet'!$B$88,BD41+BC42-BL41)))</f>
        <v>152.60000000000002</v>
      </c>
      <c r="BE42" s="13">
        <f>BD42*VLOOKUP('Données projet'!$B$11,Paramètres!$A$1:$I$89,3,0)*VLOOKUP('Données projet'!$B$11,Paramètres!$A$1:$I$89,5,0)</f>
        <v>130.93080000000003</v>
      </c>
      <c r="BF42" s="13">
        <f t="shared" si="37"/>
        <v>34.211350494649842</v>
      </c>
      <c r="BG42" s="20">
        <f t="shared" si="7"/>
        <v>287.62257877818189</v>
      </c>
      <c r="BH42" s="59">
        <f t="shared" si="8"/>
        <v>567.98520996341188</v>
      </c>
      <c r="BI42" s="59">
        <f ca="1">AVERAGE(OFFSET($BH$3,0,0,'Données projet'!$E$11+1,1))-AVERAGE(OFFSET($H$3,0,0,'Données projet'!$E$11+1,1))</f>
        <v>456.76871853389395</v>
      </c>
      <c r="BJ42" s="59">
        <f t="shared" si="38"/>
        <v>262.12425810289176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13.003638004832366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13.003638004832366</v>
      </c>
      <c r="BT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6.8</v>
      </c>
      <c r="BY42" s="12">
        <f>IF('Données projet'!$A$114&gt;35,BY41+BX42-CG41,IF(A42&lt;'Données projet'!$A$114,$BV$205^A42,IF(A42='Données projet'!$A$114,'Données projet'!$B$114,BY41+BX42-CG41)))</f>
        <v>163.20000000000005</v>
      </c>
      <c r="BZ42" s="13">
        <f>BY42*VLOOKUP('Données projet'!$B$12,Paramètres!$A$1:$I$89,3,0)*VLOOKUP('Données projet'!$B$12,Paramètres!$A$1:$I$89,5,0)</f>
        <v>119.65824000000003</v>
      </c>
      <c r="CA42" s="13">
        <f t="shared" si="39"/>
        <v>31.595276160231336</v>
      </c>
      <c r="CB42" s="20">
        <f t="shared" si="10"/>
        <v>263.43320731240294</v>
      </c>
      <c r="CC42" s="59">
        <f t="shared" si="11"/>
        <v>543.79583849763299</v>
      </c>
      <c r="CD42" s="59">
        <f ca="1">AVERAGE(OFFSET($CC$3,0,0,'Données projet'!$E$12+1,1))-AVERAGE(OFFSET($H$3,0,0,'Données projet'!$E$12+1,1))</f>
        <v>242.65851607945316</v>
      </c>
      <c r="CE42" s="59">
        <f t="shared" si="40"/>
        <v>218.9349999985487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10.8</v>
      </c>
      <c r="CT42" s="12">
        <f>IF('Données projet'!$A$140&gt;35,CT41+CS42-DB41,IF(A42&lt;'Données projet'!$A$140,$CQ$205^A42,IF(A42='Données projet'!$A$140,'Données projet'!$B$140,CT41+CS42-DB41)))</f>
        <v>202.20000000000002</v>
      </c>
      <c r="CU42" s="17">
        <f>CT42*VLOOKUP('Données projet'!$B$13,Paramètres!$A$1:$I$89,3,0)*VLOOKUP('Données projet'!$B$13,Paramètres!$A$1:$I$89,5,0)</f>
        <v>176.64192000000003</v>
      </c>
      <c r="CV42" s="13">
        <f t="shared" si="41"/>
        <v>44.574258350008236</v>
      </c>
      <c r="CW42" s="20">
        <f t="shared" si="13"/>
        <v>385.28484395959771</v>
      </c>
      <c r="CX42" s="59">
        <f t="shared" si="14"/>
        <v>665.64747514482769</v>
      </c>
      <c r="CY42" s="59">
        <f ca="1">AVERAGE(OFFSET($CX$3,0,0,'Données projet'!$E$13+1,1))-AVERAGE(OFFSET($H$3,0,0,'Données projet'!$E$13+1,1))</f>
        <v>326.9460696675867</v>
      </c>
      <c r="CZ42" s="59">
        <f t="shared" si="42"/>
        <v>393.4020374592568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16.112912683860895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16.112912683860895</v>
      </c>
      <c r="DJ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229.60000000000005</v>
      </c>
      <c r="DP42" s="17">
        <f>DO42*VLOOKUP('Données projet'!$B$14,Paramètres!$A$1:$I$89,3,0)*VLOOKUP('Données projet'!$B$14,Paramètres!$A$1:$I$89,5,0)</f>
        <v>179.08800000000005</v>
      </c>
      <c r="DQ42" s="13">
        <f t="shared" si="43"/>
        <v>45.119223023956835</v>
      </c>
      <c r="DR42" s="20">
        <f t="shared" si="16"/>
        <v>390.49424676672493</v>
      </c>
      <c r="DS42" s="59">
        <f t="shared" si="17"/>
        <v>670.85687795195486</v>
      </c>
      <c r="DT42" s="59">
        <f ca="1">AVERAGE(OFFSET($DS$3,0,0,'Données projet'!$E$14+1,1))-AVERAGE(OFFSET($H$3,0,0,'Données projet'!$E$14+1,1))</f>
        <v>364.34528546733799</v>
      </c>
      <c r="DU42" s="59">
        <f t="shared" si="44"/>
        <v>346.5839763411152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9.9335558637747852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9.9335558637747852</v>
      </c>
      <c r="EE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145.29527999999999</v>
      </c>
      <c r="EL42" s="13">
        <f t="shared" si="45"/>
        <v>37.50744626674301</v>
      </c>
      <c r="EM42" s="20">
        <f t="shared" si="19"/>
        <v>318.38141491457736</v>
      </c>
      <c r="EN42" s="59">
        <f t="shared" si="20"/>
        <v>598.74404609980729</v>
      </c>
      <c r="EO42" s="59">
        <f ca="1">AVERAGE(OFFSET($EN$3,0,0,'Données projet'!$E$15+1,1))-AVERAGE(OFFSET($H$3,0,0,'Données projet'!$E$15+1,1))</f>
        <v>310.38232870602445</v>
      </c>
      <c r="EP42" s="59">
        <f t="shared" si="46"/>
        <v>303.45934457265537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12.708100777449813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12.708100777449813</v>
      </c>
      <c r="EZ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8.4</v>
      </c>
      <c r="FE42" s="12">
        <f>IF('Données projet'!$A$218&gt;35,FE41+FD42-FM41,IF(A42&lt;'Données projet'!$A$218,$FB$205^A42,IF(A42='Données projet'!$A$218,'Données projet'!$B$218,FE41+FD42-FM41)))</f>
        <v>226.60000000000005</v>
      </c>
      <c r="FF42" s="17">
        <f>FE42*VLOOKUP('Données projet'!$B$16,Paramètres!$A$1:$I$89,3,0)*VLOOKUP('Données projet'!$B$16,Paramètres!$A$1:$I$89,5,0)</f>
        <v>215.63256000000004</v>
      </c>
      <c r="FG42" s="13">
        <f t="shared" si="47"/>
        <v>53.164539286100229</v>
      </c>
      <c r="FH42" s="20">
        <f t="shared" si="22"/>
        <v>468.15494792329127</v>
      </c>
      <c r="FI42" s="59">
        <f t="shared" si="23"/>
        <v>748.5175791085212</v>
      </c>
      <c r="FJ42" s="59">
        <f ca="1">AVERAGE(OFFSET($FI$3,0,0,'Données projet'!$E$16+1,1))-AVERAGE(OFFSET($H$3,0,0,'Données projet'!$E$16+1,1))</f>
        <v>457.706832425622</v>
      </c>
      <c r="FK42" s="59">
        <f t="shared" si="48"/>
        <v>474.61768219844873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12.118938153805237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12.118938153805237</v>
      </c>
      <c r="FU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11.4</v>
      </c>
      <c r="FZ42" s="12">
        <f>IF('Données projet'!$A$244&gt;35,FZ41+FY42-GH41,IF(A42&lt;'Données projet'!$A$244,$FW$205^A42,IF(A42='Données projet'!$A$244,'Données projet'!$B$244,FZ41+FY42-GH41)))</f>
        <v>216.6</v>
      </c>
      <c r="GA42" s="17">
        <f>FZ42*VLOOKUP('Données projet'!$B$17,Paramètres!$A$1:$I$89,3,0)*VLOOKUP('Données projet'!$B$17,Paramètres!$A$1:$I$89,5,0)</f>
        <v>209.49552</v>
      </c>
      <c r="GB42" s="13">
        <f t="shared" si="49"/>
        <v>51.825328698764451</v>
      </c>
      <c r="GC42" s="20">
        <f t="shared" si="25"/>
        <v>455.13381148368143</v>
      </c>
      <c r="GD42" s="59">
        <f t="shared" si="26"/>
        <v>735.49644266891141</v>
      </c>
      <c r="GE42" s="59">
        <f ca="1">AVERAGE(OFFSET($GD$3,0,0,'Données projet'!$E$17+1,1))-AVERAGE(OFFSET($H$3,0,0,'Données projet'!$E$17+1,1))</f>
        <v>428.11167311086814</v>
      </c>
      <c r="GF42" s="59">
        <f t="shared" si="50"/>
        <v>415.69449942923609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14.866080154752611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14.866080154752611</v>
      </c>
      <c r="GP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1.1368683772161603E-13</v>
      </c>
      <c r="GV42" s="17">
        <f>GU42*VLOOKUP('Données projet'!$B$18,Paramètres!$A$1:$I$89,3,0)*VLOOKUP('Données projet'!$B$18,Paramètres!$A$1:$I$89,5,0)</f>
        <v>6.5087988332379613E-14</v>
      </c>
      <c r="GW42" s="13">
        <f t="shared" si="51"/>
        <v>1.0279249680474958E-12</v>
      </c>
      <c r="GX42" s="20">
        <f t="shared" si="28"/>
        <v>1.9036642323616162E-12</v>
      </c>
      <c r="GY42" s="59">
        <f t="shared" si="29"/>
        <v>280.36263118523186</v>
      </c>
      <c r="GZ42" s="59">
        <f ca="1">AVERAGE(OFFSET($GY$3,0,0,'Données projet'!$E$18+1,1))-AVERAGE(OFFSET($H$3,0,0,'Données projet'!$E$18+1,1))</f>
        <v>249.88816678272056</v>
      </c>
      <c r="HA42" s="59">
        <f t="shared" si="52"/>
        <v>432.10802787437319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69.493284831174947</v>
      </c>
      <c r="HH42" s="21">
        <f>EXP(-LN(2)/25)*HH41+(1-EXP(-LN(2)/25))/(LN(2)/25)*Calculateur!HC42*Calculateur!HE42*VLOOKUP('Données projet'!$B$18,Paramètres!$A$1:$I$89,3,0)*0.475*44/12</f>
        <v>16.763044960338092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86.256329791513039</v>
      </c>
    </row>
    <row r="43" spans="1:218" x14ac:dyDescent="0.3">
      <c r="A43" s="10">
        <f t="shared" si="31"/>
        <v>40</v>
      </c>
      <c r="B43" s="71">
        <f>'Scénario référence'!$B$16*5+'Scénario référence'!$B$17*0+'Scénario référence'!$B$18*5</f>
        <v>1.4000000000000001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5.1333333333333337</v>
      </c>
      <c r="H43" s="65">
        <f t="shared" si="1"/>
        <v>236.13333333333335</v>
      </c>
      <c r="I43" s="6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228</v>
      </c>
      <c r="L43" s="12">
        <f>VLOOKUP(A43,'Données projet'!$A$35:$I$55,9,0)</f>
        <v>11.4</v>
      </c>
      <c r="M43" s="12">
        <f t="array" ref="M43">INDEX(L:L,MIN(IF(ISNUMBER(L43:L239),ROW(L43:L239),"")))</f>
        <v>11.4</v>
      </c>
      <c r="N43" s="13">
        <f>IF('Données projet'!$A$36&gt;35,N42+M43-V42,IF(A43&lt;'Données projet'!$A$36,$K$205^A43,IF(A43='Données projet'!$A$36,'Données projet'!$B$36,N42+M43-V42)))</f>
        <v>228</v>
      </c>
      <c r="O43" s="13">
        <f>N43*VLOOKUP('Données projet'!$B$9,Paramètres!$A$1:$I$89,3,0)*VLOOKUP('Données projet'!$B$9,Paramètres!$A$1:$I$89,5,0)</f>
        <v>181.39680000000001</v>
      </c>
      <c r="P43" s="13">
        <f t="shared" si="33"/>
        <v>45.63280848550832</v>
      </c>
      <c r="Q43" s="20">
        <f t="shared" si="53"/>
        <v>395.40990144559368</v>
      </c>
      <c r="R43" s="59">
        <f t="shared" si="0"/>
        <v>675.9975453149475</v>
      </c>
      <c r="S43" s="59">
        <f ca="1">AVERAGE(OFFSET($R$3,0,0,'Données projet'!$E$9+1,1))-AVERAGE(OFFSET($H$3,0,0,'Données projet'!$E$9+1,1))</f>
        <v>360.06385535620069</v>
      </c>
      <c r="T43" s="59">
        <f t="shared" si="34"/>
        <v>350.82516032456408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35</v>
      </c>
      <c r="W43" s="16">
        <f>IF(ISNA(VLOOKUP(A43,'Données projet'!$A$35:$I$55,5,0)),0%,VLOOKUP(A43,'Données projet'!$A$35:$I$55,5,0)*VLOOKUP('Données projet'!$B$9,Paramètres!$A$1:$I$89,7,0))</f>
        <v>0.53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31.091789993179567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31.091789993179567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158.34</v>
      </c>
      <c r="AK43" s="13">
        <f t="shared" si="35"/>
        <v>40.467870812652819</v>
      </c>
      <c r="AL43" s="20">
        <f t="shared" si="4"/>
        <v>346.25704166537031</v>
      </c>
      <c r="AM43" s="59">
        <f t="shared" si="5"/>
        <v>626.84468553472414</v>
      </c>
      <c r="AN43" s="59">
        <f ca="1">AVERAGE(OFFSET($AM$3,0,0,'Données projet'!$E$10+1,1))-AVERAGE(OFFSET($H$3,0,0,'Données projet'!$E$10+1,1))</f>
        <v>448.65237942538027</v>
      </c>
      <c r="AO43" s="59">
        <f t="shared" si="36"/>
        <v>283.56749129825107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22.950181056008823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22.950181056008823</v>
      </c>
      <c r="AY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163</v>
      </c>
      <c r="BB43" s="12">
        <f>VLOOKUP(A43,'Données projet'!$A$87:$I$107,9,0)</f>
        <v>10.4</v>
      </c>
      <c r="BC43" s="12">
        <f t="array" ref="BC43">INDEX(BB:BB,MIN(IF(ISNUMBER(BB43:BB239),ROW(BB43:BB239),"")))</f>
        <v>10.4</v>
      </c>
      <c r="BD43" s="12">
        <f>IF('Données projet'!$A$88&gt;35,BD42+BC43-BL42,IF(A43&lt;'Données projet'!$A$88,$BA$205^A43,IF(A43='Données projet'!$A$88,'Données projet'!$B$88,BD42+BC43-BL42)))</f>
        <v>163.00000000000003</v>
      </c>
      <c r="BE43" s="13">
        <f>BD43*VLOOKUP('Données projet'!$B$11,Paramètres!$A$1:$I$89,3,0)*VLOOKUP('Données projet'!$B$11,Paramètres!$A$1:$I$89,5,0)</f>
        <v>139.85400000000004</v>
      </c>
      <c r="BF43" s="13">
        <f t="shared" si="37"/>
        <v>36.263556914404674</v>
      </c>
      <c r="BG43" s="20">
        <f t="shared" si="7"/>
        <v>306.73807829258823</v>
      </c>
      <c r="BH43" s="59">
        <f t="shared" si="8"/>
        <v>587.32572216194205</v>
      </c>
      <c r="BI43" s="59">
        <f ca="1">AVERAGE(OFFSET($BH$3,0,0,'Données projet'!$E$11+1,1))-AVERAGE(OFFSET($H$3,0,0,'Données projet'!$E$11+1,1))</f>
        <v>456.76871853389395</v>
      </c>
      <c r="BJ43" s="59">
        <f t="shared" si="38"/>
        <v>262.12425810289176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26.82428940588041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26.82428940588041</v>
      </c>
      <c r="BT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170</v>
      </c>
      <c r="BW43" s="12">
        <f>VLOOKUP(A43,'Données projet'!$A$113:$I$133,9,0)</f>
        <v>6.8</v>
      </c>
      <c r="BX43" s="12">
        <f t="array" ref="BX43">INDEX(BW:BW,MIN(IF(ISNUMBER(BW43:BW239),ROW(BW43:BW239),"")))</f>
        <v>6.8</v>
      </c>
      <c r="BY43" s="12">
        <f>IF('Données projet'!$A$114&gt;35,BY42+BX43-CG42,IF(A43&lt;'Données projet'!$A$114,$BV$205^A43,IF(A43='Données projet'!$A$114,'Données projet'!$B$114,BY42+BX43-CG42)))</f>
        <v>170.00000000000006</v>
      </c>
      <c r="BZ43" s="13">
        <f>BY43*VLOOKUP('Données projet'!$B$12,Paramètres!$A$1:$I$89,3,0)*VLOOKUP('Données projet'!$B$12,Paramètres!$A$1:$I$89,5,0)</f>
        <v>124.64400000000003</v>
      </c>
      <c r="CA43" s="13">
        <f t="shared" si="39"/>
        <v>32.755730870217214</v>
      </c>
      <c r="CB43" s="20">
        <f t="shared" si="10"/>
        <v>274.1378645989617</v>
      </c>
      <c r="CC43" s="59">
        <f t="shared" si="11"/>
        <v>554.72550846831552</v>
      </c>
      <c r="CD43" s="59">
        <f ca="1">AVERAGE(OFFSET($CC$3,0,0,'Données projet'!$E$12+1,1))-AVERAGE(OFFSET($H$3,0,0,'Données projet'!$E$12+1,1))</f>
        <v>242.65851607945316</v>
      </c>
      <c r="CE43" s="59">
        <f t="shared" si="40"/>
        <v>218.9349999985487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213</v>
      </c>
      <c r="CR43" s="12">
        <f>VLOOKUP(A43,'Données projet'!$A$139:$I$159,9,0)</f>
        <v>10.8</v>
      </c>
      <c r="CS43" s="12">
        <f t="array" ref="CS43">INDEX(CR:CR,MIN(IF(ISNUMBER(CR43:CR239),ROW(CR43:CR239),"")))</f>
        <v>10.8</v>
      </c>
      <c r="CT43" s="12">
        <f>IF('Données projet'!$A$140&gt;35,CT42+CS43-DB42,IF(A43&lt;'Données projet'!$A$140,$CQ$205^A43,IF(A43='Données projet'!$A$140,'Données projet'!$B$140,CT42+CS43-DB42)))</f>
        <v>213.00000000000003</v>
      </c>
      <c r="CU43" s="17">
        <f>CT43*VLOOKUP('Données projet'!$B$13,Paramètres!$A$1:$I$89,3,0)*VLOOKUP('Données projet'!$B$13,Paramètres!$A$1:$I$89,5,0)</f>
        <v>186.07680000000005</v>
      </c>
      <c r="CV43" s="13">
        <f t="shared" si="41"/>
        <v>46.671538591528673</v>
      </c>
      <c r="CW43" s="20">
        <f t="shared" si="13"/>
        <v>405.37002304691242</v>
      </c>
      <c r="CX43" s="59">
        <f t="shared" si="14"/>
        <v>685.95766691626625</v>
      </c>
      <c r="CY43" s="59">
        <f ca="1">AVERAGE(OFFSET($CX$3,0,0,'Données projet'!$E$13+1,1))-AVERAGE(OFFSET($H$3,0,0,'Données projet'!$E$13+1,1))</f>
        <v>326.9460696675867</v>
      </c>
      <c r="CZ43" s="59">
        <f t="shared" si="42"/>
        <v>393.4020374592568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39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31.99239004213765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31.99239004213765</v>
      </c>
      <c r="DJ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241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241.00000000000006</v>
      </c>
      <c r="DP43" s="17">
        <f>DO43*VLOOKUP('Données projet'!$B$14,Paramètres!$A$1:$I$89,3,0)*VLOOKUP('Données projet'!$B$14,Paramètres!$A$1:$I$89,5,0)</f>
        <v>187.98000000000005</v>
      </c>
      <c r="DQ43" s="13">
        <f t="shared" si="43"/>
        <v>47.093082099012364</v>
      </c>
      <c r="DR43" s="20">
        <f t="shared" si="16"/>
        <v>409.41895132244662</v>
      </c>
      <c r="DS43" s="59">
        <f t="shared" si="17"/>
        <v>690.00659519180044</v>
      </c>
      <c r="DT43" s="59">
        <f ca="1">AVERAGE(OFFSET($DS$3,0,0,'Données projet'!$E$14+1,1))-AVERAGE(OFFSET($H$3,0,0,'Données projet'!$E$14+1,1))</f>
        <v>364.34528546733799</v>
      </c>
      <c r="DU43" s="59">
        <f t="shared" si="44"/>
        <v>346.5839763411152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32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21.603557381608223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21.603557381608223</v>
      </c>
      <c r="EE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152.94239999999999</v>
      </c>
      <c r="EL43" s="13">
        <f t="shared" si="45"/>
        <v>39.246498705676878</v>
      </c>
      <c r="EM43" s="20">
        <f t="shared" si="19"/>
        <v>334.72899857905389</v>
      </c>
      <c r="EN43" s="59">
        <f t="shared" si="20"/>
        <v>615.31664244840772</v>
      </c>
      <c r="EO43" s="59">
        <f ca="1">AVERAGE(OFFSET($EN$3,0,0,'Données projet'!$E$15+1,1))-AVERAGE(OFFSET($H$3,0,0,'Données projet'!$E$15+1,1))</f>
        <v>310.38232870602445</v>
      </c>
      <c r="EP43" s="59">
        <f t="shared" si="46"/>
        <v>303.45934457265537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26.214646464837671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26.214646464837671</v>
      </c>
      <c r="EZ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235</v>
      </c>
      <c r="FC43" s="12">
        <f>VLOOKUP(A43,'Données projet'!$A$217:$I$237,9,0)</f>
        <v>8.4</v>
      </c>
      <c r="FD43" s="12">
        <f t="array" ref="FD43">INDEX(FC:FC,MIN(IF(ISNUMBER(FC43:FC239),ROW(FC43:FC239),"")))</f>
        <v>8.4</v>
      </c>
      <c r="FE43" s="12">
        <f>IF('Données projet'!$A$218&gt;35,FE42+FD43-FM42,IF(A43&lt;'Données projet'!$A$218,$FB$205^A43,IF(A43='Données projet'!$A$218,'Données projet'!$B$218,FE42+FD43-FM42)))</f>
        <v>235.00000000000006</v>
      </c>
      <c r="FF43" s="17">
        <f>FE43*VLOOKUP('Données projet'!$B$16,Paramètres!$A$1:$I$89,3,0)*VLOOKUP('Données projet'!$B$16,Paramètres!$A$1:$I$89,5,0)</f>
        <v>223.62600000000003</v>
      </c>
      <c r="FG43" s="13">
        <f t="shared" si="47"/>
        <v>54.902227529974944</v>
      </c>
      <c r="FH43" s="20">
        <f t="shared" si="22"/>
        <v>485.10332961470635</v>
      </c>
      <c r="FI43" s="59">
        <f t="shared" si="23"/>
        <v>765.69097348406012</v>
      </c>
      <c r="FJ43" s="59">
        <f ca="1">AVERAGE(OFFSET($FI$3,0,0,'Données projet'!$E$16+1,1))-AVERAGE(OFFSET($H$3,0,0,'Données projet'!$E$16+1,1))</f>
        <v>457.706832425622</v>
      </c>
      <c r="FK43" s="59">
        <f t="shared" si="48"/>
        <v>474.61768219844873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30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25.451649578241373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25.451649578241373</v>
      </c>
      <c r="FU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228</v>
      </c>
      <c r="FX43" s="12">
        <f>VLOOKUP(A43,'Données projet'!$A$243:$I$263,9,0)</f>
        <v>11.4</v>
      </c>
      <c r="FY43" s="12">
        <f t="array" ref="FY43">INDEX(FX:FX,MIN(IF(ISNUMBER(FX43:FX239),ROW(FX43:FX239),"")))</f>
        <v>11.4</v>
      </c>
      <c r="FZ43" s="12">
        <f>IF('Données projet'!$A$244&gt;35,FZ42+FY43-GH42,IF(A43&lt;'Données projet'!$A$244,$FW$205^A43,IF(A43='Données projet'!$A$244,'Données projet'!$B$244,FZ42+FY43-GH42)))</f>
        <v>228</v>
      </c>
      <c r="GA43" s="17">
        <f>FZ43*VLOOKUP('Données projet'!$B$17,Paramètres!$A$1:$I$89,3,0)*VLOOKUP('Données projet'!$B$17,Paramètres!$A$1:$I$89,5,0)</f>
        <v>220.52159999999998</v>
      </c>
      <c r="GB43" s="13">
        <f t="shared" si="49"/>
        <v>54.228237274069109</v>
      </c>
      <c r="GC43" s="20">
        <f t="shared" si="25"/>
        <v>478.52263325233702</v>
      </c>
      <c r="GD43" s="59">
        <f t="shared" si="26"/>
        <v>759.11027712169084</v>
      </c>
      <c r="GE43" s="59">
        <f ca="1">AVERAGE(OFFSET($GD$3,0,0,'Données projet'!$E$17+1,1))-AVERAGE(OFFSET($H$3,0,0,'Données projet'!$E$17+1,1))</f>
        <v>428.11167311086814</v>
      </c>
      <c r="GF43" s="59">
        <f t="shared" si="50"/>
        <v>415.69449942923609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35</v>
      </c>
      <c r="GI43" s="16">
        <f>IF(ISNA(VLOOKUP(A43,'Données projet'!$A$243:$I$263,5,0)),0%,VLOOKUP(A43,'Données projet'!$A$243:$I$263,5,0)*VLOOKUP('Données projet'!$B$17,Paramètres!$A$1:$I$89,7,0))</f>
        <v>0.43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30.666190204149729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30.666190204149729</v>
      </c>
      <c r="GP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1.1368683772161603E-13</v>
      </c>
      <c r="GV43" s="17">
        <f>GU43*VLOOKUP('Données projet'!$B$18,Paramètres!$A$1:$I$89,3,0)*VLOOKUP('Données projet'!$B$18,Paramètres!$A$1:$I$89,5,0)</f>
        <v>6.5087988332379613E-14</v>
      </c>
      <c r="GW43" s="13">
        <f t="shared" si="51"/>
        <v>1.0279249680474958E-12</v>
      </c>
      <c r="GX43" s="20">
        <f t="shared" si="28"/>
        <v>1.9036642323616162E-12</v>
      </c>
      <c r="GY43" s="59">
        <f t="shared" si="29"/>
        <v>280.5876438693557</v>
      </c>
      <c r="GZ43" s="59">
        <f ca="1">AVERAGE(OFFSET($GY$3,0,0,'Données projet'!$E$18+1,1))-AVERAGE(OFFSET($H$3,0,0,'Données projet'!$E$18+1,1))</f>
        <v>249.88816678272056</v>
      </c>
      <c r="HA43" s="59">
        <f t="shared" si="52"/>
        <v>432.10802787437319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68.130563902354012</v>
      </c>
      <c r="HH43" s="21">
        <f>EXP(-LN(2)/25)*HH42+(1-EXP(-LN(2)/25))/(LN(2)/25)*Calculateur!HC43*Calculateur!HE43*VLOOKUP('Données projet'!$B$18,Paramètres!$A$1:$I$89,3,0)*0.475*44/12</f>
        <v>16.304658614367426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84.435222516721439</v>
      </c>
    </row>
    <row r="44" spans="1:218" x14ac:dyDescent="0.3">
      <c r="A44" s="10">
        <f t="shared" si="31"/>
        <v>41</v>
      </c>
      <c r="B44" s="71">
        <f>'Scénario référence'!$B$16*5+'Scénario référence'!$B$17*0+'Scénario référence'!$B$18*5</f>
        <v>1.4000000000000001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5.1333333333333337</v>
      </c>
      <c r="H44" s="65">
        <f t="shared" si="1"/>
        <v>236.13333333333335</v>
      </c>
      <c r="I44" s="6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9.8000000000000007</v>
      </c>
      <c r="N44" s="13">
        <f>IF('Données projet'!$A$36&gt;35,N43+M44-V43,IF(A44&lt;'Données projet'!$A$36,$K$205^A44,IF(A44='Données projet'!$A$36,'Données projet'!$B$36,N43+M44-V43)))</f>
        <v>202.8</v>
      </c>
      <c r="O44" s="13">
        <f>N44*VLOOKUP('Données projet'!$B$9,Paramètres!$A$1:$I$89,3,0)*VLOOKUP('Données projet'!$B$9,Paramètres!$A$1:$I$89,5,0)</f>
        <v>161.34768000000003</v>
      </c>
      <c r="P44" s="13">
        <f t="shared" si="33"/>
        <v>41.146339844316657</v>
      </c>
      <c r="Q44" s="20">
        <f t="shared" si="53"/>
        <v>352.6770845621848</v>
      </c>
      <c r="R44" s="59">
        <f t="shared" si="0"/>
        <v>633.48583764864588</v>
      </c>
      <c r="S44" s="59">
        <f ca="1">AVERAGE(OFFSET($R$3,0,0,'Données projet'!$E$9+1,1))-AVERAGE(OFFSET($H$3,0,0,'Données projet'!$E$9+1,1))</f>
        <v>360.06385535620069</v>
      </c>
      <c r="T44" s="59">
        <f t="shared" si="34"/>
        <v>350.82516032456408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30.48209895553266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30.48209895553266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143.32032000000001</v>
      </c>
      <c r="AK44" s="13">
        <f t="shared" si="35"/>
        <v>37.056603420232349</v>
      </c>
      <c r="AL44" s="20">
        <f t="shared" si="4"/>
        <v>314.15647495690467</v>
      </c>
      <c r="AM44" s="59">
        <f t="shared" si="5"/>
        <v>594.96522804336576</v>
      </c>
      <c r="AN44" s="59">
        <f ca="1">AVERAGE(OFFSET($AM$3,0,0,'Données projet'!$E$10+1,1))-AVERAGE(OFFSET($H$3,0,0,'Données projet'!$E$10+1,1))</f>
        <v>448.65237942538027</v>
      </c>
      <c r="AO44" s="59">
        <f t="shared" si="36"/>
        <v>283.56749129825107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22.500142003728723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22.500142003728723</v>
      </c>
      <c r="AY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146.00000000000003</v>
      </c>
      <c r="BE44" s="13">
        <f>BD44*VLOOKUP('Données projet'!$B$11,Paramètres!$A$1:$I$89,3,0)*VLOOKUP('Données projet'!$B$11,Paramètres!$A$1:$I$89,5,0)</f>
        <v>125.26800000000004</v>
      </c>
      <c r="BF44" s="13">
        <f t="shared" si="37"/>
        <v>32.9005846700787</v>
      </c>
      <c r="BG44" s="20">
        <f t="shared" si="7"/>
        <v>275.47695163372049</v>
      </c>
      <c r="BH44" s="59">
        <f t="shared" si="8"/>
        <v>556.28570472018157</v>
      </c>
      <c r="BI44" s="59">
        <f ca="1">AVERAGE(OFFSET($BH$3,0,0,'Données projet'!$E$11+1,1))-AVERAGE(OFFSET($H$3,0,0,'Données projet'!$E$11+1,1))</f>
        <v>456.76871853389395</v>
      </c>
      <c r="BJ44" s="59">
        <f t="shared" si="38"/>
        <v>262.12425810289176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26.2982814518321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26.2982814518321</v>
      </c>
      <c r="BT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</v>
      </c>
      <c r="BY44" s="12">
        <f>IF('Données projet'!$A$114&gt;35,BY43+BX44-CG43,IF(A44&lt;'Données projet'!$A$114,$BV$205^A44,IF(A44='Données projet'!$A$114,'Données projet'!$B$114,BY43+BX44-CG43)))</f>
        <v>178.00000000000006</v>
      </c>
      <c r="BZ44" s="13">
        <f>BY44*VLOOKUP('Données projet'!$B$12,Paramètres!$A$1:$I$89,3,0)*VLOOKUP('Données projet'!$B$12,Paramètres!$A$1:$I$89,5,0)</f>
        <v>130.50960000000003</v>
      </c>
      <c r="CA44" s="13">
        <f t="shared" si="39"/>
        <v>34.11408610445698</v>
      </c>
      <c r="CB44" s="20">
        <f t="shared" si="10"/>
        <v>286.7195866319293</v>
      </c>
      <c r="CC44" s="59">
        <f t="shared" si="11"/>
        <v>567.52833971839038</v>
      </c>
      <c r="CD44" s="59">
        <f ca="1">AVERAGE(OFFSET($CC$3,0,0,'Données projet'!$E$12+1,1))-AVERAGE(OFFSET($H$3,0,0,'Données projet'!$E$12+1,1))</f>
        <v>242.65851607945316</v>
      </c>
      <c r="CE44" s="59">
        <f t="shared" si="40"/>
        <v>218.9349999985487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183.80000000000004</v>
      </c>
      <c r="CU44" s="17">
        <f>CT44*VLOOKUP('Données projet'!$B$13,Paramètres!$A$1:$I$89,3,0)*VLOOKUP('Données projet'!$B$13,Paramètres!$A$1:$I$89,5,0)</f>
        <v>160.56768000000005</v>
      </c>
      <c r="CV44" s="13">
        <f t="shared" si="41"/>
        <v>40.970530810309882</v>
      </c>
      <c r="CW44" s="20">
        <f t="shared" si="13"/>
        <v>351.0123838279564</v>
      </c>
      <c r="CX44" s="59">
        <f t="shared" si="14"/>
        <v>631.82113691441748</v>
      </c>
      <c r="CY44" s="59">
        <f ca="1">AVERAGE(OFFSET($CX$3,0,0,'Données projet'!$E$13+1,1))-AVERAGE(OFFSET($H$3,0,0,'Données projet'!$E$13+1,1))</f>
        <v>326.9460696675867</v>
      </c>
      <c r="CZ44" s="59">
        <f t="shared" si="42"/>
        <v>393.4020374592568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31.365038786842465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31.365038786842465</v>
      </c>
      <c r="DJ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10.8</v>
      </c>
      <c r="DO44" s="12">
        <f>IF('Données projet'!$A$166&gt;35,DO43+DN44-DW43,IF(A44&lt;'Données projet'!$A$166,$DL$205^A44,IF(A44='Données projet'!$A$166,'Données projet'!$B$166,DO43+DN44-DW43)))</f>
        <v>219.80000000000007</v>
      </c>
      <c r="DP44" s="17">
        <f>DO44*VLOOKUP('Données projet'!$B$14,Paramètres!$A$1:$I$89,3,0)*VLOOKUP('Données projet'!$B$14,Paramètres!$A$1:$I$89,5,0)</f>
        <v>171.44400000000005</v>
      </c>
      <c r="DQ44" s="13">
        <f t="shared" si="43"/>
        <v>43.413272173627242</v>
      </c>
      <c r="DR44" s="20">
        <f t="shared" si="16"/>
        <v>374.20974903573415</v>
      </c>
      <c r="DS44" s="59">
        <f t="shared" si="17"/>
        <v>655.01850212219529</v>
      </c>
      <c r="DT44" s="59">
        <f ca="1">AVERAGE(OFFSET($DS$3,0,0,'Données projet'!$E$14+1,1))-AVERAGE(OFFSET($H$3,0,0,'Données projet'!$E$14+1,1))</f>
        <v>364.34528546733799</v>
      </c>
      <c r="DU44" s="59">
        <f t="shared" si="44"/>
        <v>346.5839763411152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21.17992479822378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21.17992479822378</v>
      </c>
      <c r="EE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136.03824000000003</v>
      </c>
      <c r="EL44" s="13">
        <f t="shared" si="45"/>
        <v>35.387911177023945</v>
      </c>
      <c r="EM44" s="20">
        <f t="shared" si="19"/>
        <v>298.56721329998339</v>
      </c>
      <c r="EN44" s="59">
        <f t="shared" si="20"/>
        <v>579.37596638644447</v>
      </c>
      <c r="EO44" s="59">
        <f ca="1">AVERAGE(OFFSET($EN$3,0,0,'Données projet'!$E$15+1,1))-AVERAGE(OFFSET($H$3,0,0,'Données projet'!$E$15+1,1))</f>
        <v>310.38232870602445</v>
      </c>
      <c r="EP44" s="59">
        <f t="shared" si="46"/>
        <v>303.45934457265537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25.700593237017731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25.700593237017731</v>
      </c>
      <c r="EZ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7.6</v>
      </c>
      <c r="FE44" s="12">
        <f>IF('Données projet'!$A$218&gt;35,FE43+FD44-FM43,IF(A44&lt;'Données projet'!$A$218,$FB$205^A44,IF(A44='Données projet'!$A$218,'Données projet'!$B$218,FE43+FD44-FM43)))</f>
        <v>212.60000000000005</v>
      </c>
      <c r="FF44" s="17">
        <f>FE44*VLOOKUP('Données projet'!$B$16,Paramètres!$A$1:$I$89,3,0)*VLOOKUP('Données projet'!$B$16,Paramètres!$A$1:$I$89,5,0)</f>
        <v>202.31016000000005</v>
      </c>
      <c r="FG44" s="13">
        <f t="shared" si="47"/>
        <v>50.251531123141397</v>
      </c>
      <c r="FH44" s="20">
        <f t="shared" si="22"/>
        <v>439.87827870613802</v>
      </c>
      <c r="FI44" s="59">
        <f t="shared" si="23"/>
        <v>720.6870317925991</v>
      </c>
      <c r="FJ44" s="59">
        <f ca="1">AVERAGE(OFFSET($FI$3,0,0,'Données projet'!$E$16+1,1))-AVERAGE(OFFSET($H$3,0,0,'Données projet'!$E$16+1,1))</f>
        <v>457.706832425622</v>
      </c>
      <c r="FK44" s="59">
        <f t="shared" si="48"/>
        <v>474.61768219844873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24.952558253985437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24.952558253985437</v>
      </c>
      <c r="FU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9.8000000000000007</v>
      </c>
      <c r="FZ44" s="12">
        <f>IF('Données projet'!$A$244&gt;35,FZ43+FY44-GH43,IF(A44&lt;'Données projet'!$A$244,$FW$205^A44,IF(A44='Données projet'!$A$244,'Données projet'!$B$244,FZ43+FY44-GH43)))</f>
        <v>202.8</v>
      </c>
      <c r="GA44" s="17">
        <f>FZ44*VLOOKUP('Données projet'!$B$17,Paramètres!$A$1:$I$89,3,0)*VLOOKUP('Données projet'!$B$17,Paramètres!$A$1:$I$89,5,0)</f>
        <v>196.14816000000002</v>
      </c>
      <c r="GB44" s="13">
        <f t="shared" si="49"/>
        <v>48.896694156917441</v>
      </c>
      <c r="GC44" s="20">
        <f t="shared" si="25"/>
        <v>426.7864543232979</v>
      </c>
      <c r="GD44" s="59">
        <f t="shared" si="26"/>
        <v>707.59520740975904</v>
      </c>
      <c r="GE44" s="59">
        <f ca="1">AVERAGE(OFFSET($GD$3,0,0,'Données projet'!$E$17+1,1))-AVERAGE(OFFSET($H$3,0,0,'Données projet'!$E$17+1,1))</f>
        <v>428.11167311086814</v>
      </c>
      <c r="GF44" s="59">
        <f t="shared" si="50"/>
        <v>415.69449942923609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30.064844918775457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30.064844918775457</v>
      </c>
      <c r="GP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1.1368683772161603E-13</v>
      </c>
      <c r="GV44" s="17">
        <f>GU44*VLOOKUP('Données projet'!$B$18,Paramètres!$A$1:$I$89,3,0)*VLOOKUP('Données projet'!$B$18,Paramètres!$A$1:$I$89,5,0)</f>
        <v>6.5087988332379613E-14</v>
      </c>
      <c r="GW44" s="13">
        <f t="shared" si="51"/>
        <v>1.0279249680474958E-12</v>
      </c>
      <c r="GX44" s="20">
        <f t="shared" si="28"/>
        <v>1.9036642323616162E-12</v>
      </c>
      <c r="GY44" s="59">
        <f t="shared" si="29"/>
        <v>280.80875308646296</v>
      </c>
      <c r="GZ44" s="59">
        <f ca="1">AVERAGE(OFFSET($GY$3,0,0,'Données projet'!$E$18+1,1))-AVERAGE(OFFSET($H$3,0,0,'Données projet'!$E$18+1,1))</f>
        <v>249.88816678272056</v>
      </c>
      <c r="HA44" s="59">
        <f t="shared" si="52"/>
        <v>432.10802787437319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66.794565099769557</v>
      </c>
      <c r="HH44" s="21">
        <f>EXP(-LN(2)/25)*HH43+(1-EXP(-LN(2)/25))/(LN(2)/25)*Calculateur!HC44*Calculateur!HE44*VLOOKUP('Données projet'!$B$18,Paramètres!$A$1:$I$89,3,0)*0.475*44/12</f>
        <v>15.858806867132817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82.65337196690237</v>
      </c>
    </row>
    <row r="45" spans="1:218" x14ac:dyDescent="0.3">
      <c r="A45" s="10">
        <f t="shared" si="31"/>
        <v>42</v>
      </c>
      <c r="B45" s="71">
        <f>'Scénario référence'!$B$16*5+'Scénario référence'!$B$17*0+'Scénario référence'!$B$18*5</f>
        <v>1.4000000000000001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5.1333333333333337</v>
      </c>
      <c r="H45" s="65">
        <f t="shared" si="1"/>
        <v>236.13333333333335</v>
      </c>
      <c r="I45" s="6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9.8000000000000007</v>
      </c>
      <c r="N45" s="13">
        <f>IF('Données projet'!$A$36&gt;35,N44+M45-V44,IF(A45&lt;'Données projet'!$A$36,$K$205^A45,IF(A45='Données projet'!$A$36,'Données projet'!$B$36,N44+M45-V44)))</f>
        <v>212.60000000000002</v>
      </c>
      <c r="O45" s="13">
        <f>N45*VLOOKUP('Données projet'!$B$9,Paramètres!$A$1:$I$89,3,0)*VLOOKUP('Données projet'!$B$9,Paramètres!$A$1:$I$89,5,0)</f>
        <v>169.14456000000004</v>
      </c>
      <c r="P45" s="13">
        <f t="shared" si="33"/>
        <v>42.898377267189964</v>
      </c>
      <c r="Q45" s="20">
        <f t="shared" si="53"/>
        <v>369.30811574035596</v>
      </c>
      <c r="R45" s="59">
        <f t="shared" si="0"/>
        <v>650.33414229333368</v>
      </c>
      <c r="S45" s="59">
        <f ca="1">AVERAGE(OFFSET($R$3,0,0,'Données projet'!$E$9+1,1))-AVERAGE(OFFSET($H$3,0,0,'Données projet'!$E$9+1,1))</f>
        <v>360.06385535620069</v>
      </c>
      <c r="T45" s="59">
        <f t="shared" si="34"/>
        <v>350.82516032456408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29.884363587259195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29.884363587259195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153.63504</v>
      </c>
      <c r="AK45" s="13">
        <f t="shared" si="35"/>
        <v>39.403506785222667</v>
      </c>
      <c r="AL45" s="20">
        <f t="shared" si="4"/>
        <v>336.20880231759617</v>
      </c>
      <c r="AM45" s="59">
        <f t="shared" si="5"/>
        <v>617.23482887057389</v>
      </c>
      <c r="AN45" s="59">
        <f ca="1">AVERAGE(OFFSET($AM$3,0,0,'Données projet'!$E$10+1,1))-AVERAGE(OFFSET($H$3,0,0,'Données projet'!$E$10+1,1))</f>
        <v>448.65237942538027</v>
      </c>
      <c r="AO45" s="59">
        <f t="shared" si="36"/>
        <v>283.56749129825107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22.05892794276712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22.05892794276712</v>
      </c>
      <c r="AY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157.00000000000003</v>
      </c>
      <c r="BE45" s="13">
        <f>BD45*VLOOKUP('Données projet'!$B$11,Paramètres!$A$1:$I$89,3,0)*VLOOKUP('Données projet'!$B$11,Paramètres!$A$1:$I$89,5,0)</f>
        <v>134.70600000000005</v>
      </c>
      <c r="BF45" s="13">
        <f t="shared" si="37"/>
        <v>35.081517028838505</v>
      </c>
      <c r="BG45" s="20">
        <f t="shared" si="7"/>
        <v>295.71325882522711</v>
      </c>
      <c r="BH45" s="59">
        <f t="shared" si="8"/>
        <v>576.73928537820484</v>
      </c>
      <c r="BI45" s="59">
        <f ca="1">AVERAGE(OFFSET($BH$3,0,0,'Données projet'!$E$11+1,1))-AVERAGE(OFFSET($H$3,0,0,'Données projet'!$E$11+1,1))</f>
        <v>456.76871853389395</v>
      </c>
      <c r="BJ45" s="59">
        <f t="shared" si="38"/>
        <v>262.12425810289176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25.782588192929502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25.782588192929502</v>
      </c>
      <c r="BT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</v>
      </c>
      <c r="BY45" s="12">
        <f>IF('Données projet'!$A$114&gt;35,BY44+BX45-CG44,IF(A45&lt;'Données projet'!$A$114,$BV$205^A45,IF(A45='Données projet'!$A$114,'Données projet'!$B$114,BY44+BX45-CG44)))</f>
        <v>186.00000000000006</v>
      </c>
      <c r="BZ45" s="13">
        <f>BY45*VLOOKUP('Données projet'!$B$12,Paramètres!$A$1:$I$89,3,0)*VLOOKUP('Données projet'!$B$12,Paramètres!$A$1:$I$89,5,0)</f>
        <v>136.37520000000004</v>
      </c>
      <c r="CA45" s="13">
        <f t="shared" si="39"/>
        <v>35.465351191684015</v>
      </c>
      <c r="CB45" s="20">
        <f t="shared" si="10"/>
        <v>299.28895999218304</v>
      </c>
      <c r="CC45" s="59">
        <f t="shared" si="11"/>
        <v>580.31498654516076</v>
      </c>
      <c r="CD45" s="59">
        <f ca="1">AVERAGE(OFFSET($CC$3,0,0,'Données projet'!$E$12+1,1))-AVERAGE(OFFSET($H$3,0,0,'Données projet'!$E$12+1,1))</f>
        <v>242.65851607945316</v>
      </c>
      <c r="CE45" s="59">
        <f t="shared" si="40"/>
        <v>218.9349999985487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193.60000000000005</v>
      </c>
      <c r="CU45" s="17">
        <f>CT45*VLOOKUP('Données projet'!$B$13,Paramètres!$A$1:$I$89,3,0)*VLOOKUP('Données projet'!$B$13,Paramètres!$A$1:$I$89,5,0)</f>
        <v>169.12896000000006</v>
      </c>
      <c r="CV45" s="13">
        <f t="shared" si="41"/>
        <v>42.894881315146776</v>
      </c>
      <c r="CW45" s="20">
        <f t="shared" si="13"/>
        <v>369.27485695721407</v>
      </c>
      <c r="CX45" s="59">
        <f t="shared" si="14"/>
        <v>650.30088351019185</v>
      </c>
      <c r="CY45" s="59">
        <f ca="1">AVERAGE(OFFSET($CX$3,0,0,'Données projet'!$E$13+1,1))-AVERAGE(OFFSET($H$3,0,0,'Données projet'!$E$13+1,1))</f>
        <v>326.9460696675867</v>
      </c>
      <c r="CZ45" s="59">
        <f t="shared" si="42"/>
        <v>393.4020374592568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30.749989507017137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30.749989507017137</v>
      </c>
      <c r="DJ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10.8</v>
      </c>
      <c r="DO45" s="12">
        <f>IF('Données projet'!$A$166&gt;35,DO44+DN45-DW44,IF(A45&lt;'Données projet'!$A$166,$DL$205^A45,IF(A45='Données projet'!$A$166,'Données projet'!$B$166,DO44+DN45-DW44)))</f>
        <v>230.60000000000008</v>
      </c>
      <c r="DP45" s="17">
        <f>DO45*VLOOKUP('Données projet'!$B$14,Paramètres!$A$1:$I$89,3,0)*VLOOKUP('Données projet'!$B$14,Paramètres!$A$1:$I$89,5,0)</f>
        <v>179.86800000000008</v>
      </c>
      <c r="DQ45" s="13">
        <f t="shared" si="43"/>
        <v>45.292817344769716</v>
      </c>
      <c r="DR45" s="20">
        <f t="shared" si="16"/>
        <v>392.15509020880739</v>
      </c>
      <c r="DS45" s="59">
        <f t="shared" si="17"/>
        <v>673.18111676178512</v>
      </c>
      <c r="DT45" s="59">
        <f ca="1">AVERAGE(OFFSET($DS$3,0,0,'Données projet'!$E$14+1,1))-AVERAGE(OFFSET($H$3,0,0,'Données projet'!$E$14+1,1))</f>
        <v>364.34528546733799</v>
      </c>
      <c r="DU45" s="59">
        <f t="shared" si="44"/>
        <v>346.5839763411152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20.764599391409146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20.764599391409146</v>
      </c>
      <c r="EE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142.61208000000002</v>
      </c>
      <c r="EL45" s="13">
        <f t="shared" si="45"/>
        <v>36.89475103043624</v>
      </c>
      <c r="EM45" s="20">
        <f t="shared" si="19"/>
        <v>312.64106404467651</v>
      </c>
      <c r="EN45" s="59">
        <f t="shared" si="20"/>
        <v>593.66709059765424</v>
      </c>
      <c r="EO45" s="59">
        <f ca="1">AVERAGE(OFFSET($EN$3,0,0,'Données projet'!$E$15+1,1))-AVERAGE(OFFSET($H$3,0,0,'Données projet'!$E$15+1,1))</f>
        <v>310.38232870602445</v>
      </c>
      <c r="EP45" s="59">
        <f t="shared" si="46"/>
        <v>303.45934457265537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25.196620279453828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25.196620279453828</v>
      </c>
      <c r="EZ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7.6</v>
      </c>
      <c r="FE45" s="12">
        <f>IF('Données projet'!$A$218&gt;35,FE44+FD45-FM44,IF(A45&lt;'Données projet'!$A$218,$FB$205^A45,IF(A45='Données projet'!$A$218,'Données projet'!$B$218,FE44+FD45-FM44)))</f>
        <v>220.20000000000005</v>
      </c>
      <c r="FF45" s="17">
        <f>FE45*VLOOKUP('Données projet'!$B$16,Paramètres!$A$1:$I$89,3,0)*VLOOKUP('Données projet'!$B$16,Paramètres!$A$1:$I$89,5,0)</f>
        <v>209.54232000000005</v>
      </c>
      <c r="FG45" s="13">
        <f t="shared" si="47"/>
        <v>51.835558406813547</v>
      </c>
      <c r="FH45" s="20">
        <f t="shared" si="22"/>
        <v>455.23313822520032</v>
      </c>
      <c r="FI45" s="59">
        <f t="shared" si="23"/>
        <v>736.25916477817805</v>
      </c>
      <c r="FJ45" s="59">
        <f ca="1">AVERAGE(OFFSET($FI$3,0,0,'Données projet'!$E$16+1,1))-AVERAGE(OFFSET($H$3,0,0,'Données projet'!$E$16+1,1))</f>
        <v>457.706832425622</v>
      </c>
      <c r="FK45" s="59">
        <f t="shared" si="48"/>
        <v>474.61768219844873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24.463253806182511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24.463253806182511</v>
      </c>
      <c r="FU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9.8000000000000007</v>
      </c>
      <c r="FZ45" s="12">
        <f>IF('Données projet'!$A$244&gt;35,FZ44+FY45-GH44,IF(A45&lt;'Données projet'!$A$244,$FW$205^A45,IF(A45='Données projet'!$A$244,'Données projet'!$B$244,FZ44+FY45-GH44)))</f>
        <v>212.60000000000002</v>
      </c>
      <c r="GA45" s="17">
        <f>FZ45*VLOOKUP('Données projet'!$B$17,Paramètres!$A$1:$I$89,3,0)*VLOOKUP('Données projet'!$B$17,Paramètres!$A$1:$I$89,5,0)</f>
        <v>205.62672000000003</v>
      </c>
      <c r="GB45" s="13">
        <f t="shared" si="49"/>
        <v>50.97874661509114</v>
      </c>
      <c r="GC45" s="20">
        <f t="shared" si="25"/>
        <v>446.92118768795041</v>
      </c>
      <c r="GD45" s="59">
        <f t="shared" si="26"/>
        <v>727.94721424092813</v>
      </c>
      <c r="GE45" s="59">
        <f ca="1">AVERAGE(OFFSET($GD$3,0,0,'Données projet'!$E$17+1,1))-AVERAGE(OFFSET($H$3,0,0,'Données projet'!$E$17+1,1))</f>
        <v>428.11167311086814</v>
      </c>
      <c r="GF45" s="59">
        <f t="shared" si="50"/>
        <v>415.69449942923609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29.475291647662967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29.475291647662967</v>
      </c>
      <c r="GP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1.1368683772161603E-13</v>
      </c>
      <c r="GV45" s="17">
        <f>GU45*VLOOKUP('Données projet'!$B$18,Paramètres!$A$1:$I$89,3,0)*VLOOKUP('Données projet'!$B$18,Paramètres!$A$1:$I$89,5,0)</f>
        <v>6.5087988332379613E-14</v>
      </c>
      <c r="GW45" s="13">
        <f t="shared" si="51"/>
        <v>1.0279249680474958E-12</v>
      </c>
      <c r="GX45" s="20">
        <f t="shared" si="28"/>
        <v>1.9036642323616162E-12</v>
      </c>
      <c r="GY45" s="59">
        <f t="shared" si="29"/>
        <v>281.0260265529796</v>
      </c>
      <c r="GZ45" s="59">
        <f ca="1">AVERAGE(OFFSET($GY$3,0,0,'Données projet'!$E$18+1,1))-AVERAGE(OFFSET($H$3,0,0,'Données projet'!$E$18+1,1))</f>
        <v>249.88816678272056</v>
      </c>
      <c r="HA45" s="59">
        <f t="shared" si="52"/>
        <v>432.10802787437319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65.48476441882498</v>
      </c>
      <c r="HH45" s="21">
        <f>EXP(-LN(2)/25)*HH44+(1-EXP(-LN(2)/25))/(LN(2)/25)*Calculateur!HC45*Calculateur!HE45*VLOOKUP('Données projet'!$B$18,Paramètres!$A$1:$I$89,3,0)*0.475*44/12</f>
        <v>15.425146959372663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80.909911378197648</v>
      </c>
    </row>
    <row r="46" spans="1:218" x14ac:dyDescent="0.3">
      <c r="A46" s="10">
        <f t="shared" si="31"/>
        <v>43</v>
      </c>
      <c r="B46" s="71">
        <f>'Scénario référence'!$B$16*5+'Scénario référence'!$B$17*0+'Scénario référence'!$B$18*5</f>
        <v>1.4000000000000001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5.1333333333333337</v>
      </c>
      <c r="H46" s="65">
        <f t="shared" si="1"/>
        <v>236.13333333333335</v>
      </c>
      <c r="I46" s="6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9.8000000000000007</v>
      </c>
      <c r="N46" s="13">
        <f>IF('Données projet'!$A$36&gt;35,N45+M46-V45,IF(A46&lt;'Données projet'!$A$36,$K$205^A46,IF(A46='Données projet'!$A$36,'Données projet'!$B$36,N45+M46-V45)))</f>
        <v>222.40000000000003</v>
      </c>
      <c r="O46" s="13">
        <f>N46*VLOOKUP('Données projet'!$B$9,Paramètres!$A$1:$I$89,3,0)*VLOOKUP('Données projet'!$B$9,Paramètres!$A$1:$I$89,5,0)</f>
        <v>176.94144000000003</v>
      </c>
      <c r="P46" s="13">
        <f t="shared" si="33"/>
        <v>44.641035679901449</v>
      </c>
      <c r="Q46" s="20">
        <f t="shared" si="53"/>
        <v>385.92281180916171</v>
      </c>
      <c r="R46" s="59">
        <f t="shared" si="0"/>
        <v>667.16234261976274</v>
      </c>
      <c r="S46" s="59">
        <f ca="1">AVERAGE(OFFSET($R$3,0,0,'Données projet'!$E$9+1,1))-AVERAGE(OFFSET($H$3,0,0,'Données projet'!$E$9+1,1))</f>
        <v>360.06385535620069</v>
      </c>
      <c r="T46" s="59">
        <f t="shared" si="34"/>
        <v>350.82516032456408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29.298349444974999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29.298349444974999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163.94976</v>
      </c>
      <c r="AK46" s="13">
        <f t="shared" si="35"/>
        <v>41.732126457893308</v>
      </c>
      <c r="AL46" s="20">
        <f t="shared" si="4"/>
        <v>358.22928558083089</v>
      </c>
      <c r="AM46" s="59">
        <f t="shared" si="5"/>
        <v>639.4688163914318</v>
      </c>
      <c r="AN46" s="59">
        <f ca="1">AVERAGE(OFFSET($AM$3,0,0,'Données projet'!$E$10+1,1))-AVERAGE(OFFSET($H$3,0,0,'Données projet'!$E$10+1,1))</f>
        <v>448.65237942538027</v>
      </c>
      <c r="AO46" s="59">
        <f t="shared" si="36"/>
        <v>283.56749129825107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21.626365820426969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21.626365820426969</v>
      </c>
      <c r="AY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168.00000000000003</v>
      </c>
      <c r="BE46" s="13">
        <f>BD46*VLOOKUP('Données projet'!$B$11,Paramètres!$A$1:$I$89,3,0)*VLOOKUP('Données projet'!$B$11,Paramètres!$A$1:$I$89,5,0)</f>
        <v>144.14400000000003</v>
      </c>
      <c r="BF46" s="13">
        <f t="shared" si="37"/>
        <v>37.244720006976252</v>
      </c>
      <c r="BG46" s="20">
        <f t="shared" si="7"/>
        <v>315.9186873454837</v>
      </c>
      <c r="BH46" s="59">
        <f t="shared" si="8"/>
        <v>597.15821815608467</v>
      </c>
      <c r="BI46" s="59">
        <f ca="1">AVERAGE(OFFSET($BH$3,0,0,'Données projet'!$E$11+1,1))-AVERAGE(OFFSET($H$3,0,0,'Données projet'!$E$11+1,1))</f>
        <v>456.76871853389395</v>
      </c>
      <c r="BJ46" s="59">
        <f t="shared" si="38"/>
        <v>262.12425810289176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25.277007364292157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25.277007364292157</v>
      </c>
      <c r="BT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</v>
      </c>
      <c r="BY46" s="12">
        <f>IF('Données projet'!$A$114&gt;35,BY45+BX46-CG45,IF(A46&lt;'Données projet'!$A$114,$BV$205^A46,IF(A46='Données projet'!$A$114,'Données projet'!$B$114,BY45+BX46-CG45)))</f>
        <v>194.00000000000006</v>
      </c>
      <c r="BZ46" s="13">
        <f>BY46*VLOOKUP('Données projet'!$B$12,Paramètres!$A$1:$I$89,3,0)*VLOOKUP('Données projet'!$B$12,Paramètres!$A$1:$I$89,5,0)</f>
        <v>142.24080000000004</v>
      </c>
      <c r="CA46" s="13">
        <f t="shared" si="39"/>
        <v>36.809865943965384</v>
      </c>
      <c r="CB46" s="20">
        <f t="shared" si="10"/>
        <v>311.8465765190731</v>
      </c>
      <c r="CC46" s="59">
        <f t="shared" si="11"/>
        <v>593.08610732967406</v>
      </c>
      <c r="CD46" s="59">
        <f ca="1">AVERAGE(OFFSET($CC$3,0,0,'Données projet'!$E$12+1,1))-AVERAGE(OFFSET($H$3,0,0,'Données projet'!$E$12+1,1))</f>
        <v>242.65851607945316</v>
      </c>
      <c r="CE46" s="59">
        <f t="shared" si="40"/>
        <v>218.9349999985487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203.40000000000006</v>
      </c>
      <c r="CU46" s="17">
        <f>CT46*VLOOKUP('Données projet'!$B$13,Paramètres!$A$1:$I$89,3,0)*VLOOKUP('Données projet'!$B$13,Paramètres!$A$1:$I$89,5,0)</f>
        <v>177.69024000000007</v>
      </c>
      <c r="CV46" s="13">
        <f t="shared" si="41"/>
        <v>44.807921499827692</v>
      </c>
      <c r="CW46" s="20">
        <f t="shared" si="13"/>
        <v>387.5176312788667</v>
      </c>
      <c r="CX46" s="59">
        <f t="shared" si="14"/>
        <v>668.75716208946767</v>
      </c>
      <c r="CY46" s="59">
        <f ca="1">AVERAGE(OFFSET($CX$3,0,0,'Données projet'!$E$13+1,1))-AVERAGE(OFFSET($H$3,0,0,'Données projet'!$E$13+1,1))</f>
        <v>326.9460696675867</v>
      </c>
      <c r="CZ46" s="59">
        <f t="shared" si="42"/>
        <v>393.4020374592568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30.147000968426166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30.147000968426166</v>
      </c>
      <c r="DJ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10.8</v>
      </c>
      <c r="DO46" s="12">
        <f>IF('Données projet'!$A$166&gt;35,DO45+DN46-DW45,IF(A46&lt;'Données projet'!$A$166,$DL$205^A46,IF(A46='Données projet'!$A$166,'Données projet'!$B$166,DO45+DN46-DW45)))</f>
        <v>241.40000000000009</v>
      </c>
      <c r="DP46" s="17">
        <f>DO46*VLOOKUP('Données projet'!$B$14,Paramètres!$A$1:$I$89,3,0)*VLOOKUP('Données projet'!$B$14,Paramètres!$A$1:$I$89,5,0)</f>
        <v>188.29200000000009</v>
      </c>
      <c r="DQ46" s="13">
        <f t="shared" si="43"/>
        <v>47.162140074549271</v>
      </c>
      <c r="DR46" s="20">
        <f t="shared" si="16"/>
        <v>410.0826272965067</v>
      </c>
      <c r="DS46" s="59">
        <f t="shared" si="17"/>
        <v>691.32215810710773</v>
      </c>
      <c r="DT46" s="59">
        <f ca="1">AVERAGE(OFFSET($DS$3,0,0,'Données projet'!$E$14+1,1))-AVERAGE(OFFSET($H$3,0,0,'Données projet'!$E$14+1,1))</f>
        <v>364.34528546733799</v>
      </c>
      <c r="DU46" s="59">
        <f t="shared" si="44"/>
        <v>346.5839763411152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20.357418262498662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20.357418262498662</v>
      </c>
      <c r="EE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149.18592000000004</v>
      </c>
      <c r="EL46" s="13">
        <f t="shared" si="45"/>
        <v>38.393524465795565</v>
      </c>
      <c r="EM46" s="20">
        <f t="shared" si="19"/>
        <v>326.70086577792733</v>
      </c>
      <c r="EN46" s="59">
        <f t="shared" si="20"/>
        <v>607.9403965885283</v>
      </c>
      <c r="EO46" s="59">
        <f ca="1">AVERAGE(OFFSET($EN$3,0,0,'Données projet'!$E$15+1,1))-AVERAGE(OFFSET($H$3,0,0,'Données projet'!$E$15+1,1))</f>
        <v>310.38232870602445</v>
      </c>
      <c r="EP46" s="59">
        <f t="shared" si="46"/>
        <v>303.45934457265537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24.702529924194604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24.702529924194604</v>
      </c>
      <c r="EZ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7.6</v>
      </c>
      <c r="FE46" s="12">
        <f>IF('Données projet'!$A$218&gt;35,FE45+FD46-FM45,IF(A46&lt;'Données projet'!$A$218,$FB$205^A46,IF(A46='Données projet'!$A$218,'Données projet'!$B$218,FE45+FD46-FM45)))</f>
        <v>227.80000000000004</v>
      </c>
      <c r="FF46" s="17">
        <f>FE46*VLOOKUP('Données projet'!$B$16,Paramètres!$A$1:$I$89,3,0)*VLOOKUP('Données projet'!$B$16,Paramètres!$A$1:$I$89,5,0)</f>
        <v>216.77448000000004</v>
      </c>
      <c r="FG46" s="13">
        <f t="shared" si="47"/>
        <v>53.41323339156682</v>
      </c>
      <c r="FH46" s="20">
        <f t="shared" si="22"/>
        <v>470.57693415697889</v>
      </c>
      <c r="FI46" s="59">
        <f t="shared" si="23"/>
        <v>751.8164649675798</v>
      </c>
      <c r="FJ46" s="59">
        <f ca="1">AVERAGE(OFFSET($FI$3,0,0,'Données projet'!$E$16+1,1))-AVERAGE(OFFSET($H$3,0,0,'Données projet'!$E$16+1,1))</f>
        <v>457.706832425622</v>
      </c>
      <c r="FK46" s="59">
        <f t="shared" si="48"/>
        <v>474.61768219844873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23.983544320154756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23.983544320154756</v>
      </c>
      <c r="FU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9.8000000000000007</v>
      </c>
      <c r="FZ46" s="12">
        <f>IF('Données projet'!$A$244&gt;35,FZ45+FY46-GH45,IF(A46&lt;'Données projet'!$A$244,$FW$205^A46,IF(A46='Données projet'!$A$244,'Données projet'!$B$244,FZ45+FY46-GH45)))</f>
        <v>222.40000000000003</v>
      </c>
      <c r="GA46" s="17">
        <f>FZ46*VLOOKUP('Données projet'!$B$17,Paramètres!$A$1:$I$89,3,0)*VLOOKUP('Données projet'!$B$17,Paramètres!$A$1:$I$89,5,0)</f>
        <v>215.10528000000005</v>
      </c>
      <c r="GB46" s="13">
        <f t="shared" si="49"/>
        <v>53.049653425970028</v>
      </c>
      <c r="GC46" s="20">
        <f t="shared" si="25"/>
        <v>467.03650905023113</v>
      </c>
      <c r="GD46" s="59">
        <f t="shared" si="26"/>
        <v>748.27603986083204</v>
      </c>
      <c r="GE46" s="59">
        <f ca="1">AVERAGE(OFFSET($GD$3,0,0,'Données projet'!$E$17+1,1))-AVERAGE(OFFSET($H$3,0,0,'Données projet'!$E$17+1,1))</f>
        <v>428.11167311086814</v>
      </c>
      <c r="GF46" s="59">
        <f t="shared" si="50"/>
        <v>415.69449942923609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28.897299156605005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28.897299156605005</v>
      </c>
      <c r="GP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1.1368683772161603E-13</v>
      </c>
      <c r="GV46" s="17">
        <f>GU46*VLOOKUP('Données projet'!$B$18,Paramètres!$A$1:$I$89,3,0)*VLOOKUP('Données projet'!$B$18,Paramètres!$A$1:$I$89,5,0)</f>
        <v>6.5087988332379613E-14</v>
      </c>
      <c r="GW46" s="13">
        <f t="shared" si="51"/>
        <v>1.0279249680474958E-12</v>
      </c>
      <c r="GX46" s="20">
        <f t="shared" si="28"/>
        <v>1.9036642323616162E-12</v>
      </c>
      <c r="GY46" s="59">
        <f t="shared" si="29"/>
        <v>281.23953081060284</v>
      </c>
      <c r="GZ46" s="59">
        <f ca="1">AVERAGE(OFFSET($GY$3,0,0,'Données projet'!$E$18+1,1))-AVERAGE(OFFSET($H$3,0,0,'Données projet'!$E$18+1,1))</f>
        <v>249.88816678272056</v>
      </c>
      <c r="HA46" s="59">
        <f t="shared" si="52"/>
        <v>432.10802787437319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64.200648130334201</v>
      </c>
      <c r="HH46" s="21">
        <f>EXP(-LN(2)/25)*HH45+(1-EXP(-LN(2)/25))/(LN(2)/25)*Calculateur!HC46*Calculateur!HE46*VLOOKUP('Données projet'!$B$18,Paramètres!$A$1:$I$89,3,0)*0.475*44/12</f>
        <v>15.003345504595394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79.203993634929589</v>
      </c>
    </row>
    <row r="47" spans="1:218" x14ac:dyDescent="0.3">
      <c r="A47" s="10">
        <f t="shared" si="31"/>
        <v>44</v>
      </c>
      <c r="B47" s="71">
        <f>'Scénario référence'!$B$16*5+'Scénario référence'!$B$17*0+'Scénario référence'!$B$18*5</f>
        <v>1.4000000000000001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5.1333333333333337</v>
      </c>
      <c r="H47" s="65">
        <f t="shared" si="1"/>
        <v>236.13333333333335</v>
      </c>
      <c r="I47" s="6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9.8000000000000007</v>
      </c>
      <c r="N47" s="13">
        <f>IF('Données projet'!$A$36&gt;35,N46+M47-V46,IF(A47&lt;'Données projet'!$A$36,$K$205^A47,IF(A47='Données projet'!$A$36,'Données projet'!$B$36,N46+M47-V46)))</f>
        <v>232.20000000000005</v>
      </c>
      <c r="O47" s="13">
        <f>N47*VLOOKUP('Données projet'!$B$9,Paramètres!$A$1:$I$89,3,0)*VLOOKUP('Données projet'!$B$9,Paramètres!$A$1:$I$89,5,0)</f>
        <v>184.73832000000004</v>
      </c>
      <c r="P47" s="13">
        <f t="shared" si="33"/>
        <v>46.374775595471988</v>
      </c>
      <c r="Q47" s="20">
        <f t="shared" si="53"/>
        <v>402.52197482878046</v>
      </c>
      <c r="R47" s="59">
        <f t="shared" si="0"/>
        <v>683.97130607545887</v>
      </c>
      <c r="S47" s="59">
        <f ca="1">AVERAGE(OFFSET($R$3,0,0,'Données projet'!$E$9+1,1))-AVERAGE(OFFSET($H$3,0,0,'Données projet'!$E$9+1,1))</f>
        <v>360.06385535620069</v>
      </c>
      <c r="T47" s="59">
        <f t="shared" si="34"/>
        <v>350.82516032456408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28.723826682587664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28.723826682587664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174.26447999999999</v>
      </c>
      <c r="AK47" s="13">
        <f t="shared" si="35"/>
        <v>44.043743683739521</v>
      </c>
      <c r="AL47" s="20">
        <f t="shared" si="4"/>
        <v>380.22015624917964</v>
      </c>
      <c r="AM47" s="59">
        <f t="shared" si="5"/>
        <v>661.66948749585811</v>
      </c>
      <c r="AN47" s="59">
        <f ca="1">AVERAGE(OFFSET($AM$3,0,0,'Données projet'!$E$10+1,1))-AVERAGE(OFFSET($H$3,0,0,'Données projet'!$E$10+1,1))</f>
        <v>448.65237942538027</v>
      </c>
      <c r="AO47" s="59">
        <f t="shared" si="36"/>
        <v>283.56749129825107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21.202285977469064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21.202285977469064</v>
      </c>
      <c r="AY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179.00000000000003</v>
      </c>
      <c r="BE47" s="13">
        <f>BD47*VLOOKUP('Données projet'!$B$11,Paramètres!$A$1:$I$89,3,0)*VLOOKUP('Données projet'!$B$11,Paramètres!$A$1:$I$89,5,0)</f>
        <v>153.58200000000002</v>
      </c>
      <c r="BF47" s="13">
        <f t="shared" si="37"/>
        <v>39.391486561628568</v>
      </c>
      <c r="BG47" s="20">
        <f t="shared" si="7"/>
        <v>336.09548909483647</v>
      </c>
      <c r="BH47" s="59">
        <f t="shared" si="8"/>
        <v>617.54482034151488</v>
      </c>
      <c r="BI47" s="59">
        <f ca="1">AVERAGE(OFFSET($BH$3,0,0,'Données projet'!$E$11+1,1))-AVERAGE(OFFSET($H$3,0,0,'Données projet'!$E$11+1,1))</f>
        <v>456.76871853389395</v>
      </c>
      <c r="BJ47" s="59">
        <f t="shared" si="38"/>
        <v>262.12425810289176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24.781340667330532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24.781340667330532</v>
      </c>
      <c r="BT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</v>
      </c>
      <c r="BY47" s="12">
        <f>IF('Données projet'!$A$114&gt;35,BY46+BX47-CG46,IF(A47&lt;'Données projet'!$A$114,$BV$205^A47,IF(A47='Données projet'!$A$114,'Données projet'!$B$114,BY46+BX47-CG46)))</f>
        <v>202.00000000000006</v>
      </c>
      <c r="BZ47" s="13">
        <f>BY47*VLOOKUP('Données projet'!$B$12,Paramètres!$A$1:$I$89,3,0)*VLOOKUP('Données projet'!$B$12,Paramètres!$A$1:$I$89,5,0)</f>
        <v>148.10640000000004</v>
      </c>
      <c r="CA47" s="13">
        <f t="shared" si="39"/>
        <v>38.147940561860452</v>
      </c>
      <c r="CB47" s="20">
        <f t="shared" si="10"/>
        <v>324.39297647857364</v>
      </c>
      <c r="CC47" s="59">
        <f t="shared" si="11"/>
        <v>605.84230772525211</v>
      </c>
      <c r="CD47" s="59">
        <f ca="1">AVERAGE(OFFSET($CC$3,0,0,'Données projet'!$E$12+1,1))-AVERAGE(OFFSET($H$3,0,0,'Données projet'!$E$12+1,1))</f>
        <v>242.65851607945316</v>
      </c>
      <c r="CE47" s="59">
        <f t="shared" si="40"/>
        <v>218.9349999985487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213.20000000000007</v>
      </c>
      <c r="CU47" s="17">
        <f>CT47*VLOOKUP('Données projet'!$B$13,Paramètres!$A$1:$I$89,3,0)*VLOOKUP('Données projet'!$B$13,Paramètres!$A$1:$I$89,5,0)</f>
        <v>186.25152000000008</v>
      </c>
      <c r="CV47" s="13">
        <f t="shared" si="41"/>
        <v>46.71025851515671</v>
      </c>
      <c r="CW47" s="20">
        <f t="shared" si="13"/>
        <v>405.7417642472314</v>
      </c>
      <c r="CX47" s="59">
        <f t="shared" si="14"/>
        <v>687.19109549390987</v>
      </c>
      <c r="CY47" s="59">
        <f ca="1">AVERAGE(OFFSET($CX$3,0,0,'Données projet'!$E$13+1,1))-AVERAGE(OFFSET($H$3,0,0,'Données projet'!$E$13+1,1))</f>
        <v>326.9460696675867</v>
      </c>
      <c r="CZ47" s="59">
        <f t="shared" si="42"/>
        <v>393.4020374592568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29.555836667290269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29.555836667290269</v>
      </c>
      <c r="DJ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10.8</v>
      </c>
      <c r="DO47" s="12">
        <f>IF('Données projet'!$A$166&gt;35,DO46+DN47-DW46,IF(A47&lt;'Données projet'!$A$166,$DL$205^A47,IF(A47='Données projet'!$A$166,'Données projet'!$B$166,DO46+DN47-DW46)))</f>
        <v>252.2000000000001</v>
      </c>
      <c r="DP47" s="17">
        <f>DO47*VLOOKUP('Données projet'!$B$14,Paramètres!$A$1:$I$89,3,0)*VLOOKUP('Données projet'!$B$14,Paramètres!$A$1:$I$89,5,0)</f>
        <v>196.71600000000009</v>
      </c>
      <c r="DQ47" s="13">
        <f t="shared" si="43"/>
        <v>49.021749959730052</v>
      </c>
      <c r="DR47" s="20">
        <f t="shared" si="16"/>
        <v>427.99324784652998</v>
      </c>
      <c r="DS47" s="59">
        <f t="shared" si="17"/>
        <v>709.44257909320845</v>
      </c>
      <c r="DT47" s="59">
        <f ca="1">AVERAGE(OFFSET($DS$3,0,0,'Données projet'!$E$14+1,1))-AVERAGE(OFFSET($H$3,0,0,'Données projet'!$E$14+1,1))</f>
        <v>364.34528546733799</v>
      </c>
      <c r="DU47" s="59">
        <f t="shared" si="44"/>
        <v>346.5839763411152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19.958221707170146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19.958221707170146</v>
      </c>
      <c r="EE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155.75976000000003</v>
      </c>
      <c r="EL47" s="13">
        <f t="shared" si="45"/>
        <v>39.884627547343271</v>
      </c>
      <c r="EM47" s="20">
        <f t="shared" si="19"/>
        <v>340.74730831162287</v>
      </c>
      <c r="EN47" s="59">
        <f t="shared" si="20"/>
        <v>622.19663955830129</v>
      </c>
      <c r="EO47" s="59">
        <f ca="1">AVERAGE(OFFSET($EN$3,0,0,'Données projet'!$E$15+1,1))-AVERAGE(OFFSET($H$3,0,0,'Données projet'!$E$15+1,1))</f>
        <v>310.38232870602445</v>
      </c>
      <c r="EP47" s="59">
        <f t="shared" si="46"/>
        <v>303.45934457265537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24.218128379436653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24.218128379436653</v>
      </c>
      <c r="EZ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7.6</v>
      </c>
      <c r="FE47" s="12">
        <f>IF('Données projet'!$A$218&gt;35,FE46+FD47-FM46,IF(A47&lt;'Données projet'!$A$218,$FB$205^A47,IF(A47='Données projet'!$A$218,'Données projet'!$B$218,FE46+FD47-FM46)))</f>
        <v>235.40000000000003</v>
      </c>
      <c r="FF47" s="17">
        <f>FE47*VLOOKUP('Données projet'!$B$16,Paramètres!$A$1:$I$89,3,0)*VLOOKUP('Données projet'!$B$16,Paramètres!$A$1:$I$89,5,0)</f>
        <v>224.00664000000003</v>
      </c>
      <c r="FG47" s="13">
        <f t="shared" si="47"/>
        <v>54.984792305364024</v>
      </c>
      <c r="FH47" s="20">
        <f t="shared" si="22"/>
        <v>485.91007793184241</v>
      </c>
      <c r="FI47" s="59">
        <f t="shared" si="23"/>
        <v>767.35940917852088</v>
      </c>
      <c r="FJ47" s="59">
        <f ca="1">AVERAGE(OFFSET($FI$3,0,0,'Données projet'!$E$16+1,1))-AVERAGE(OFFSET($H$3,0,0,'Données projet'!$E$16+1,1))</f>
        <v>457.706832425622</v>
      </c>
      <c r="FK47" s="59">
        <f t="shared" si="48"/>
        <v>474.61768219844873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23.51324164455411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23.51324164455411</v>
      </c>
      <c r="FU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9.8000000000000007</v>
      </c>
      <c r="FZ47" s="12">
        <f>IF('Données projet'!$A$244&gt;35,FZ46+FY47-GH46,IF(A47&lt;'Données projet'!$A$244,$FW$205^A47,IF(A47='Données projet'!$A$244,'Données projet'!$B$244,FZ46+FY47-GH46)))</f>
        <v>232.20000000000005</v>
      </c>
      <c r="GA47" s="17">
        <f>FZ47*VLOOKUP('Données projet'!$B$17,Paramètres!$A$1:$I$89,3,0)*VLOOKUP('Données projet'!$B$17,Paramètres!$A$1:$I$89,5,0)</f>
        <v>224.58384000000004</v>
      </c>
      <c r="GB47" s="13">
        <f t="shared" si="49"/>
        <v>55.109961845140433</v>
      </c>
      <c r="GC47" s="20">
        <f t="shared" si="25"/>
        <v>487.13337154695296</v>
      </c>
      <c r="GD47" s="59">
        <f t="shared" si="26"/>
        <v>768.58270279363137</v>
      </c>
      <c r="GE47" s="59">
        <f ca="1">AVERAGE(OFFSET($GD$3,0,0,'Données projet'!$E$17+1,1))-AVERAGE(OFFSET($H$3,0,0,'Données projet'!$E$17+1,1))</f>
        <v>428.11167311086814</v>
      </c>
      <c r="GF47" s="59">
        <f t="shared" si="50"/>
        <v>415.69449942923609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28.330640745756082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28.330640745756082</v>
      </c>
      <c r="GP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1.1368683772161603E-13</v>
      </c>
      <c r="GV47" s="17">
        <f>GU47*VLOOKUP('Données projet'!$B$18,Paramètres!$A$1:$I$89,3,0)*VLOOKUP('Données projet'!$B$18,Paramètres!$A$1:$I$89,5,0)</f>
        <v>6.5087988332379613E-14</v>
      </c>
      <c r="GW47" s="13">
        <f t="shared" si="51"/>
        <v>1.0279249680474958E-12</v>
      </c>
      <c r="GX47" s="20">
        <f t="shared" si="28"/>
        <v>1.9036642323616162E-12</v>
      </c>
      <c r="GY47" s="59">
        <f t="shared" si="29"/>
        <v>281.44933124668034</v>
      </c>
      <c r="GZ47" s="59">
        <f ca="1">AVERAGE(OFFSET($GY$3,0,0,'Données projet'!$E$18+1,1))-AVERAGE(OFFSET($H$3,0,0,'Données projet'!$E$18+1,1))</f>
        <v>249.88816678272056</v>
      </c>
      <c r="HA47" s="59">
        <f t="shared" si="52"/>
        <v>432.10802787437319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62.941712579027126</v>
      </c>
      <c r="HH47" s="21">
        <f>EXP(-LN(2)/25)*HH46+(1-EXP(-LN(2)/25))/(LN(2)/25)*Calculateur!HC47*Calculateur!HE47*VLOOKUP('Données projet'!$B$18,Paramètres!$A$1:$I$89,3,0)*0.475*44/12</f>
        <v>14.593078232780584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77.53479081180771</v>
      </c>
    </row>
    <row r="48" spans="1:218" x14ac:dyDescent="0.3">
      <c r="A48" s="10">
        <f t="shared" si="31"/>
        <v>45</v>
      </c>
      <c r="B48" s="71">
        <f>'Scénario référence'!$B$16*5+'Scénario référence'!$B$17*0+'Scénario référence'!$B$18*5</f>
        <v>1.4000000000000001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5.1333333333333337</v>
      </c>
      <c r="H48" s="65">
        <f t="shared" si="1"/>
        <v>236.13333333333335</v>
      </c>
      <c r="I48" s="6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242</v>
      </c>
      <c r="L48" s="12">
        <f>VLOOKUP(A48,'Données projet'!$A$35:$I$55,9,0)</f>
        <v>9.8000000000000007</v>
      </c>
      <c r="M48" s="12">
        <f t="array" ref="M48">INDEX(L:L,MIN(IF(ISNUMBER(L48:L244),ROW(L48:L244),"")))</f>
        <v>9.8000000000000007</v>
      </c>
      <c r="N48" s="13">
        <f>IF('Données projet'!$A$36&gt;35,N47+M48-V47,IF(A48&lt;'Données projet'!$A$36,$K$205^A48,IF(A48='Données projet'!$A$36,'Données projet'!$B$36,N47+M48-V47)))</f>
        <v>242.00000000000006</v>
      </c>
      <c r="O48" s="13">
        <f>N48*VLOOKUP('Données projet'!$B$9,Paramètres!$A$1:$I$89,3,0)*VLOOKUP('Données projet'!$B$9,Paramètres!$A$1:$I$89,5,0)</f>
        <v>192.53520000000006</v>
      </c>
      <c r="P48" s="13">
        <f t="shared" si="33"/>
        <v>48.100016456123079</v>
      </c>
      <c r="Q48" s="20">
        <f t="shared" si="53"/>
        <v>419.10633532774779</v>
      </c>
      <c r="R48" s="59">
        <f t="shared" si="0"/>
        <v>700.76182744198138</v>
      </c>
      <c r="S48" s="59">
        <f ca="1">AVERAGE(OFFSET($R$3,0,0,'Données projet'!$E$9+1,1))-AVERAGE(OFFSET($H$3,0,0,'Données projet'!$E$9+1,1))</f>
        <v>360.06385535620069</v>
      </c>
      <c r="T48" s="59">
        <f t="shared" si="34"/>
        <v>350.82516032456408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24</v>
      </c>
      <c r="W48" s="16">
        <f>IF(ISNA(VLOOKUP(A48,'Données projet'!$A$35:$I$55,5,0)),0%,VLOOKUP(A48,'Données projet'!$A$35:$I$55,5,0)*VLOOKUP('Données projet'!$B$9,Paramètres!$A$1:$I$89,7,0))</f>
        <v>0.53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39.34796557707206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39.34796557707206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184.57920000000001</v>
      </c>
      <c r="AK48" s="13">
        <f t="shared" si="35"/>
        <v>46.339479465836661</v>
      </c>
      <c r="AL48" s="20">
        <f t="shared" si="4"/>
        <v>402.18336673633218</v>
      </c>
      <c r="AM48" s="59">
        <f t="shared" si="5"/>
        <v>683.83885885056577</v>
      </c>
      <c r="AN48" s="59">
        <f ca="1">AVERAGE(OFFSET($AM$3,0,0,'Données projet'!$E$10+1,1))-AVERAGE(OFFSET($H$3,0,0,'Données projet'!$E$10+1,1))</f>
        <v>448.65237942538027</v>
      </c>
      <c r="AO48" s="59">
        <f t="shared" si="36"/>
        <v>283.56749129825107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32.829286458361416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32.829286458361416</v>
      </c>
      <c r="AY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190</v>
      </c>
      <c r="BB48" s="12">
        <f>VLOOKUP(A48,'Données projet'!$A$87:$I$107,9,0)</f>
        <v>11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190.00000000000003</v>
      </c>
      <c r="BE48" s="13">
        <f>BD48*VLOOKUP('Données projet'!$B$11,Paramètres!$A$1:$I$89,3,0)*VLOOKUP('Données projet'!$B$11,Paramètres!$A$1:$I$89,5,0)</f>
        <v>163.02000000000004</v>
      </c>
      <c r="BF48" s="13">
        <f t="shared" si="37"/>
        <v>41.52294175893757</v>
      </c>
      <c r="BG48" s="20">
        <f t="shared" si="7"/>
        <v>356.24562356348298</v>
      </c>
      <c r="BH48" s="59">
        <f t="shared" si="8"/>
        <v>637.90111567771658</v>
      </c>
      <c r="BI48" s="59">
        <f ca="1">AVERAGE(OFFSET($BH$3,0,0,'Données projet'!$E$11+1,1))-AVERAGE(OFFSET($H$3,0,0,'Données projet'!$E$11+1,1))</f>
        <v>456.76871853389395</v>
      </c>
      <c r="BJ48" s="59">
        <f t="shared" si="38"/>
        <v>262.12425810289176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38.37103850285628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38.37103850285628</v>
      </c>
      <c r="BT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210</v>
      </c>
      <c r="BW48" s="12">
        <f>VLOOKUP(A48,'Données projet'!$A$113:$I$133,9,0)</f>
        <v>8</v>
      </c>
      <c r="BX48" s="12">
        <f t="array" ref="BX48">INDEX(BW:BW,MIN(IF(ISNUMBER(BW48:BW244),ROW(BW48:BW244),"")))</f>
        <v>8</v>
      </c>
      <c r="BY48" s="12">
        <f>IF('Données projet'!$A$114&gt;35,BY47+BX48-CG47,IF(A48&lt;'Données projet'!$A$114,$BV$205^A48,IF(A48='Données projet'!$A$114,'Données projet'!$B$114,BY47+BX48-CG47)))</f>
        <v>210.00000000000006</v>
      </c>
      <c r="BZ48" s="13">
        <f>BY48*VLOOKUP('Données projet'!$B$12,Paramètres!$A$1:$I$89,3,0)*VLOOKUP('Données projet'!$B$12,Paramètres!$A$1:$I$89,5,0)</f>
        <v>153.97200000000004</v>
      </c>
      <c r="CA48" s="13">
        <f t="shared" si="39"/>
        <v>39.479859284656413</v>
      </c>
      <c r="CB48" s="20">
        <f t="shared" si="10"/>
        <v>336.92865492077664</v>
      </c>
      <c r="CC48" s="59">
        <f t="shared" si="11"/>
        <v>618.58414703501023</v>
      </c>
      <c r="CD48" s="59">
        <f ca="1">AVERAGE(OFFSET($CC$3,0,0,'Données projet'!$E$12+1,1))-AVERAGE(OFFSET($H$3,0,0,'Données projet'!$E$12+1,1))</f>
        <v>242.65851607945316</v>
      </c>
      <c r="CE48" s="59">
        <f t="shared" si="40"/>
        <v>218.9349999985487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223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223.00000000000009</v>
      </c>
      <c r="CU48" s="17">
        <f>CT48*VLOOKUP('Données projet'!$B$13,Paramètres!$A$1:$I$89,3,0)*VLOOKUP('Données projet'!$B$13,Paramètres!$A$1:$I$89,5,0)</f>
        <v>194.81280000000012</v>
      </c>
      <c r="CV48" s="13">
        <f t="shared" si="41"/>
        <v>48.602440540253902</v>
      </c>
      <c r="CW48" s="20">
        <f t="shared" si="13"/>
        <v>423.9482106076091</v>
      </c>
      <c r="CX48" s="59">
        <f t="shared" si="14"/>
        <v>705.60370272184264</v>
      </c>
      <c r="CY48" s="59">
        <f ca="1">AVERAGE(OFFSET($CX$3,0,0,'Données projet'!$E$13+1,1))-AVERAGE(OFFSET($H$3,0,0,'Données projet'!$E$13+1,1))</f>
        <v>326.9460696675867</v>
      </c>
      <c r="CZ48" s="59">
        <f t="shared" si="42"/>
        <v>393.4020374592568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36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43.925903274233598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43.925903274233598</v>
      </c>
      <c r="DJ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263</v>
      </c>
      <c r="DM48" s="12">
        <f>VLOOKUP(A48,'Données projet'!$A$165:$I$185,9,0)</f>
        <v>10.8</v>
      </c>
      <c r="DN48" s="12">
        <f t="array" ref="DN48">INDEX(DM:DM,MIN(IF(ISNUMBER(DM48:DM244),ROW(DM48:DM244),"")))</f>
        <v>10.8</v>
      </c>
      <c r="DO48" s="12">
        <f>IF('Données projet'!$A$166&gt;35,DO47+DN48-DW47,IF(A48&lt;'Données projet'!$A$166,$DL$205^A48,IF(A48='Données projet'!$A$166,'Données projet'!$B$166,DO47+DN48-DW47)))</f>
        <v>263.00000000000011</v>
      </c>
      <c r="DP48" s="17">
        <f>DO48*VLOOKUP('Données projet'!$B$14,Paramètres!$A$1:$I$89,3,0)*VLOOKUP('Données projet'!$B$14,Paramètres!$A$1:$I$89,5,0)</f>
        <v>205.1400000000001</v>
      </c>
      <c r="DQ48" s="13">
        <f t="shared" si="43"/>
        <v>50.872110483472362</v>
      </c>
      <c r="DR48" s="20">
        <f t="shared" si="16"/>
        <v>445.88775909204782</v>
      </c>
      <c r="DS48" s="59">
        <f t="shared" si="17"/>
        <v>727.54325120628141</v>
      </c>
      <c r="DT48" s="59">
        <f ca="1">AVERAGE(OFFSET($DS$3,0,0,'Données projet'!$E$14+1,1))-AVERAGE(OFFSET($H$3,0,0,'Données projet'!$E$14+1,1))</f>
        <v>364.34528546733799</v>
      </c>
      <c r="DU48" s="59">
        <f t="shared" si="44"/>
        <v>346.5839763411152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36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32.914744703438416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32.914744703438416</v>
      </c>
      <c r="EE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162.33360000000002</v>
      </c>
      <c r="EL48" s="13">
        <f t="shared" si="45"/>
        <v>41.368421016378349</v>
      </c>
      <c r="EM48" s="20">
        <f t="shared" si="19"/>
        <v>354.78101993685891</v>
      </c>
      <c r="EN48" s="59">
        <f t="shared" si="20"/>
        <v>636.43651205109245</v>
      </c>
      <c r="EO48" s="59">
        <f ca="1">AVERAGE(OFFSET($EN$3,0,0,'Données projet'!$E$15+1,1))-AVERAGE(OFFSET($H$3,0,0,'Données projet'!$E$15+1,1))</f>
        <v>310.38232870602445</v>
      </c>
      <c r="EP48" s="59">
        <f t="shared" si="46"/>
        <v>303.45934457265537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33.17573568262938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33.17573568262938</v>
      </c>
      <c r="EZ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243</v>
      </c>
      <c r="FC48" s="12">
        <f>VLOOKUP(A48,'Données projet'!$A$217:$I$237,9,0)</f>
        <v>7.6</v>
      </c>
      <c r="FD48" s="12">
        <f t="array" ref="FD48">INDEX(FC:FC,MIN(IF(ISNUMBER(FC48:FC244),ROW(FC48:FC244),"")))</f>
        <v>7.6</v>
      </c>
      <c r="FE48" s="12">
        <f>IF('Données projet'!$A$218&gt;35,FE47+FD48-FM47,IF(A48&lt;'Données projet'!$A$218,$FB$205^A48,IF(A48='Données projet'!$A$218,'Données projet'!$B$218,FE47+FD48-FM47)))</f>
        <v>243.00000000000003</v>
      </c>
      <c r="FF48" s="17">
        <f>FE48*VLOOKUP('Données projet'!$B$16,Paramètres!$A$1:$I$89,3,0)*VLOOKUP('Données projet'!$B$16,Paramètres!$A$1:$I$89,5,0)</f>
        <v>231.23880000000003</v>
      </c>
      <c r="FG48" s="13">
        <f t="shared" si="47"/>
        <v>56.55045525673966</v>
      </c>
      <c r="FH48" s="20">
        <f t="shared" si="22"/>
        <v>501.23295290548822</v>
      </c>
      <c r="FI48" s="59">
        <f t="shared" si="23"/>
        <v>782.88844501972176</v>
      </c>
      <c r="FJ48" s="59">
        <f ca="1">AVERAGE(OFFSET($FI$3,0,0,'Données projet'!$E$16+1,1))-AVERAGE(OFFSET($H$3,0,0,'Données projet'!$E$16+1,1))</f>
        <v>457.706832425622</v>
      </c>
      <c r="FK48" s="59">
        <f t="shared" si="48"/>
        <v>474.61768219844873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30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36.622517727375552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36.622517727375552</v>
      </c>
      <c r="FU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242</v>
      </c>
      <c r="FX48" s="12">
        <f>VLOOKUP(A48,'Données projet'!$A$243:$I$263,9,0)</f>
        <v>9.8000000000000007</v>
      </c>
      <c r="FY48" s="12">
        <f t="array" ref="FY48">INDEX(FX:FX,MIN(IF(ISNUMBER(FX48:FX244),ROW(FX48:FX244),"")))</f>
        <v>9.8000000000000007</v>
      </c>
      <c r="FZ48" s="12">
        <f>IF('Données projet'!$A$244&gt;35,FZ47+FY48-GH47,IF(A48&lt;'Données projet'!$A$244,$FW$205^A48,IF(A48='Données projet'!$A$244,'Données projet'!$B$244,FZ47+FY48-GH47)))</f>
        <v>242.00000000000006</v>
      </c>
      <c r="GA48" s="17">
        <f>FZ48*VLOOKUP('Données projet'!$B$17,Paramètres!$A$1:$I$89,3,0)*VLOOKUP('Données projet'!$B$17,Paramètres!$A$1:$I$89,5,0)</f>
        <v>234.06240000000005</v>
      </c>
      <c r="GB48" s="13">
        <f t="shared" si="49"/>
        <v>57.160170321263926</v>
      </c>
      <c r="GC48" s="20">
        <f t="shared" si="25"/>
        <v>507.21264330953471</v>
      </c>
      <c r="GD48" s="59">
        <f t="shared" si="26"/>
        <v>788.86813542376831</v>
      </c>
      <c r="GE48" s="59">
        <f ca="1">AVERAGE(OFFSET($GD$3,0,0,'Données projet'!$E$17+1,1))-AVERAGE(OFFSET($H$3,0,0,'Données projet'!$E$17+1,1))</f>
        <v>428.11167311086814</v>
      </c>
      <c r="GF48" s="59">
        <f t="shared" si="50"/>
        <v>415.69449942923609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24</v>
      </c>
      <c r="GI48" s="16">
        <f>IF(ISNA(VLOOKUP(A48,'Données projet'!$A$243:$I$263,5,0)),0%,VLOOKUP(A48,'Données projet'!$A$243:$I$263,5,0)*VLOOKUP('Données projet'!$B$17,Paramètres!$A$1:$I$89,7,0))</f>
        <v>0.43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38.809351175906066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38.809351175906066</v>
      </c>
      <c r="GP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1.1368683772161603E-13</v>
      </c>
      <c r="GV48" s="17">
        <f>GU48*VLOOKUP('Données projet'!$B$18,Paramètres!$A$1:$I$89,3,0)*VLOOKUP('Données projet'!$B$18,Paramètres!$A$1:$I$89,5,0)</f>
        <v>6.5087988332379613E-14</v>
      </c>
      <c r="GW48" s="13">
        <f t="shared" si="51"/>
        <v>1.0279249680474958E-12</v>
      </c>
      <c r="GX48" s="20">
        <f t="shared" si="28"/>
        <v>1.9036642323616162E-12</v>
      </c>
      <c r="GY48" s="59">
        <f t="shared" si="29"/>
        <v>281.65549211423547</v>
      </c>
      <c r="GZ48" s="59">
        <f ca="1">AVERAGE(OFFSET($GY$3,0,0,'Données projet'!$E$18+1,1))-AVERAGE(OFFSET($H$3,0,0,'Données projet'!$E$18+1,1))</f>
        <v>249.88816678272056</v>
      </c>
      <c r="HA48" s="59">
        <f t="shared" si="52"/>
        <v>432.10802787437319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61.707463986006317</v>
      </c>
      <c r="HH48" s="21">
        <f>EXP(-LN(2)/25)*HH47+(1-EXP(-LN(2)/25))/(LN(2)/25)*Calculateur!HC48*Calculateur!HE48*VLOOKUP('Données projet'!$B$18,Paramètres!$A$1:$I$89,3,0)*0.475*44/12</f>
        <v>14.194029741088569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75.901493727094888</v>
      </c>
    </row>
    <row r="49" spans="1:218" x14ac:dyDescent="0.3">
      <c r="A49" s="10">
        <f t="shared" si="31"/>
        <v>46</v>
      </c>
      <c r="B49" s="71">
        <f>'Scénario référence'!$B$16*5+'Scénario référence'!$B$17*0+'Scénario référence'!$B$18*5</f>
        <v>1.4000000000000001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5.1333333333333337</v>
      </c>
      <c r="H49" s="65">
        <f t="shared" si="1"/>
        <v>236.13333333333335</v>
      </c>
      <c r="I49" s="6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8.6</v>
      </c>
      <c r="N49" s="13">
        <f>IF('Données projet'!$A$36&gt;35,N48+M49-V48,IF(A49&lt;'Données projet'!$A$36,$K$205^A49,IF(A49='Données projet'!$A$36,'Données projet'!$B$36,N48+M49-V48)))</f>
        <v>226.60000000000005</v>
      </c>
      <c r="O49" s="13">
        <f>N49*VLOOKUP('Données projet'!$B$9,Paramètres!$A$1:$I$89,3,0)*VLOOKUP('Données projet'!$B$9,Paramètres!$A$1:$I$89,5,0)</f>
        <v>180.28296000000006</v>
      </c>
      <c r="P49" s="13">
        <f t="shared" si="33"/>
        <v>45.385133797071397</v>
      </c>
      <c r="Q49" s="20">
        <f t="shared" si="53"/>
        <v>393.03859669656612</v>
      </c>
      <c r="R49" s="59">
        <f t="shared" si="0"/>
        <v>674.89667324820925</v>
      </c>
      <c r="S49" s="59">
        <f ca="1">AVERAGE(OFFSET($R$3,0,0,'Données projet'!$E$9+1,1))-AVERAGE(OFFSET($H$3,0,0,'Données projet'!$E$9+1,1))</f>
        <v>360.06385535620069</v>
      </c>
      <c r="T49" s="59">
        <f t="shared" si="34"/>
        <v>350.82516032456408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38.576375971994885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38.576375971994885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169.19760000000002</v>
      </c>
      <c r="AK49" s="13">
        <f t="shared" si="35"/>
        <v>42.910263223432885</v>
      </c>
      <c r="AL49" s="20">
        <f t="shared" si="4"/>
        <v>369.42119511414558</v>
      </c>
      <c r="AM49" s="59">
        <f t="shared" si="5"/>
        <v>651.27927166578877</v>
      </c>
      <c r="AN49" s="59">
        <f ca="1">AVERAGE(OFFSET($AM$3,0,0,'Données projet'!$E$10+1,1))-AVERAGE(OFFSET($H$3,0,0,'Données projet'!$E$10+1,1))</f>
        <v>448.65237942538027</v>
      </c>
      <c r="AO49" s="59">
        <f t="shared" si="36"/>
        <v>283.56749129825107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32.185524174800491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32.185524174800491</v>
      </c>
      <c r="AY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173.00000000000003</v>
      </c>
      <c r="BE49" s="13">
        <f>BD49*VLOOKUP('Données projet'!$B$11,Paramètres!$A$1:$I$89,3,0)*VLOOKUP('Données projet'!$B$11,Paramètres!$A$1:$I$89,5,0)</f>
        <v>148.43400000000003</v>
      </c>
      <c r="BF49" s="13">
        <f t="shared" si="37"/>
        <v>38.222489421716382</v>
      </c>
      <c r="BG49" s="20">
        <f t="shared" si="7"/>
        <v>325.0933857428227</v>
      </c>
      <c r="BH49" s="59">
        <f t="shared" si="8"/>
        <v>606.95146229446595</v>
      </c>
      <c r="BI49" s="59">
        <f ca="1">AVERAGE(OFFSET($BH$3,0,0,'Données projet'!$E$11+1,1))-AVERAGE(OFFSET($H$3,0,0,'Données projet'!$E$11+1,1))</f>
        <v>456.76871853389395</v>
      </c>
      <c r="BJ49" s="59">
        <f t="shared" si="38"/>
        <v>262.12425810289176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37.618605841837798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37.618605841837798</v>
      </c>
      <c r="BT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</v>
      </c>
      <c r="BY49" s="12">
        <f>IF('Données projet'!$A$114&gt;35,BY48+BX49-CG48,IF(A49&lt;'Données projet'!$A$114,$BV$205^A49,IF(A49='Données projet'!$A$114,'Données projet'!$B$114,BY48+BX49-CG48)))</f>
        <v>219.00000000000006</v>
      </c>
      <c r="BZ49" s="13">
        <f>BY49*VLOOKUP('Données projet'!$B$12,Paramètres!$A$1:$I$89,3,0)*VLOOKUP('Données projet'!$B$12,Paramètres!$A$1:$I$89,5,0)</f>
        <v>160.57080000000005</v>
      </c>
      <c r="CA49" s="13">
        <f t="shared" si="39"/>
        <v>40.971234244168215</v>
      </c>
      <c r="CB49" s="20">
        <f t="shared" si="10"/>
        <v>351.01904297525971</v>
      </c>
      <c r="CC49" s="59">
        <f t="shared" si="11"/>
        <v>632.8771195269029</v>
      </c>
      <c r="CD49" s="59">
        <f ca="1">AVERAGE(OFFSET($CC$3,0,0,'Données projet'!$E$12+1,1))-AVERAGE(OFFSET($H$3,0,0,'Données projet'!$E$12+1,1))</f>
        <v>242.65851607945316</v>
      </c>
      <c r="CE49" s="59">
        <f t="shared" si="40"/>
        <v>218.9349999985487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8.8000000000000007</v>
      </c>
      <c r="CT49" s="12">
        <f>IF('Données projet'!$A$140&gt;35,CT48+CS49-DB48,IF(A49&lt;'Données projet'!$A$140,$CQ$205^A49,IF(A49='Données projet'!$A$140,'Données projet'!$B$140,CT48+CS49-DB48)))</f>
        <v>195.8000000000001</v>
      </c>
      <c r="CU49" s="17">
        <f>CT49*VLOOKUP('Données projet'!$B$13,Paramètres!$A$1:$I$89,3,0)*VLOOKUP('Données projet'!$B$13,Paramètres!$A$1:$I$89,5,0)</f>
        <v>171.05088000000012</v>
      </c>
      <c r="CV49" s="13">
        <f t="shared" si="41"/>
        <v>43.325301264581704</v>
      </c>
      <c r="CW49" s="20">
        <f t="shared" si="13"/>
        <v>373.37184903581334</v>
      </c>
      <c r="CX49" s="59">
        <f t="shared" si="14"/>
        <v>655.22992558745659</v>
      </c>
      <c r="CY49" s="59">
        <f ca="1">AVERAGE(OFFSET($CX$3,0,0,'Données projet'!$E$13+1,1))-AVERAGE(OFFSET($H$3,0,0,'Données projet'!$E$13+1,1))</f>
        <v>326.9460696675867</v>
      </c>
      <c r="CZ49" s="59">
        <f t="shared" si="42"/>
        <v>393.4020374592568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43.064543103181371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43.064543103181371</v>
      </c>
      <c r="DJ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11.2</v>
      </c>
      <c r="DO49" s="12">
        <f>IF('Données projet'!$A$166&gt;35,DO48+DN49-DW48,IF(A49&lt;'Données projet'!$A$166,$DL$205^A49,IF(A49='Données projet'!$A$166,'Données projet'!$B$166,DO48+DN49-DW48)))</f>
        <v>238.2000000000001</v>
      </c>
      <c r="DP49" s="17">
        <f>DO49*VLOOKUP('Données projet'!$B$14,Paramètres!$A$1:$I$89,3,0)*VLOOKUP('Données projet'!$B$14,Paramètres!$A$1:$I$89,5,0)</f>
        <v>185.79600000000008</v>
      </c>
      <c r="DQ49" s="13">
        <f t="shared" si="43"/>
        <v>46.60930127448345</v>
      </c>
      <c r="DR49" s="20">
        <f t="shared" si="16"/>
        <v>404.7725663863921</v>
      </c>
      <c r="DS49" s="59">
        <f t="shared" si="17"/>
        <v>686.63064293803529</v>
      </c>
      <c r="DT49" s="59">
        <f ca="1">AVERAGE(OFFSET($DS$3,0,0,'Données projet'!$E$14+1,1))-AVERAGE(OFFSET($H$3,0,0,'Données projet'!$E$14+1,1))</f>
        <v>364.34528546733799</v>
      </c>
      <c r="DU49" s="59">
        <f t="shared" si="44"/>
        <v>346.5839763411152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32.269306635815916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32.269306635815916</v>
      </c>
      <c r="EE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152.00328000000002</v>
      </c>
      <c r="EL49" s="13">
        <f t="shared" si="45"/>
        <v>39.033486080292285</v>
      </c>
      <c r="EM49" s="20">
        <f t="shared" si="19"/>
        <v>332.72236758984241</v>
      </c>
      <c r="EN49" s="59">
        <f t="shared" si="20"/>
        <v>614.5804441414856</v>
      </c>
      <c r="EO49" s="59">
        <f ca="1">AVERAGE(OFFSET($EN$3,0,0,'Données projet'!$E$15+1,1))-AVERAGE(OFFSET($H$3,0,0,'Données projet'!$E$15+1,1))</f>
        <v>310.38232870602445</v>
      </c>
      <c r="EP49" s="59">
        <f t="shared" si="46"/>
        <v>303.45934457265537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32.525179741093723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32.525179741093723</v>
      </c>
      <c r="EZ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7.2</v>
      </c>
      <c r="FE49" s="12">
        <f>IF('Données projet'!$A$218&gt;35,FE48+FD49-FM48,IF(A49&lt;'Données projet'!$A$218,$FB$205^A49,IF(A49='Données projet'!$A$218,'Données projet'!$B$218,FE48+FD49-FM48)))</f>
        <v>220.20000000000002</v>
      </c>
      <c r="FF49" s="17">
        <f>FE49*VLOOKUP('Données projet'!$B$16,Paramètres!$A$1:$I$89,3,0)*VLOOKUP('Données projet'!$B$16,Paramètres!$A$1:$I$89,5,0)</f>
        <v>209.54232000000002</v>
      </c>
      <c r="FG49" s="13">
        <f t="shared" si="47"/>
        <v>51.835558406813547</v>
      </c>
      <c r="FH49" s="20">
        <f t="shared" si="22"/>
        <v>455.23313822520032</v>
      </c>
      <c r="FI49" s="59">
        <f t="shared" si="23"/>
        <v>737.09121477684357</v>
      </c>
      <c r="FJ49" s="59">
        <f ca="1">AVERAGE(OFFSET($FI$3,0,0,'Données projet'!$E$16+1,1))-AVERAGE(OFFSET($H$3,0,0,'Données projet'!$E$16+1,1))</f>
        <v>457.706832425622</v>
      </c>
      <c r="FK49" s="59">
        <f t="shared" si="48"/>
        <v>474.61768219844873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35.904372492271882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35.904372492271882</v>
      </c>
      <c r="FU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8.6</v>
      </c>
      <c r="FZ49" s="12">
        <f>IF('Données projet'!$A$244&gt;35,FZ48+FY49-GH48,IF(A49&lt;'Données projet'!$A$244,$FW$205^A49,IF(A49='Données projet'!$A$244,'Données projet'!$B$244,FZ48+FY49-GH48)))</f>
        <v>226.60000000000005</v>
      </c>
      <c r="GA49" s="17">
        <f>FZ49*VLOOKUP('Données projet'!$B$17,Paramètres!$A$1:$I$89,3,0)*VLOOKUP('Données projet'!$B$17,Paramètres!$A$1:$I$89,5,0)</f>
        <v>219.16752000000002</v>
      </c>
      <c r="GB49" s="13">
        <f t="shared" si="49"/>
        <v>53.933910402305209</v>
      </c>
      <c r="GC49" s="20">
        <f t="shared" si="25"/>
        <v>475.65165795068168</v>
      </c>
      <c r="GD49" s="59">
        <f t="shared" si="26"/>
        <v>757.50973450232482</v>
      </c>
      <c r="GE49" s="59">
        <f ca="1">AVERAGE(OFFSET($GD$3,0,0,'Données projet'!$E$17+1,1))-AVERAGE(OFFSET($H$3,0,0,'Données projet'!$E$17+1,1))</f>
        <v>428.11167311086814</v>
      </c>
      <c r="GF49" s="59">
        <f t="shared" si="50"/>
        <v>415.69449942923609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38.048323470713413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38.048323470713413</v>
      </c>
      <c r="GP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1.1368683772161603E-13</v>
      </c>
      <c r="GV49" s="17">
        <f>GU49*VLOOKUP('Données projet'!$B$18,Paramètres!$A$1:$I$89,3,0)*VLOOKUP('Données projet'!$B$18,Paramètres!$A$1:$I$89,5,0)</f>
        <v>6.5087988332379613E-14</v>
      </c>
      <c r="GW49" s="13">
        <f t="shared" si="51"/>
        <v>1.0279249680474958E-12</v>
      </c>
      <c r="GX49" s="20">
        <f t="shared" si="28"/>
        <v>1.9036642323616162E-12</v>
      </c>
      <c r="GY49" s="59">
        <f t="shared" si="29"/>
        <v>281.85807655164507</v>
      </c>
      <c r="GZ49" s="59">
        <f ca="1">AVERAGE(OFFSET($GY$3,0,0,'Données projet'!$E$18+1,1))-AVERAGE(OFFSET($H$3,0,0,'Données projet'!$E$18+1,1))</f>
        <v>249.88816678272056</v>
      </c>
      <c r="HA49" s="59">
        <f t="shared" si="52"/>
        <v>432.10802787437319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60.497418255077335</v>
      </c>
      <c r="HH49" s="21">
        <f>EXP(-LN(2)/25)*HH48+(1-EXP(-LN(2)/25))/(LN(2)/25)*Calculateur!HC49*Calculateur!HE49*VLOOKUP('Données projet'!$B$18,Paramètres!$A$1:$I$89,3,0)*0.475*44/12</f>
        <v>13.805893251386919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74.303311506464254</v>
      </c>
    </row>
    <row r="50" spans="1:218" x14ac:dyDescent="0.3">
      <c r="A50" s="10">
        <f t="shared" si="31"/>
        <v>47</v>
      </c>
      <c r="B50" s="71">
        <f>'Scénario référence'!$B$16*5+'Scénario référence'!$B$17*0+'Scénario référence'!$B$18*5</f>
        <v>1.4000000000000001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5.1333333333333337</v>
      </c>
      <c r="H50" s="65">
        <f t="shared" si="1"/>
        <v>236.13333333333335</v>
      </c>
      <c r="I50" s="6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8.6</v>
      </c>
      <c r="N50" s="13">
        <f>IF('Données projet'!$A$36&gt;35,N49+M50-V49,IF(A50&lt;'Données projet'!$A$36,$K$205^A50,IF(A50='Données projet'!$A$36,'Données projet'!$B$36,N49+M50-V49)))</f>
        <v>235.20000000000005</v>
      </c>
      <c r="O50" s="13">
        <f>N50*VLOOKUP('Données projet'!$B$9,Paramètres!$A$1:$I$89,3,0)*VLOOKUP('Données projet'!$B$9,Paramètres!$A$1:$I$89,5,0)</f>
        <v>187.12512000000004</v>
      </c>
      <c r="P50" s="13">
        <f t="shared" si="33"/>
        <v>46.903794805770545</v>
      </c>
      <c r="Q50" s="20">
        <f t="shared" si="53"/>
        <v>407.60035995338376</v>
      </c>
      <c r="R50" s="59">
        <f t="shared" si="0"/>
        <v>689.6575065553584</v>
      </c>
      <c r="S50" s="59">
        <f ca="1">AVERAGE(OFFSET($R$3,0,0,'Données projet'!$E$9+1,1))-AVERAGE(OFFSET($H$3,0,0,'Données projet'!$E$9+1,1))</f>
        <v>360.06385535620069</v>
      </c>
      <c r="T50" s="59">
        <f t="shared" si="34"/>
        <v>350.82516032456408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37.819916768450085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37.819916768450085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179.15040000000002</v>
      </c>
      <c r="AK50" s="13">
        <f t="shared" si="35"/>
        <v>45.133113803437304</v>
      </c>
      <c r="AL50" s="20">
        <f t="shared" si="4"/>
        <v>390.62711987431999</v>
      </c>
      <c r="AM50" s="59">
        <f t="shared" si="5"/>
        <v>672.68426647629462</v>
      </c>
      <c r="AN50" s="59">
        <f ca="1">AVERAGE(OFFSET($AM$3,0,0,'Données projet'!$E$10+1,1))-AVERAGE(OFFSET($H$3,0,0,'Données projet'!$E$10+1,1))</f>
        <v>448.65237942538027</v>
      </c>
      <c r="AO50" s="59">
        <f t="shared" si="36"/>
        <v>283.56749129825107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31.554385676963978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31.554385676963978</v>
      </c>
      <c r="AY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184.00000000000003</v>
      </c>
      <c r="BE50" s="13">
        <f>BD50*VLOOKUP('Données projet'!$B$11,Paramètres!$A$1:$I$89,3,0)*VLOOKUP('Données projet'!$B$11,Paramètres!$A$1:$I$89,5,0)</f>
        <v>157.87200000000004</v>
      </c>
      <c r="BF50" s="13">
        <f t="shared" si="37"/>
        <v>40.362165684361159</v>
      </c>
      <c r="BG50" s="20">
        <f t="shared" si="7"/>
        <v>345.25783856692902</v>
      </c>
      <c r="BH50" s="59">
        <f t="shared" si="8"/>
        <v>627.31498516890372</v>
      </c>
      <c r="BI50" s="59">
        <f ca="1">AVERAGE(OFFSET($BH$3,0,0,'Données projet'!$E$11+1,1))-AVERAGE(OFFSET($H$3,0,0,'Données projet'!$E$11+1,1))</f>
        <v>456.76871853389395</v>
      </c>
      <c r="BJ50" s="59">
        <f t="shared" si="38"/>
        <v>262.12425810289176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36.880927926363285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36.880927926363285</v>
      </c>
      <c r="BT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</v>
      </c>
      <c r="BY50" s="12">
        <f>IF('Données projet'!$A$114&gt;35,BY49+BX50-CG49,IF(A50&lt;'Données projet'!$A$114,$BV$205^A50,IF(A50='Données projet'!$A$114,'Données projet'!$B$114,BY49+BX50-CG49)))</f>
        <v>228.00000000000006</v>
      </c>
      <c r="BZ50" s="13">
        <f>BY50*VLOOKUP('Données projet'!$B$12,Paramètres!$A$1:$I$89,3,0)*VLOOKUP('Données projet'!$B$12,Paramètres!$A$1:$I$89,5,0)</f>
        <v>167.16960000000003</v>
      </c>
      <c r="CA50" s="13">
        <f t="shared" si="39"/>
        <v>42.455490039298851</v>
      </c>
      <c r="CB50" s="20">
        <f t="shared" si="10"/>
        <v>365.09703181844549</v>
      </c>
      <c r="CC50" s="59">
        <f t="shared" si="11"/>
        <v>647.15417842042018</v>
      </c>
      <c r="CD50" s="59">
        <f ca="1">AVERAGE(OFFSET($CC$3,0,0,'Données projet'!$E$12+1,1))-AVERAGE(OFFSET($H$3,0,0,'Données projet'!$E$12+1,1))</f>
        <v>242.65851607945316</v>
      </c>
      <c r="CE50" s="59">
        <f t="shared" si="40"/>
        <v>218.9349999985487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8.8000000000000007</v>
      </c>
      <c r="CT50" s="12">
        <f>IF('Données projet'!$A$140&gt;35,CT49+CS50-DB49,IF(A50&lt;'Données projet'!$A$140,$CQ$205^A50,IF(A50='Données projet'!$A$140,'Données projet'!$B$140,CT49+CS50-DB49)))</f>
        <v>204.60000000000011</v>
      </c>
      <c r="CU50" s="17">
        <f>CT50*VLOOKUP('Données projet'!$B$13,Paramètres!$A$1:$I$89,3,0)*VLOOKUP('Données projet'!$B$13,Paramètres!$A$1:$I$89,5,0)</f>
        <v>178.73856000000012</v>
      </c>
      <c r="CV50" s="13">
        <f t="shared" si="41"/>
        <v>45.041424241265368</v>
      </c>
      <c r="CW50" s="20">
        <f t="shared" si="13"/>
        <v>389.75013922020406</v>
      </c>
      <c r="CX50" s="59">
        <f t="shared" si="14"/>
        <v>671.80728582217876</v>
      </c>
      <c r="CY50" s="59">
        <f ca="1">AVERAGE(OFFSET($CX$3,0,0,'Données projet'!$E$13+1,1))-AVERAGE(OFFSET($H$3,0,0,'Données projet'!$E$13+1,1))</f>
        <v>326.9460696675867</v>
      </c>
      <c r="CZ50" s="59">
        <f t="shared" si="42"/>
        <v>393.4020374592568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42.220073679705649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42.220073679705649</v>
      </c>
      <c r="DJ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11.2</v>
      </c>
      <c r="DO50" s="12">
        <f>IF('Données projet'!$A$166&gt;35,DO49+DN50-DW49,IF(A50&lt;'Données projet'!$A$166,$DL$205^A50,IF(A50='Données projet'!$A$166,'Données projet'!$B$166,DO49+DN50-DW49)))</f>
        <v>249.40000000000009</v>
      </c>
      <c r="DP50" s="17">
        <f>DO50*VLOOKUP('Données projet'!$B$14,Paramètres!$A$1:$I$89,3,0)*VLOOKUP('Données projet'!$B$14,Paramètres!$A$1:$I$89,5,0)</f>
        <v>194.53200000000007</v>
      </c>
      <c r="DQ50" s="13">
        <f t="shared" si="43"/>
        <v>48.540534952652621</v>
      </c>
      <c r="DR50" s="20">
        <f t="shared" si="16"/>
        <v>423.35133170920341</v>
      </c>
      <c r="DS50" s="59">
        <f t="shared" si="17"/>
        <v>705.4084783111781</v>
      </c>
      <c r="DT50" s="59">
        <f ca="1">AVERAGE(OFFSET($DS$3,0,0,'Données projet'!$E$14+1,1))-AVERAGE(OFFSET($H$3,0,0,'Données projet'!$E$14+1,1))</f>
        <v>364.34528546733799</v>
      </c>
      <c r="DU50" s="59">
        <f t="shared" si="44"/>
        <v>346.5839763411152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31.636525215021145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31.636525215021145</v>
      </c>
      <c r="EE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157.77216000000004</v>
      </c>
      <c r="EL50" s="13">
        <f t="shared" si="45"/>
        <v>40.339610539653599</v>
      </c>
      <c r="EM50" s="20">
        <f t="shared" si="19"/>
        <v>345.04466702323003</v>
      </c>
      <c r="EN50" s="59">
        <f t="shared" si="20"/>
        <v>627.10181362520473</v>
      </c>
      <c r="EO50" s="59">
        <f ca="1">AVERAGE(OFFSET($EN$3,0,0,'Données projet'!$E$15+1,1))-AVERAGE(OFFSET($H$3,0,0,'Données projet'!$E$15+1,1))</f>
        <v>310.38232870602445</v>
      </c>
      <c r="EP50" s="59">
        <f t="shared" si="46"/>
        <v>303.45934457265537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31.887380804771638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31.887380804771638</v>
      </c>
      <c r="EZ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7.2</v>
      </c>
      <c r="FE50" s="12">
        <f>IF('Données projet'!$A$218&gt;35,FE49+FD50-FM49,IF(A50&lt;'Données projet'!$A$218,$FB$205^A50,IF(A50='Données projet'!$A$218,'Données projet'!$B$218,FE49+FD50-FM49)))</f>
        <v>227.4</v>
      </c>
      <c r="FF50" s="17">
        <f>FE50*VLOOKUP('Données projet'!$B$16,Paramètres!$A$1:$I$89,3,0)*VLOOKUP('Données projet'!$B$16,Paramètres!$A$1:$I$89,5,0)</f>
        <v>216.39384000000001</v>
      </c>
      <c r="FG50" s="13">
        <f t="shared" si="47"/>
        <v>53.330352339128915</v>
      </c>
      <c r="FH50" s="20">
        <f t="shared" si="22"/>
        <v>469.76963499064959</v>
      </c>
      <c r="FI50" s="59">
        <f t="shared" si="23"/>
        <v>751.82678159262423</v>
      </c>
      <c r="FJ50" s="59">
        <f ca="1">AVERAGE(OFFSET($FI$3,0,0,'Données projet'!$E$16+1,1))-AVERAGE(OFFSET($H$3,0,0,'Données projet'!$E$16+1,1))</f>
        <v>457.706832425622</v>
      </c>
      <c r="FK50" s="59">
        <f t="shared" si="48"/>
        <v>474.61768219844873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35.200309647203255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35.200309647203255</v>
      </c>
      <c r="FU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8.6</v>
      </c>
      <c r="FZ50" s="12">
        <f>IF('Données projet'!$A$244&gt;35,FZ49+FY50-GH49,IF(A50&lt;'Données projet'!$A$244,$FW$205^A50,IF(A50='Données projet'!$A$244,'Données projet'!$B$244,FZ49+FY50-GH49)))</f>
        <v>235.20000000000005</v>
      </c>
      <c r="GA50" s="17">
        <f>FZ50*VLOOKUP('Données projet'!$B$17,Paramètres!$A$1:$I$89,3,0)*VLOOKUP('Données projet'!$B$17,Paramètres!$A$1:$I$89,5,0)</f>
        <v>227.48544000000007</v>
      </c>
      <c r="GB50" s="13">
        <f t="shared" si="49"/>
        <v>55.738627496252377</v>
      </c>
      <c r="GC50" s="20">
        <f t="shared" si="25"/>
        <v>493.281917555973</v>
      </c>
      <c r="GD50" s="59">
        <f t="shared" si="26"/>
        <v>775.33906415794763</v>
      </c>
      <c r="GE50" s="59">
        <f ca="1">AVERAGE(OFFSET($GD$3,0,0,'Données projet'!$E$17+1,1))-AVERAGE(OFFSET($H$3,0,0,'Données projet'!$E$17+1,1))</f>
        <v>428.11167311086814</v>
      </c>
      <c r="GF50" s="59">
        <f t="shared" si="50"/>
        <v>415.69449942923609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37.30221905463852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37.30221905463852</v>
      </c>
      <c r="GP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1.1368683772161603E-13</v>
      </c>
      <c r="GV50" s="17">
        <f>GU50*VLOOKUP('Données projet'!$B$18,Paramètres!$A$1:$I$89,3,0)*VLOOKUP('Données projet'!$B$18,Paramètres!$A$1:$I$89,5,0)</f>
        <v>6.5087988332379613E-14</v>
      </c>
      <c r="GW50" s="13">
        <f t="shared" si="51"/>
        <v>1.0279249680474958E-12</v>
      </c>
      <c r="GX50" s="20">
        <f t="shared" si="28"/>
        <v>1.9036642323616162E-12</v>
      </c>
      <c r="GY50" s="59">
        <f t="shared" si="29"/>
        <v>282.05714660197657</v>
      </c>
      <c r="GZ50" s="59">
        <f ca="1">AVERAGE(OFFSET($GY$3,0,0,'Données projet'!$E$18+1,1))-AVERAGE(OFFSET($H$3,0,0,'Données projet'!$E$18+1,1))</f>
        <v>249.88816678272056</v>
      </c>
      <c r="HA50" s="59">
        <f t="shared" si="52"/>
        <v>432.10802787437319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59.311100782876856</v>
      </c>
      <c r="HH50" s="21">
        <f>EXP(-LN(2)/25)*HH49+(1-EXP(-LN(2)/25))/(LN(2)/25)*Calculateur!HC50*Calculateur!HE50*VLOOKUP('Données projet'!$B$18,Paramètres!$A$1:$I$89,3,0)*0.475*44/12</f>
        <v>13.428370374407372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72.739471157284228</v>
      </c>
    </row>
    <row r="51" spans="1:218" x14ac:dyDescent="0.3">
      <c r="A51" s="10">
        <f t="shared" si="31"/>
        <v>48</v>
      </c>
      <c r="B51" s="71">
        <f>'Scénario référence'!$B$16*5+'Scénario référence'!$B$17*0+'Scénario référence'!$B$18*5</f>
        <v>1.4000000000000001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5.1333333333333337</v>
      </c>
      <c r="H51" s="65">
        <f t="shared" si="1"/>
        <v>236.13333333333335</v>
      </c>
      <c r="I51" s="6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8.6</v>
      </c>
      <c r="N51" s="13">
        <f>IF('Données projet'!$A$36&gt;35,N50+M51-V50,IF(A51&lt;'Données projet'!$A$36,$K$205^A51,IF(A51='Données projet'!$A$36,'Données projet'!$B$36,N50+M51-V50)))</f>
        <v>243.80000000000004</v>
      </c>
      <c r="O51" s="13">
        <f>N51*VLOOKUP('Données projet'!$B$9,Paramètres!$A$1:$I$89,3,0)*VLOOKUP('Données projet'!$B$9,Paramètres!$A$1:$I$89,5,0)</f>
        <v>193.96728000000004</v>
      </c>
      <c r="P51" s="13">
        <f t="shared" si="33"/>
        <v>48.41600442423902</v>
      </c>
      <c r="Q51" s="20">
        <f t="shared" si="53"/>
        <v>422.15088703888301</v>
      </c>
      <c r="R51" s="59">
        <f t="shared" si="0"/>
        <v>704.40365027087</v>
      </c>
      <c r="S51" s="59">
        <f ca="1">AVERAGE(OFFSET($R$3,0,0,'Données projet'!$E$9+1,1))-AVERAGE(OFFSET($H$3,0,0,'Données projet'!$E$9+1,1))</f>
        <v>360.06385535620069</v>
      </c>
      <c r="T51" s="59">
        <f t="shared" si="34"/>
        <v>350.82516032456408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37.078291268492244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37.078291268492244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189.10320000000002</v>
      </c>
      <c r="AK51" s="13">
        <f t="shared" si="35"/>
        <v>47.34162854278712</v>
      </c>
      <c r="AL51" s="20">
        <f t="shared" si="4"/>
        <v>411.80807637868764</v>
      </c>
      <c r="AM51" s="59">
        <f t="shared" si="5"/>
        <v>694.06083961067463</v>
      </c>
      <c r="AN51" s="59">
        <f ca="1">AVERAGE(OFFSET($AM$3,0,0,'Données projet'!$E$10+1,1))-AVERAGE(OFFSET($H$3,0,0,'Données projet'!$E$10+1,1))</f>
        <v>448.65237942538027</v>
      </c>
      <c r="AO51" s="59">
        <f t="shared" si="36"/>
        <v>283.56749129825107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30.935623420113565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30.935623420113565</v>
      </c>
      <c r="AY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195.00000000000003</v>
      </c>
      <c r="BE51" s="13">
        <f>BD51*VLOOKUP('Données projet'!$B$11,Paramètres!$A$1:$I$89,3,0)*VLOOKUP('Données projet'!$B$11,Paramètres!$A$1:$I$89,5,0)</f>
        <v>167.31000000000006</v>
      </c>
      <c r="BF51" s="13">
        <f t="shared" si="37"/>
        <v>42.486994942347515</v>
      </c>
      <c r="BG51" s="20">
        <f t="shared" si="7"/>
        <v>365.39643285792204</v>
      </c>
      <c r="BH51" s="59">
        <f t="shared" si="8"/>
        <v>647.64919608990908</v>
      </c>
      <c r="BI51" s="59">
        <f ca="1">AVERAGE(OFFSET($BH$3,0,0,'Données projet'!$E$11+1,1))-AVERAGE(OFFSET($H$3,0,0,'Données projet'!$E$11+1,1))</f>
        <v>456.76871853389395</v>
      </c>
      <c r="BJ51" s="59">
        <f t="shared" si="38"/>
        <v>262.12425810289176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36.157715424872123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36.157715424872123</v>
      </c>
      <c r="BT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</v>
      </c>
      <c r="BY51" s="12">
        <f>IF('Données projet'!$A$114&gt;35,BY50+BX51-CG50,IF(A51&lt;'Données projet'!$A$114,$BV$205^A51,IF(A51='Données projet'!$A$114,'Données projet'!$B$114,BY50+BX51-CG50)))</f>
        <v>237.00000000000006</v>
      </c>
      <c r="BZ51" s="13">
        <f>BY51*VLOOKUP('Données projet'!$B$12,Paramètres!$A$1:$I$89,3,0)*VLOOKUP('Données projet'!$B$12,Paramètres!$A$1:$I$89,5,0)</f>
        <v>173.76840000000004</v>
      </c>
      <c r="CA51" s="13">
        <f t="shared" si="39"/>
        <v>43.932939846426045</v>
      </c>
      <c r="CB51" s="20">
        <f t="shared" si="10"/>
        <v>379.16316689919205</v>
      </c>
      <c r="CC51" s="59">
        <f t="shared" si="11"/>
        <v>661.41593013117904</v>
      </c>
      <c r="CD51" s="59">
        <f ca="1">AVERAGE(OFFSET($CC$3,0,0,'Données projet'!$E$12+1,1))-AVERAGE(OFFSET($H$3,0,0,'Données projet'!$E$12+1,1))</f>
        <v>242.65851607945316</v>
      </c>
      <c r="CE51" s="59">
        <f t="shared" si="40"/>
        <v>218.9349999985487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8.8000000000000007</v>
      </c>
      <c r="CT51" s="12">
        <f>IF('Données projet'!$A$140&gt;35,CT50+CS51-DB50,IF(A51&lt;'Données projet'!$A$140,$CQ$205^A51,IF(A51='Données projet'!$A$140,'Données projet'!$B$140,CT50+CS51-DB50)))</f>
        <v>213.40000000000012</v>
      </c>
      <c r="CU51" s="17">
        <f>CT51*VLOOKUP('Données projet'!$B$13,Paramètres!$A$1:$I$89,3,0)*VLOOKUP('Données projet'!$B$13,Paramètres!$A$1:$I$89,5,0)</f>
        <v>186.42624000000012</v>
      </c>
      <c r="CV51" s="13">
        <f t="shared" si="41"/>
        <v>46.748974211060826</v>
      </c>
      <c r="CW51" s="20">
        <f t="shared" si="13"/>
        <v>406.11349808426445</v>
      </c>
      <c r="CX51" s="59">
        <f t="shared" si="14"/>
        <v>688.36626131625144</v>
      </c>
      <c r="CY51" s="59">
        <f ca="1">AVERAGE(OFFSET($CX$3,0,0,'Données projet'!$E$13+1,1))-AVERAGE(OFFSET($H$3,0,0,'Données projet'!$E$13+1,1))</f>
        <v>326.9460696675867</v>
      </c>
      <c r="CZ51" s="59">
        <f t="shared" si="42"/>
        <v>393.4020374592568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41.392163786548799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41.392163786548799</v>
      </c>
      <c r="DJ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11.2</v>
      </c>
      <c r="DO51" s="12">
        <f>IF('Données projet'!$A$166&gt;35,DO50+DN51-DW50,IF(A51&lt;'Données projet'!$A$166,$DL$205^A51,IF(A51='Données projet'!$A$166,'Données projet'!$B$166,DO50+DN51-DW50)))</f>
        <v>260.60000000000008</v>
      </c>
      <c r="DP51" s="17">
        <f>DO51*VLOOKUP('Données projet'!$B$14,Paramètres!$A$1:$I$89,3,0)*VLOOKUP('Données projet'!$B$14,Paramètres!$A$1:$I$89,5,0)</f>
        <v>203.26800000000006</v>
      </c>
      <c r="DQ51" s="13">
        <f t="shared" si="43"/>
        <v>50.461696323746594</v>
      </c>
      <c r="DR51" s="20">
        <f t="shared" si="16"/>
        <v>441.9125544305254</v>
      </c>
      <c r="DS51" s="59">
        <f t="shared" si="17"/>
        <v>724.16531766251239</v>
      </c>
      <c r="DT51" s="59">
        <f ca="1">AVERAGE(OFFSET($DS$3,0,0,'Données projet'!$E$14+1,1))-AVERAGE(OFFSET($H$3,0,0,'Données projet'!$E$14+1,1))</f>
        <v>364.34528546733799</v>
      </c>
      <c r="DU51" s="59">
        <f t="shared" si="44"/>
        <v>346.5839763411152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31.016152251929601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31.016152251929601</v>
      </c>
      <c r="EE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163.54104000000004</v>
      </c>
      <c r="EL51" s="13">
        <f t="shared" si="45"/>
        <v>41.640186480597151</v>
      </c>
      <c r="EM51" s="20">
        <f t="shared" si="19"/>
        <v>357.35730278704006</v>
      </c>
      <c r="EN51" s="59">
        <f t="shared" si="20"/>
        <v>639.61006601902704</v>
      </c>
      <c r="EO51" s="59">
        <f ca="1">AVERAGE(OFFSET($EN$3,0,0,'Données projet'!$E$15+1,1))-AVERAGE(OFFSET($H$3,0,0,'Données projet'!$E$15+1,1))</f>
        <v>310.38232870602445</v>
      </c>
      <c r="EP51" s="59">
        <f t="shared" si="46"/>
        <v>303.45934457265537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31.262088716571892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31.262088716571892</v>
      </c>
      <c r="EZ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7.2</v>
      </c>
      <c r="FE51" s="12">
        <f>IF('Données projet'!$A$218&gt;35,FE50+FD51-FM50,IF(A51&lt;'Données projet'!$A$218,$FB$205^A51,IF(A51='Données projet'!$A$218,'Données projet'!$B$218,FE50+FD51-FM50)))</f>
        <v>234.6</v>
      </c>
      <c r="FF51" s="17">
        <f>FE51*VLOOKUP('Données projet'!$B$16,Paramètres!$A$1:$I$89,3,0)*VLOOKUP('Données projet'!$B$16,Paramètres!$A$1:$I$89,5,0)</f>
        <v>223.24536000000001</v>
      </c>
      <c r="FG51" s="13">
        <f t="shared" si="47"/>
        <v>54.81964639459116</v>
      </c>
      <c r="FH51" s="20">
        <f t="shared" si="22"/>
        <v>484.29655280391285</v>
      </c>
      <c r="FI51" s="59">
        <f t="shared" si="23"/>
        <v>766.54931603589989</v>
      </c>
      <c r="FJ51" s="59">
        <f ca="1">AVERAGE(OFFSET($FI$3,0,0,'Données projet'!$E$16+1,1))-AVERAGE(OFFSET($H$3,0,0,'Données projet'!$E$16+1,1))</f>
        <v>457.706832425622</v>
      </c>
      <c r="FK51" s="59">
        <f t="shared" si="48"/>
        <v>474.61768219844873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34.510053045090494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34.510053045090494</v>
      </c>
      <c r="FU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8.6</v>
      </c>
      <c r="FZ51" s="12">
        <f>IF('Données projet'!$A$244&gt;35,FZ50+FY51-GH50,IF(A51&lt;'Données projet'!$A$244,$FW$205^A51,IF(A51='Données projet'!$A$244,'Données projet'!$B$244,FZ50+FY51-GH50)))</f>
        <v>243.80000000000004</v>
      </c>
      <c r="GA51" s="17">
        <f>FZ51*VLOOKUP('Données projet'!$B$17,Paramètres!$A$1:$I$89,3,0)*VLOOKUP('Données projet'!$B$17,Paramètres!$A$1:$I$89,5,0)</f>
        <v>235.80336000000005</v>
      </c>
      <c r="GB51" s="13">
        <f t="shared" si="49"/>
        <v>57.535678011442229</v>
      </c>
      <c r="GC51" s="20">
        <f t="shared" si="25"/>
        <v>510.89882453659533</v>
      </c>
      <c r="GD51" s="59">
        <f t="shared" si="26"/>
        <v>793.15158776858232</v>
      </c>
      <c r="GE51" s="59">
        <f ca="1">AVERAGE(OFFSET($GD$3,0,0,'Données projet'!$E$17+1,1))-AVERAGE(OFFSET($H$3,0,0,'Données projet'!$E$17+1,1))</f>
        <v>428.11167311086814</v>
      </c>
      <c r="GF51" s="59">
        <f t="shared" si="50"/>
        <v>415.69449942923609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36.570745291084101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36.570745291084101</v>
      </c>
      <c r="GP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1.1368683772161603E-13</v>
      </c>
      <c r="GV51" s="17">
        <f>GU51*VLOOKUP('Données projet'!$B$18,Paramètres!$A$1:$I$89,3,0)*VLOOKUP('Données projet'!$B$18,Paramètres!$A$1:$I$89,5,0)</f>
        <v>6.5087988332379613E-14</v>
      </c>
      <c r="GW51" s="13">
        <f t="shared" si="51"/>
        <v>1.0279249680474958E-12</v>
      </c>
      <c r="GX51" s="20">
        <f t="shared" si="28"/>
        <v>1.9036642323616162E-12</v>
      </c>
      <c r="GY51" s="59">
        <f t="shared" si="29"/>
        <v>282.25276323198887</v>
      </c>
      <c r="GZ51" s="59">
        <f ca="1">AVERAGE(OFFSET($GY$3,0,0,'Données projet'!$E$18+1,1))-AVERAGE(OFFSET($H$3,0,0,'Données projet'!$E$18+1,1))</f>
        <v>249.88816678272056</v>
      </c>
      <c r="HA51" s="59">
        <f t="shared" si="52"/>
        <v>432.10802787437319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58.148046272724017</v>
      </c>
      <c r="HH51" s="21">
        <f>EXP(-LN(2)/25)*HH50+(1-EXP(-LN(2)/25))/(LN(2)/25)*Calculateur!HC51*Calculateur!HE51*VLOOKUP('Données projet'!$B$18,Paramètres!$A$1:$I$89,3,0)*0.475*44/12</f>
        <v>13.061170880351895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71.209217153075912</v>
      </c>
    </row>
    <row r="52" spans="1:218" x14ac:dyDescent="0.3">
      <c r="A52" s="10">
        <f t="shared" si="31"/>
        <v>49</v>
      </c>
      <c r="B52" s="71">
        <f>'Scénario référence'!$B$16*5+'Scénario référence'!$B$17*0+'Scénario référence'!$B$18*5</f>
        <v>1.4000000000000001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5.1333333333333337</v>
      </c>
      <c r="H52" s="65">
        <f t="shared" si="1"/>
        <v>236.13333333333335</v>
      </c>
      <c r="I52" s="6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8.6</v>
      </c>
      <c r="N52" s="13">
        <f>IF('Données projet'!$A$36&gt;35,N51+M52-V51,IF(A52&lt;'Données projet'!$A$36,$K$205^A52,IF(A52='Données projet'!$A$36,'Données projet'!$B$36,N51+M52-V51)))</f>
        <v>252.40000000000003</v>
      </c>
      <c r="O52" s="13">
        <f>N52*VLOOKUP('Données projet'!$B$9,Paramètres!$A$1:$I$89,3,0)*VLOOKUP('Données projet'!$B$9,Paramètres!$A$1:$I$89,5,0)</f>
        <v>200.80944000000002</v>
      </c>
      <c r="P52" s="13">
        <f t="shared" si="33"/>
        <v>49.922016299484312</v>
      </c>
      <c r="Q52" s="20">
        <f t="shared" si="53"/>
        <v>436.69061972160188</v>
      </c>
      <c r="R52" s="59">
        <f t="shared" si="0"/>
        <v>719.13560607240368</v>
      </c>
      <c r="S52" s="59">
        <f ca="1">AVERAGE(OFFSET($R$3,0,0,'Données projet'!$E$9+1,1))-AVERAGE(OFFSET($H$3,0,0,'Données projet'!$E$9+1,1))</f>
        <v>360.06385535620069</v>
      </c>
      <c r="T52" s="59">
        <f t="shared" si="34"/>
        <v>350.82516032456408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36.35120859224169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36.35120859224169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199.05600000000001</v>
      </c>
      <c r="AK52" s="13">
        <f t="shared" si="35"/>
        <v>49.536648006253934</v>
      </c>
      <c r="AL52" s="20">
        <f t="shared" si="4"/>
        <v>432.96552861089231</v>
      </c>
      <c r="AM52" s="59">
        <f t="shared" si="5"/>
        <v>715.41051496169416</v>
      </c>
      <c r="AN52" s="59">
        <f ca="1">AVERAGE(OFFSET($AM$3,0,0,'Données projet'!$E$10+1,1))-AVERAGE(OFFSET($H$3,0,0,'Données projet'!$E$10+1,1))</f>
        <v>448.65237942538027</v>
      </c>
      <c r="AO52" s="59">
        <f t="shared" si="36"/>
        <v>283.56749129825107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30.328994713712277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30.328994713712277</v>
      </c>
      <c r="AY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206.00000000000003</v>
      </c>
      <c r="BE52" s="13">
        <f>BD52*VLOOKUP('Données projet'!$B$11,Paramètres!$A$1:$I$89,3,0)*VLOOKUP('Données projet'!$B$11,Paramètres!$A$1:$I$89,5,0)</f>
        <v>176.74800000000005</v>
      </c>
      <c r="BF52" s="13">
        <f t="shared" si="37"/>
        <v>44.597910160550732</v>
      </c>
      <c r="BG52" s="20">
        <f t="shared" si="7"/>
        <v>385.51079352962591</v>
      </c>
      <c r="BH52" s="59">
        <f t="shared" si="8"/>
        <v>667.95577988042771</v>
      </c>
      <c r="BI52" s="59">
        <f ca="1">AVERAGE(OFFSET($BH$3,0,0,'Données projet'!$E$11+1,1))-AVERAGE(OFFSET($H$3,0,0,'Données projet'!$E$11+1,1))</f>
        <v>456.76871853389395</v>
      </c>
      <c r="BJ52" s="59">
        <f t="shared" si="38"/>
        <v>262.12425810289176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35.448684679419138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35.448684679419138</v>
      </c>
      <c r="BT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</v>
      </c>
      <c r="BY52" s="12">
        <f>IF('Données projet'!$A$114&gt;35,BY51+BX52-CG51,IF(A52&lt;'Données projet'!$A$114,$BV$205^A52,IF(A52='Données projet'!$A$114,'Données projet'!$B$114,BY51+BX52-CG51)))</f>
        <v>246.00000000000006</v>
      </c>
      <c r="BZ52" s="13">
        <f>BY52*VLOOKUP('Données projet'!$B$12,Paramètres!$A$1:$I$89,3,0)*VLOOKUP('Données projet'!$B$12,Paramètres!$A$1:$I$89,5,0)</f>
        <v>180.36720000000003</v>
      </c>
      <c r="CA52" s="13">
        <f t="shared" si="39"/>
        <v>45.403871709149094</v>
      </c>
      <c r="CB52" s="20">
        <f t="shared" si="10"/>
        <v>393.21794989343471</v>
      </c>
      <c r="CC52" s="59">
        <f t="shared" si="11"/>
        <v>675.66293624423656</v>
      </c>
      <c r="CD52" s="59">
        <f ca="1">AVERAGE(OFFSET($CC$3,0,0,'Données projet'!$E$12+1,1))-AVERAGE(OFFSET($H$3,0,0,'Données projet'!$E$12+1,1))</f>
        <v>242.65851607945316</v>
      </c>
      <c r="CE52" s="59">
        <f t="shared" si="40"/>
        <v>218.9349999985487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8.8000000000000007</v>
      </c>
      <c r="CT52" s="12">
        <f>IF('Données projet'!$A$140&gt;35,CT51+CS52-DB51,IF(A52&lt;'Données projet'!$A$140,$CQ$205^A52,IF(A52='Données projet'!$A$140,'Données projet'!$B$140,CT51+CS52-DB51)))</f>
        <v>222.20000000000013</v>
      </c>
      <c r="CU52" s="17">
        <f>CT52*VLOOKUP('Données projet'!$B$13,Paramètres!$A$1:$I$89,3,0)*VLOOKUP('Données projet'!$B$13,Paramètres!$A$1:$I$89,5,0)</f>
        <v>194.11392000000015</v>
      </c>
      <c r="CV52" s="13">
        <f t="shared" si="41"/>
        <v>48.448345132424009</v>
      </c>
      <c r="CW52" s="20">
        <f t="shared" si="13"/>
        <v>422.46261177230537</v>
      </c>
      <c r="CX52" s="59">
        <f t="shared" si="14"/>
        <v>704.90759812310716</v>
      </c>
      <c r="CY52" s="59">
        <f ca="1">AVERAGE(OFFSET($CX$3,0,0,'Données projet'!$E$13+1,1))-AVERAGE(OFFSET($H$3,0,0,'Données projet'!$E$13+1,1))</f>
        <v>326.9460696675867</v>
      </c>
      <c r="CZ52" s="59">
        <f t="shared" si="42"/>
        <v>393.4020374592568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40.580488701421579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40.580488701421579</v>
      </c>
      <c r="DJ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11.2</v>
      </c>
      <c r="DO52" s="12">
        <f>IF('Données projet'!$A$166&gt;35,DO51+DN52-DW51,IF(A52&lt;'Données projet'!$A$166,$DL$205^A52,IF(A52='Données projet'!$A$166,'Données projet'!$B$166,DO51+DN52-DW51)))</f>
        <v>271.80000000000007</v>
      </c>
      <c r="DP52" s="17">
        <f>DO52*VLOOKUP('Données projet'!$B$14,Paramètres!$A$1:$I$89,3,0)*VLOOKUP('Données projet'!$B$14,Paramètres!$A$1:$I$89,5,0)</f>
        <v>212.00400000000005</v>
      </c>
      <c r="DQ52" s="13">
        <f t="shared" si="43"/>
        <v>52.373267756879777</v>
      </c>
      <c r="DR52" s="20">
        <f t="shared" si="16"/>
        <v>460.45707467656558</v>
      </c>
      <c r="DS52" s="59">
        <f t="shared" si="17"/>
        <v>742.90206102736738</v>
      </c>
      <c r="DT52" s="59">
        <f ca="1">AVERAGE(OFFSET($DS$3,0,0,'Données projet'!$E$14+1,1))-AVERAGE(OFFSET($H$3,0,0,'Données projet'!$E$14+1,1))</f>
        <v>364.34528546733799</v>
      </c>
      <c r="DU52" s="59">
        <f t="shared" si="44"/>
        <v>346.5839763411152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30.40794442425414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30.40794442425414</v>
      </c>
      <c r="EE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169.30992000000003</v>
      </c>
      <c r="EL52" s="13">
        <f t="shared" si="45"/>
        <v>42.935432052241438</v>
      </c>
      <c r="EM52" s="20">
        <f t="shared" si="19"/>
        <v>369.66065482432049</v>
      </c>
      <c r="EN52" s="59">
        <f t="shared" si="20"/>
        <v>652.10564117512229</v>
      </c>
      <c r="EO52" s="59">
        <f ca="1">AVERAGE(OFFSET($EN$3,0,0,'Données projet'!$E$15+1,1))-AVERAGE(OFFSET($H$3,0,0,'Données projet'!$E$15+1,1))</f>
        <v>310.38232870602445</v>
      </c>
      <c r="EP52" s="59">
        <f t="shared" si="46"/>
        <v>303.45934457265537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30.649058224831226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30.649058224831226</v>
      </c>
      <c r="EZ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7.2</v>
      </c>
      <c r="FE52" s="12">
        <f>IF('Données projet'!$A$218&gt;35,FE51+FD52-FM51,IF(A52&lt;'Données projet'!$A$218,$FB$205^A52,IF(A52='Données projet'!$A$218,'Données projet'!$B$218,FE51+FD52-FM51)))</f>
        <v>241.79999999999998</v>
      </c>
      <c r="FF52" s="17">
        <f>FE52*VLOOKUP('Données projet'!$B$16,Paramètres!$A$1:$I$89,3,0)*VLOOKUP('Données projet'!$B$16,Paramètres!$A$1:$I$89,5,0)</f>
        <v>230.09688</v>
      </c>
      <c r="FG52" s="13">
        <f t="shared" si="47"/>
        <v>56.303628738745964</v>
      </c>
      <c r="FH52" s="20">
        <f t="shared" si="22"/>
        <v>498.81421938664909</v>
      </c>
      <c r="FI52" s="59">
        <f t="shared" si="23"/>
        <v>781.25920573745088</v>
      </c>
      <c r="FJ52" s="59">
        <f ca="1">AVERAGE(OFFSET($FI$3,0,0,'Données projet'!$E$16+1,1))-AVERAGE(OFFSET($H$3,0,0,'Données projet'!$E$16+1,1))</f>
        <v>457.706832425622</v>
      </c>
      <c r="FK52" s="59">
        <f t="shared" si="48"/>
        <v>474.61768219844873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33.833331953930205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33.833331953930205</v>
      </c>
      <c r="FU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8.6</v>
      </c>
      <c r="FZ52" s="12">
        <f>IF('Données projet'!$A$244&gt;35,FZ51+FY52-GH51,IF(A52&lt;'Données projet'!$A$244,$FW$205^A52,IF(A52='Données projet'!$A$244,'Données projet'!$B$244,FZ51+FY52-GH51)))</f>
        <v>252.40000000000003</v>
      </c>
      <c r="GA52" s="17">
        <f>FZ52*VLOOKUP('Données projet'!$B$17,Paramètres!$A$1:$I$89,3,0)*VLOOKUP('Données projet'!$B$17,Paramètres!$A$1:$I$89,5,0)</f>
        <v>244.12128000000004</v>
      </c>
      <c r="GB52" s="13">
        <f t="shared" si="49"/>
        <v>59.325363372015651</v>
      </c>
      <c r="GC52" s="20">
        <f t="shared" si="25"/>
        <v>528.50290387292728</v>
      </c>
      <c r="GD52" s="59">
        <f t="shared" si="26"/>
        <v>810.94789022372902</v>
      </c>
      <c r="GE52" s="59">
        <f ca="1">AVERAGE(OFFSET($GD$3,0,0,'Données projet'!$E$17+1,1))-AVERAGE(OFFSET($H$3,0,0,'Données projet'!$E$17+1,1))</f>
        <v>428.11167311086814</v>
      </c>
      <c r="GF52" s="59">
        <f t="shared" si="50"/>
        <v>415.69449942923609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35.853615281878042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35.853615281878042</v>
      </c>
      <c r="GP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1.1368683772161603E-13</v>
      </c>
      <c r="GV52" s="17">
        <f>GU52*VLOOKUP('Données projet'!$B$18,Paramètres!$A$1:$I$89,3,0)*VLOOKUP('Données projet'!$B$18,Paramètres!$A$1:$I$89,5,0)</f>
        <v>6.5087988332379613E-14</v>
      </c>
      <c r="GW52" s="13">
        <f t="shared" si="51"/>
        <v>1.0279249680474958E-12</v>
      </c>
      <c r="GX52" s="20">
        <f t="shared" si="28"/>
        <v>1.9036642323616162E-12</v>
      </c>
      <c r="GY52" s="59">
        <f t="shared" si="29"/>
        <v>282.44498635080367</v>
      </c>
      <c r="GZ52" s="59">
        <f ca="1">AVERAGE(OFFSET($GY$3,0,0,'Données projet'!$E$18+1,1))-AVERAGE(OFFSET($H$3,0,0,'Données projet'!$E$18+1,1))</f>
        <v>249.88816678272056</v>
      </c>
      <c r="HA52" s="59">
        <f t="shared" si="52"/>
        <v>432.10802787437319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57.007798552122068</v>
      </c>
      <c r="HH52" s="21">
        <f>EXP(-LN(2)/25)*HH51+(1-EXP(-LN(2)/25))/(LN(2)/25)*Calculateur!HC52*Calculateur!HE52*VLOOKUP('Données projet'!$B$18,Paramètres!$A$1:$I$89,3,0)*0.475*44/12</f>
        <v>12.704012475771547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69.711811027893617</v>
      </c>
    </row>
    <row r="53" spans="1:218" x14ac:dyDescent="0.3">
      <c r="A53" s="10">
        <f t="shared" si="31"/>
        <v>50</v>
      </c>
      <c r="B53" s="71">
        <f>'Scénario référence'!$B$16*5+'Scénario référence'!$B$17*0+'Scénario référence'!$B$18*5</f>
        <v>1.4000000000000001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5.1333333333333337</v>
      </c>
      <c r="H53" s="65">
        <f t="shared" si="1"/>
        <v>236.13333333333335</v>
      </c>
      <c r="I53" s="6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261</v>
      </c>
      <c r="L53" s="12">
        <f>VLOOKUP(A53,'Données projet'!$A$35:$I$55,9,0)</f>
        <v>8.6</v>
      </c>
      <c r="M53" s="12">
        <f t="array" ref="M53">INDEX(L:L,MIN(IF(ISNUMBER(L53:L249),ROW(L53:L249),"")))</f>
        <v>8.6</v>
      </c>
      <c r="N53" s="13">
        <f>IF('Données projet'!$A$36&gt;35,N52+M53-V52,IF(A53&lt;'Données projet'!$A$36,$K$205^A53,IF(A53='Données projet'!$A$36,'Données projet'!$B$36,N52+M53-V52)))</f>
        <v>261.00000000000006</v>
      </c>
      <c r="O53" s="13">
        <f>N53*VLOOKUP('Données projet'!$B$9,Paramètres!$A$1:$I$89,3,0)*VLOOKUP('Données projet'!$B$9,Paramètres!$A$1:$I$89,5,0)</f>
        <v>207.65160000000006</v>
      </c>
      <c r="P53" s="13">
        <f t="shared" si="33"/>
        <v>51.422065813018108</v>
      </c>
      <c r="Q53" s="20">
        <f t="shared" si="53"/>
        <v>451.2199679576733</v>
      </c>
      <c r="R53" s="59">
        <f t="shared" si="0"/>
        <v>733.85384278592494</v>
      </c>
      <c r="S53" s="59">
        <f ca="1">AVERAGE(OFFSET($R$3,0,0,'Données projet'!$E$9+1,1))-AVERAGE(OFFSET($H$3,0,0,'Données projet'!$E$9+1,1))</f>
        <v>360.06385535620069</v>
      </c>
      <c r="T53" s="59">
        <f t="shared" si="34"/>
        <v>350.82516032456408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19</v>
      </c>
      <c r="W53" s="16">
        <f>IF(ISNA(VLOOKUP(A53,'Données projet'!$A$35:$I$55,5,0)),0%,VLOOKUP(A53,'Données projet'!$A$35:$I$55,5,0)*VLOOKUP('Données projet'!$B$9,Paramètres!$A$1:$I$89,7,0))</f>
        <v>0.53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44.495071759736859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44.495071759736859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209.00880000000004</v>
      </c>
      <c r="AK53" s="13">
        <f t="shared" si="35"/>
        <v>51.718923953824252</v>
      </c>
      <c r="AL53" s="20">
        <f t="shared" si="4"/>
        <v>454.10078588624395</v>
      </c>
      <c r="AM53" s="59">
        <f t="shared" si="5"/>
        <v>736.73466071449559</v>
      </c>
      <c r="AN53" s="59">
        <f ca="1">AVERAGE(OFFSET($AM$3,0,0,'Données projet'!$E$10+1,1))-AVERAGE(OFFSET($H$3,0,0,'Données projet'!$E$10+1,1))</f>
        <v>448.65237942538027</v>
      </c>
      <c r="AO53" s="59">
        <f t="shared" si="36"/>
        <v>283.56749129825107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41.777026003029555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41.777026003029555</v>
      </c>
      <c r="AY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217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217.00000000000003</v>
      </c>
      <c r="BE53" s="13">
        <f>BD53*VLOOKUP('Données projet'!$B$11,Paramètres!$A$1:$I$89,3,0)*VLOOKUP('Données projet'!$B$11,Paramètres!$A$1:$I$89,5,0)</f>
        <v>186.18600000000004</v>
      </c>
      <c r="BF53" s="13">
        <f t="shared" si="37"/>
        <v>46.69573903947046</v>
      </c>
      <c r="BG53" s="20">
        <f t="shared" si="7"/>
        <v>405.60236216041108</v>
      </c>
      <c r="BH53" s="59">
        <f t="shared" si="8"/>
        <v>688.23623698866277</v>
      </c>
      <c r="BI53" s="59">
        <f ca="1">AVERAGE(OFFSET($BH$3,0,0,'Données projet'!$E$11+1,1))-AVERAGE(OFFSET($H$3,0,0,'Données projet'!$E$11+1,1))</f>
        <v>456.76871853389395</v>
      </c>
      <c r="BJ53" s="59">
        <f t="shared" si="38"/>
        <v>262.12425810289176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48.829202405305217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48.829202405305217</v>
      </c>
      <c r="BT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255</v>
      </c>
      <c r="BW53" s="12">
        <f>VLOOKUP(A53,'Données projet'!$A$113:$I$133,9,0)</f>
        <v>9</v>
      </c>
      <c r="BX53" s="12">
        <f t="array" ref="BX53">INDEX(BW:BW,MIN(IF(ISNUMBER(BW53:BW249),ROW(BW53:BW249),"")))</f>
        <v>9</v>
      </c>
      <c r="BY53" s="12">
        <f>IF('Données projet'!$A$114&gt;35,BY52+BX53-CG52,IF(A53&lt;'Données projet'!$A$114,$BV$205^A53,IF(A53='Données projet'!$A$114,'Données projet'!$B$114,BY52+BX53-CG52)))</f>
        <v>255.00000000000006</v>
      </c>
      <c r="BZ53" s="13">
        <f>BY53*VLOOKUP('Données projet'!$B$12,Paramètres!$A$1:$I$89,3,0)*VLOOKUP('Données projet'!$B$12,Paramètres!$A$1:$I$89,5,0)</f>
        <v>186.96600000000004</v>
      </c>
      <c r="CA53" s="13">
        <f t="shared" si="39"/>
        <v>46.868551400324648</v>
      </c>
      <c r="CB53" s="20">
        <f t="shared" si="10"/>
        <v>407.26184368889881</v>
      </c>
      <c r="CC53" s="59">
        <f t="shared" si="11"/>
        <v>689.8957185171505</v>
      </c>
      <c r="CD53" s="59">
        <f ca="1">AVERAGE(OFFSET($CC$3,0,0,'Données projet'!$E$12+1,1))-AVERAGE(OFFSET($H$3,0,0,'Données projet'!$E$12+1,1))</f>
        <v>242.65851607945316</v>
      </c>
      <c r="CE53" s="59">
        <f t="shared" si="40"/>
        <v>218.9349999985487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231</v>
      </c>
      <c r="CR53" s="12">
        <f>VLOOKUP(A53,'Données projet'!$A$139:$I$159,9,0)</f>
        <v>8.8000000000000007</v>
      </c>
      <c r="CS53" s="12">
        <f t="array" ref="CS53">INDEX(CR:CR,MIN(IF(ISNUMBER(CR53:CR249),ROW(CR53:CR249),"")))</f>
        <v>8.8000000000000007</v>
      </c>
      <c r="CT53" s="12">
        <f>IF('Données projet'!$A$140&gt;35,CT52+CS53-DB52,IF(A53&lt;'Données projet'!$A$140,$CQ$205^A53,IF(A53='Données projet'!$A$140,'Données projet'!$B$140,CT52+CS53-DB52)))</f>
        <v>231.00000000000014</v>
      </c>
      <c r="CU53" s="17">
        <f>CT53*VLOOKUP('Données projet'!$B$13,Paramètres!$A$1:$I$89,3,0)*VLOOKUP('Données projet'!$B$13,Paramètres!$A$1:$I$89,5,0)</f>
        <v>201.80160000000015</v>
      </c>
      <c r="CV53" s="13">
        <f t="shared" si="41"/>
        <v>50.139897992681711</v>
      </c>
      <c r="CW53" s="20">
        <f t="shared" si="13"/>
        <v>438.7981090039209</v>
      </c>
      <c r="CX53" s="59">
        <f t="shared" si="14"/>
        <v>721.43198383217259</v>
      </c>
      <c r="CY53" s="59">
        <f ca="1">AVERAGE(OFFSET($CX$3,0,0,'Données projet'!$E$13+1,1))-AVERAGE(OFFSET($H$3,0,0,'Données projet'!$E$13+1,1))</f>
        <v>326.9460696675867</v>
      </c>
      <c r="CZ53" s="59">
        <f t="shared" si="42"/>
        <v>393.4020374592568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33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53.488565394956979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53.488565394956979</v>
      </c>
      <c r="DJ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283</v>
      </c>
      <c r="DM53" s="12">
        <f>VLOOKUP(A53,'Données projet'!$A$165:$I$185,9,0)</f>
        <v>11.2</v>
      </c>
      <c r="DN53" s="12">
        <f t="array" ref="DN53">INDEX(DM:DM,MIN(IF(ISNUMBER(DM53:DM249),ROW(DM53:DM249),"")))</f>
        <v>11.2</v>
      </c>
      <c r="DO53" s="12">
        <f>IF('Données projet'!$A$166&gt;35,DO52+DN53-DW52,IF(A53&lt;'Données projet'!$A$166,$DL$205^A53,IF(A53='Données projet'!$A$166,'Données projet'!$B$166,DO52+DN53-DW52)))</f>
        <v>283.00000000000006</v>
      </c>
      <c r="DP53" s="17">
        <f>DO53*VLOOKUP('Données projet'!$B$14,Paramètres!$A$1:$I$89,3,0)*VLOOKUP('Données projet'!$B$14,Paramètres!$A$1:$I$89,5,0)</f>
        <v>220.74000000000007</v>
      </c>
      <c r="DQ53" s="13">
        <f t="shared" si="43"/>
        <v>54.275689618029304</v>
      </c>
      <c r="DR53" s="20">
        <f t="shared" si="16"/>
        <v>478.98565941806777</v>
      </c>
      <c r="DS53" s="59">
        <f t="shared" si="17"/>
        <v>761.6195342463194</v>
      </c>
      <c r="DT53" s="59">
        <f ca="1">AVERAGE(OFFSET($DS$3,0,0,'Données projet'!$E$14+1,1))-AVERAGE(OFFSET($H$3,0,0,'Données projet'!$E$14+1,1))</f>
        <v>364.34528546733799</v>
      </c>
      <c r="DU53" s="59">
        <f t="shared" si="44"/>
        <v>346.5839763411152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35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42.788779966446555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42.788779966446555</v>
      </c>
      <c r="EE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175.07880000000003</v>
      </c>
      <c r="EL53" s="13">
        <f t="shared" si="45"/>
        <v>44.225549694464867</v>
      </c>
      <c r="EM53" s="20">
        <f t="shared" si="19"/>
        <v>381.9550757178597</v>
      </c>
      <c r="EN53" s="59">
        <f t="shared" si="20"/>
        <v>664.58895054611139</v>
      </c>
      <c r="EO53" s="59">
        <f ca="1">AVERAGE(OFFSET($EN$3,0,0,'Données projet'!$E$15+1,1))-AVERAGE(OFFSET($H$3,0,0,'Données projet'!$E$15+1,1))</f>
        <v>310.38232870602445</v>
      </c>
      <c r="EP53" s="59">
        <f t="shared" si="46"/>
        <v>303.45934457265537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37.515452660170297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37.515452660170297</v>
      </c>
      <c r="EZ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249</v>
      </c>
      <c r="FC53" s="12">
        <f>VLOOKUP(A53,'Données projet'!$A$217:$I$237,9,0)</f>
        <v>7.2</v>
      </c>
      <c r="FD53" s="12">
        <f t="array" ref="FD53">INDEX(FC:FC,MIN(IF(ISNUMBER(FC53:FC249),ROW(FC53:FC249),"")))</f>
        <v>7.2</v>
      </c>
      <c r="FE53" s="12">
        <f>IF('Données projet'!$A$218&gt;35,FE52+FD53-FM52,IF(A53&lt;'Données projet'!$A$218,$FB$205^A53,IF(A53='Données projet'!$A$218,'Données projet'!$B$218,FE52+FD53-FM52)))</f>
        <v>248.99999999999997</v>
      </c>
      <c r="FF53" s="17">
        <f>FE53*VLOOKUP('Données projet'!$B$16,Paramètres!$A$1:$I$89,3,0)*VLOOKUP('Données projet'!$B$16,Paramètres!$A$1:$I$89,5,0)</f>
        <v>236.94839999999999</v>
      </c>
      <c r="FG53" s="13">
        <f t="shared" si="47"/>
        <v>57.782475694292401</v>
      </c>
      <c r="FH53" s="20">
        <f t="shared" si="22"/>
        <v>513.32294183422596</v>
      </c>
      <c r="FI53" s="59">
        <f t="shared" si="23"/>
        <v>795.95681666247765</v>
      </c>
      <c r="FJ53" s="59">
        <f ca="1">AVERAGE(OFFSET($FI$3,0,0,'Données projet'!$E$16+1,1))-AVERAGE(OFFSET($H$3,0,0,'Données projet'!$E$16+1,1))</f>
        <v>457.706832425622</v>
      </c>
      <c r="FK53" s="59">
        <f t="shared" si="48"/>
        <v>474.61768219844873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30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46.74023736041832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46.74023736041832</v>
      </c>
      <c r="FU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261</v>
      </c>
      <c r="FX53" s="12">
        <f>VLOOKUP(A53,'Données projet'!$A$243:$I$263,9,0)</f>
        <v>8.6</v>
      </c>
      <c r="FY53" s="12">
        <f t="array" ref="FY53">INDEX(FX:FX,MIN(IF(ISNUMBER(FX53:FX249),ROW(FX53:FX249),"")))</f>
        <v>8.6</v>
      </c>
      <c r="FZ53" s="12">
        <f>IF('Données projet'!$A$244&gt;35,FZ52+FY53-GH52,IF(A53&lt;'Données projet'!$A$244,$FW$205^A53,IF(A53='Données projet'!$A$244,'Données projet'!$B$244,FZ52+FY53-GH52)))</f>
        <v>261.00000000000006</v>
      </c>
      <c r="GA53" s="17">
        <f>FZ53*VLOOKUP('Données projet'!$B$17,Paramètres!$A$1:$I$89,3,0)*VLOOKUP('Données projet'!$B$17,Paramètres!$A$1:$I$89,5,0)</f>
        <v>252.43920000000006</v>
      </c>
      <c r="GB53" s="13">
        <f t="shared" si="49"/>
        <v>61.107963296116274</v>
      </c>
      <c r="GC53" s="20">
        <f t="shared" si="25"/>
        <v>546.09464274073594</v>
      </c>
      <c r="GD53" s="59">
        <f t="shared" si="26"/>
        <v>828.72851756898763</v>
      </c>
      <c r="GE53" s="59">
        <f ca="1">AVERAGE(OFFSET($GD$3,0,0,'Données projet'!$E$17+1,1))-AVERAGE(OFFSET($H$3,0,0,'Données projet'!$E$17+1,1))</f>
        <v>428.11167311086814</v>
      </c>
      <c r="GF53" s="59">
        <f t="shared" si="50"/>
        <v>415.69449942923609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19</v>
      </c>
      <c r="GI53" s="16">
        <f>IF(ISNA(VLOOKUP(A53,'Données projet'!$A$243:$I$263,5,0)),0%,VLOOKUP(A53,'Données projet'!$A$243:$I$263,5,0)*VLOOKUP('Données projet'!$B$17,Paramètres!$A$1:$I$89,7,0))</f>
        <v>0.43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43.886001225104877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43.886001225104877</v>
      </c>
      <c r="GP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1.1368683772161603E-13</v>
      </c>
      <c r="GV53" s="17">
        <f>GU53*VLOOKUP('Données projet'!$B$18,Paramètres!$A$1:$I$89,3,0)*VLOOKUP('Données projet'!$B$18,Paramètres!$A$1:$I$89,5,0)</f>
        <v>6.5087988332379613E-14</v>
      </c>
      <c r="GW53" s="13">
        <f t="shared" si="51"/>
        <v>1.0279249680474958E-12</v>
      </c>
      <c r="GX53" s="20">
        <f t="shared" si="28"/>
        <v>1.9036642323616162E-12</v>
      </c>
      <c r="GY53" s="59">
        <f t="shared" si="29"/>
        <v>282.63387482825351</v>
      </c>
      <c r="GZ53" s="59">
        <f ca="1">AVERAGE(OFFSET($GY$3,0,0,'Données projet'!$E$18+1,1))-AVERAGE(OFFSET($H$3,0,0,'Données projet'!$E$18+1,1))</f>
        <v>249.88816678272056</v>
      </c>
      <c r="HA53" s="59">
        <f t="shared" si="52"/>
        <v>432.10802787437319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55.88991039383869</v>
      </c>
      <c r="HH53" s="21">
        <f>EXP(-LN(2)/25)*HH52+(1-EXP(-LN(2)/25))/(LN(2)/25)*Calculateur!HC53*Calculateur!HE53*VLOOKUP('Données projet'!$B$18,Paramètres!$A$1:$I$89,3,0)*0.475*44/12</f>
        <v>12.356620586546594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68.246530980385288</v>
      </c>
    </row>
    <row r="54" spans="1:218" x14ac:dyDescent="0.3">
      <c r="A54" s="10">
        <f t="shared" si="31"/>
        <v>51</v>
      </c>
      <c r="B54" s="71">
        <f>'Scénario référence'!$B$16*5+'Scénario référence'!$B$17*0+'Scénario référence'!$B$18*5</f>
        <v>1.4000000000000001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5.1333333333333337</v>
      </c>
      <c r="H54" s="65">
        <f t="shared" si="1"/>
        <v>236.13333333333335</v>
      </c>
      <c r="I54" s="6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7.4</v>
      </c>
      <c r="N54" s="13">
        <f>IF('Données projet'!$A$36&gt;35,N53+M54-V53,IF(A54&lt;'Données projet'!$A$36,$K$205^A54,IF(A54='Données projet'!$A$36,'Données projet'!$B$36,N53+M54-V53)))</f>
        <v>249.40000000000003</v>
      </c>
      <c r="O54" s="13">
        <f>N54*VLOOKUP('Données projet'!$B$9,Paramètres!$A$1:$I$89,3,0)*VLOOKUP('Données projet'!$B$9,Paramètres!$A$1:$I$89,5,0)</f>
        <v>198.42264000000003</v>
      </c>
      <c r="P54" s="13">
        <f t="shared" si="33"/>
        <v>49.397352151183256</v>
      </c>
      <c r="Q54" s="20">
        <f t="shared" si="53"/>
        <v>431.61981966331086</v>
      </c>
      <c r="R54" s="59">
        <f t="shared" si="0"/>
        <v>714.43930617622004</v>
      </c>
      <c r="S54" s="59">
        <f ca="1">AVERAGE(OFFSET($R$3,0,0,'Données projet'!$E$9+1,1))-AVERAGE(OFFSET($H$3,0,0,'Données projet'!$E$9+1,1))</f>
        <v>360.06385535620069</v>
      </c>
      <c r="T54" s="59">
        <f t="shared" si="34"/>
        <v>350.82516032456408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43.622550541842408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43.622550541842408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192.90336000000002</v>
      </c>
      <c r="AK54" s="13">
        <f t="shared" si="35"/>
        <v>48.181276881765257</v>
      </c>
      <c r="AL54" s="20">
        <f t="shared" si="4"/>
        <v>419.88907590240791</v>
      </c>
      <c r="AM54" s="59">
        <f t="shared" si="5"/>
        <v>702.70856241531703</v>
      </c>
      <c r="AN54" s="59">
        <f ca="1">AVERAGE(OFFSET($AM$3,0,0,'Données projet'!$E$10+1,1))-AVERAGE(OFFSET($H$3,0,0,'Données projet'!$E$10+1,1))</f>
        <v>448.65237942538027</v>
      </c>
      <c r="AO54" s="59">
        <f t="shared" si="36"/>
        <v>283.56749129825107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40.95780400457992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40.95780400457992</v>
      </c>
      <c r="AY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</v>
      </c>
      <c r="BD54" s="12">
        <f>IF('Données projet'!$A$88&gt;35,BD53+BC54-BL53,IF(A54&lt;'Données projet'!$A$88,$BA$205^A54,IF(A54='Données projet'!$A$88,'Données projet'!$B$88,BD53+BC54-BL53)))</f>
        <v>200.00000000000003</v>
      </c>
      <c r="BE54" s="13">
        <f>BD54*VLOOKUP('Données projet'!$B$11,Paramètres!$A$1:$I$89,3,0)*VLOOKUP('Données projet'!$B$11,Paramètres!$A$1:$I$89,5,0)</f>
        <v>171.60000000000005</v>
      </c>
      <c r="BF54" s="13">
        <f t="shared" si="37"/>
        <v>43.44817475464852</v>
      </c>
      <c r="BG54" s="20">
        <f t="shared" si="7"/>
        <v>374.54223769767958</v>
      </c>
      <c r="BH54" s="59">
        <f t="shared" si="8"/>
        <v>657.3617242105887</v>
      </c>
      <c r="BI54" s="59">
        <f ca="1">AVERAGE(OFFSET($BH$3,0,0,'Données projet'!$E$11+1,1))-AVERAGE(OFFSET($H$3,0,0,'Données projet'!$E$11+1,1))</f>
        <v>456.76871853389395</v>
      </c>
      <c r="BJ54" s="59">
        <f t="shared" si="38"/>
        <v>262.12425810289176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47.871691529009837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47.871691529009837</v>
      </c>
      <c r="BT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255.00000000000006</v>
      </c>
      <c r="BZ54" s="13">
        <f>BY54*VLOOKUP('Données projet'!$B$12,Paramètres!$A$1:$I$89,3,0)*VLOOKUP('Données projet'!$B$12,Paramètres!$A$1:$I$89,5,0)</f>
        <v>186.96600000000004</v>
      </c>
      <c r="CA54" s="13">
        <f t="shared" si="39"/>
        <v>46.868551400324648</v>
      </c>
      <c r="CB54" s="20">
        <f t="shared" si="10"/>
        <v>407.26184368889881</v>
      </c>
      <c r="CC54" s="59">
        <f t="shared" si="11"/>
        <v>690.08133020180799</v>
      </c>
      <c r="CD54" s="59">
        <f ca="1">AVERAGE(OFFSET($CC$3,0,0,'Données projet'!$E$12+1,1))-AVERAGE(OFFSET($H$3,0,0,'Données projet'!$E$12+1,1))</f>
        <v>242.65851607945316</v>
      </c>
      <c r="CE54" s="59">
        <f t="shared" si="40"/>
        <v>218.9349999985487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7.8</v>
      </c>
      <c r="CT54" s="12">
        <f>IF('Données projet'!$A$140&gt;35,CT53+CS54-DB53,IF(A54&lt;'Données projet'!$A$140,$CQ$205^A54,IF(A54='Données projet'!$A$140,'Données projet'!$B$140,CT53+CS54-DB53)))</f>
        <v>205.80000000000015</v>
      </c>
      <c r="CU54" s="17">
        <f>CT54*VLOOKUP('Données projet'!$B$13,Paramètres!$A$1:$I$89,3,0)*VLOOKUP('Données projet'!$B$13,Paramètres!$A$1:$I$89,5,0)</f>
        <v>179.78688000000014</v>
      </c>
      <c r="CV54" s="13">
        <f t="shared" si="41"/>
        <v>45.274767624296977</v>
      </c>
      <c r="CW54" s="20">
        <f t="shared" si="13"/>
        <v>391.98236961231743</v>
      </c>
      <c r="CX54" s="59">
        <f t="shared" si="14"/>
        <v>674.80185612522655</v>
      </c>
      <c r="CY54" s="59">
        <f ca="1">AVERAGE(OFFSET($CX$3,0,0,'Données projet'!$E$13+1,1))-AVERAGE(OFFSET($H$3,0,0,'Données projet'!$E$13+1,1))</f>
        <v>326.9460696675867</v>
      </c>
      <c r="CZ54" s="59">
        <f t="shared" si="42"/>
        <v>393.4020374592568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52.439687252365331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52.439687252365331</v>
      </c>
      <c r="DJ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9.8000000000000007</v>
      </c>
      <c r="DO54" s="12">
        <f>IF('Données projet'!$A$166&gt;35,DO53+DN54-DW53,IF(A54&lt;'Données projet'!$A$166,$DL$205^A54,IF(A54='Données projet'!$A$166,'Données projet'!$B$166,DO53+DN54-DW53)))</f>
        <v>257.80000000000007</v>
      </c>
      <c r="DP54" s="17">
        <f>DO54*VLOOKUP('Données projet'!$B$14,Paramètres!$A$1:$I$89,3,0)*VLOOKUP('Données projet'!$B$14,Paramètres!$A$1:$I$89,5,0)</f>
        <v>201.08400000000006</v>
      </c>
      <c r="DQ54" s="13">
        <f t="shared" si="43"/>
        <v>49.982323118757684</v>
      </c>
      <c r="DR54" s="20">
        <f t="shared" si="16"/>
        <v>437.27384609850304</v>
      </c>
      <c r="DS54" s="59">
        <f t="shared" si="17"/>
        <v>720.09333261141217</v>
      </c>
      <c r="DT54" s="59">
        <f ca="1">AVERAGE(OFFSET($DS$3,0,0,'Données projet'!$E$14+1,1))-AVERAGE(OFFSET($H$3,0,0,'Données projet'!$E$14+1,1))</f>
        <v>364.34528546733799</v>
      </c>
      <c r="DU54" s="59">
        <f t="shared" si="44"/>
        <v>346.5839763411152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41.949718089883298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41.949718089883298</v>
      </c>
      <c r="EE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167.29752000000005</v>
      </c>
      <c r="EL54" s="13">
        <f t="shared" si="45"/>
        <v>42.484194631170809</v>
      </c>
      <c r="EM54" s="20">
        <f t="shared" si="19"/>
        <v>365.36981964928924</v>
      </c>
      <c r="EN54" s="59">
        <f t="shared" si="20"/>
        <v>648.18930616219836</v>
      </c>
      <c r="EO54" s="59">
        <f ca="1">AVERAGE(OFFSET($EN$3,0,0,'Données projet'!$E$15+1,1))-AVERAGE(OFFSET($H$3,0,0,'Données projet'!$E$15+1,1))</f>
        <v>310.38232870602445</v>
      </c>
      <c r="EP54" s="59">
        <f t="shared" si="46"/>
        <v>303.45934457265537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36.779797515671056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36.779797515671056</v>
      </c>
      <c r="EZ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</v>
      </c>
      <c r="FE54" s="12">
        <f>IF('Données projet'!$A$218&gt;35,FE53+FD54-FM53,IF(A54&lt;'Données projet'!$A$218,$FB$205^A54,IF(A54='Données projet'!$A$218,'Données projet'!$B$218,FE53+FD54-FM53)))</f>
        <v>225.99999999999997</v>
      </c>
      <c r="FF54" s="17">
        <f>FE54*VLOOKUP('Données projet'!$B$16,Paramètres!$A$1:$I$89,3,0)*VLOOKUP('Données projet'!$B$16,Paramètres!$A$1:$I$89,5,0)</f>
        <v>215.06159999999997</v>
      </c>
      <c r="FG54" s="13">
        <f t="shared" si="47"/>
        <v>53.040134784913143</v>
      </c>
      <c r="FH54" s="20">
        <f t="shared" si="22"/>
        <v>466.9438547503903</v>
      </c>
      <c r="FI54" s="59">
        <f t="shared" si="23"/>
        <v>749.76334126329948</v>
      </c>
      <c r="FJ54" s="59">
        <f ca="1">AVERAGE(OFFSET($FI$3,0,0,'Données projet'!$E$16+1,1))-AVERAGE(OFFSET($H$3,0,0,'Données projet'!$E$16+1,1))</f>
        <v>457.706832425622</v>
      </c>
      <c r="FK54" s="59">
        <f t="shared" si="48"/>
        <v>474.61768219844873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45.823689814510303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45.823689814510303</v>
      </c>
      <c r="FU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7.4</v>
      </c>
      <c r="FZ54" s="12">
        <f>IF('Données projet'!$A$244&gt;35,FZ53+FY54-GH53,IF(A54&lt;'Données projet'!$A$244,$FW$205^A54,IF(A54='Données projet'!$A$244,'Données projet'!$B$244,FZ53+FY54-GH53)))</f>
        <v>249.40000000000003</v>
      </c>
      <c r="GA54" s="17">
        <f>FZ54*VLOOKUP('Données projet'!$B$17,Paramètres!$A$1:$I$89,3,0)*VLOOKUP('Données projet'!$B$17,Paramètres!$A$1:$I$89,5,0)</f>
        <v>241.21968000000004</v>
      </c>
      <c r="GB54" s="13">
        <f t="shared" si="49"/>
        <v>58.701873105526744</v>
      </c>
      <c r="GC54" s="20">
        <f t="shared" si="25"/>
        <v>522.3633716587924</v>
      </c>
      <c r="GD54" s="59">
        <f t="shared" si="26"/>
        <v>805.18285817170158</v>
      </c>
      <c r="GE54" s="59">
        <f ca="1">AVERAGE(OFFSET($GD$3,0,0,'Données projet'!$E$17+1,1))-AVERAGE(OFFSET($H$3,0,0,'Données projet'!$E$17+1,1))</f>
        <v>428.11167311086814</v>
      </c>
      <c r="GF54" s="59">
        <f t="shared" si="50"/>
        <v>415.69449942923609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43.025423508898214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43.025423508898214</v>
      </c>
      <c r="GP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1.1368683772161603E-13</v>
      </c>
      <c r="GV54" s="17">
        <f>GU54*VLOOKUP('Données projet'!$B$18,Paramètres!$A$1:$I$89,3,0)*VLOOKUP('Données projet'!$B$18,Paramètres!$A$1:$I$89,5,0)</f>
        <v>6.5087988332379613E-14</v>
      </c>
      <c r="GW54" s="13">
        <f t="shared" si="51"/>
        <v>1.0279249680474958E-12</v>
      </c>
      <c r="GX54" s="20">
        <f t="shared" si="28"/>
        <v>1.9036642323616162E-12</v>
      </c>
      <c r="GY54" s="59">
        <f t="shared" si="29"/>
        <v>282.819486512911</v>
      </c>
      <c r="GZ54" s="59">
        <f ca="1">AVERAGE(OFFSET($GY$3,0,0,'Données projet'!$E$18+1,1))-AVERAGE(OFFSET($H$3,0,0,'Données projet'!$E$18+1,1))</f>
        <v>249.88816678272056</v>
      </c>
      <c r="HA54" s="59">
        <f t="shared" si="52"/>
        <v>432.10802787437319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54.793943340494799</v>
      </c>
      <c r="HH54" s="21">
        <f>EXP(-LN(2)/25)*HH53+(1-EXP(-LN(2)/25))/(LN(2)/25)*Calculateur!HC54*Calculateur!HE54*VLOOKUP('Données projet'!$B$18,Paramètres!$A$1:$I$89,3,0)*0.475*44/12</f>
        <v>12.018728146801042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66.812671487295844</v>
      </c>
    </row>
    <row r="55" spans="1:218" x14ac:dyDescent="0.3">
      <c r="A55" s="10">
        <f t="shared" si="31"/>
        <v>52</v>
      </c>
      <c r="B55" s="71">
        <f>'Scénario référence'!$B$16*5+'Scénario référence'!$B$17*0+'Scénario référence'!$B$18*5</f>
        <v>1.4000000000000001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5.1333333333333337</v>
      </c>
      <c r="H55" s="65">
        <f t="shared" si="1"/>
        <v>236.13333333333335</v>
      </c>
      <c r="I55" s="6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7.4</v>
      </c>
      <c r="N55" s="13">
        <f>IF('Données projet'!$A$36&gt;35,N54+M55-V54,IF(A55&lt;'Données projet'!$A$36,$K$205^A55,IF(A55='Données projet'!$A$36,'Données projet'!$B$36,N54+M55-V54)))</f>
        <v>256.8</v>
      </c>
      <c r="O55" s="13">
        <f>N55*VLOOKUP('Données projet'!$B$9,Paramètres!$A$1:$I$89,3,0)*VLOOKUP('Données projet'!$B$9,Paramètres!$A$1:$I$89,5,0)</f>
        <v>204.31008000000003</v>
      </c>
      <c r="P55" s="13">
        <f t="shared" si="33"/>
        <v>50.690214235398379</v>
      </c>
      <c r="Q55" s="20">
        <f t="shared" si="53"/>
        <v>444.12551245998549</v>
      </c>
      <c r="R55" s="59">
        <f t="shared" si="0"/>
        <v>727.12739070978887</v>
      </c>
      <c r="S55" s="59">
        <f ca="1">AVERAGE(OFFSET($R$3,0,0,'Données projet'!$E$9+1,1))-AVERAGE(OFFSET($H$3,0,0,'Données projet'!$E$9+1,1))</f>
        <v>360.06385535620069</v>
      </c>
      <c r="T55" s="59">
        <f t="shared" si="34"/>
        <v>350.82516032456408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42.767138932845469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42.767138932845469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202.13232000000002</v>
      </c>
      <c r="AK55" s="13">
        <f t="shared" si="35"/>
        <v>50.212497488959627</v>
      </c>
      <c r="AL55" s="20">
        <f t="shared" si="4"/>
        <v>439.50055712660469</v>
      </c>
      <c r="AM55" s="59">
        <f t="shared" si="5"/>
        <v>722.50243537640802</v>
      </c>
      <c r="AN55" s="59">
        <f ca="1">AVERAGE(OFFSET($AM$3,0,0,'Données projet'!$E$10+1,1))-AVERAGE(OFFSET($H$3,0,0,'Données projet'!$E$10+1,1))</f>
        <v>448.65237942538027</v>
      </c>
      <c r="AO55" s="59">
        <f t="shared" si="36"/>
        <v>283.56749129825107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40.154646449843803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40.154646449843803</v>
      </c>
      <c r="AY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</v>
      </c>
      <c r="BD55" s="12">
        <f>IF('Données projet'!$A$88&gt;35,BD54+BC55-BL54,IF(A55&lt;'Données projet'!$A$88,$BA$205^A55,IF(A55='Données projet'!$A$88,'Données projet'!$B$88,BD54+BC55-BL54)))</f>
        <v>211.00000000000003</v>
      </c>
      <c r="BE55" s="13">
        <f>BD55*VLOOKUP('Données projet'!$B$11,Paramètres!$A$1:$I$89,3,0)*VLOOKUP('Données projet'!$B$11,Paramètres!$A$1:$I$89,5,0)</f>
        <v>181.03800000000004</v>
      </c>
      <c r="BF55" s="13">
        <f t="shared" si="37"/>
        <v>45.553044701671382</v>
      </c>
      <c r="BG55" s="20">
        <f t="shared" si="7"/>
        <v>394.64606952207765</v>
      </c>
      <c r="BH55" s="59">
        <f t="shared" si="8"/>
        <v>677.64794777188104</v>
      </c>
      <c r="BI55" s="59">
        <f ca="1">AVERAGE(OFFSET($BH$3,0,0,'Données projet'!$E$11+1,1))-AVERAGE(OFFSET($H$3,0,0,'Données projet'!$E$11+1,1))</f>
        <v>456.76871853389395</v>
      </c>
      <c r="BJ55" s="59">
        <f t="shared" si="38"/>
        <v>262.12425810289176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46.932956856974641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46.932956856974641</v>
      </c>
      <c r="BT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255.00000000000006</v>
      </c>
      <c r="BZ55" s="13">
        <f>BY55*VLOOKUP('Données projet'!$B$12,Paramètres!$A$1:$I$89,3,0)*VLOOKUP('Données projet'!$B$12,Paramètres!$A$1:$I$89,5,0)</f>
        <v>186.96600000000004</v>
      </c>
      <c r="CA55" s="13">
        <f t="shared" si="39"/>
        <v>46.868551400324648</v>
      </c>
      <c r="CB55" s="20">
        <f t="shared" si="10"/>
        <v>407.26184368889881</v>
      </c>
      <c r="CC55" s="59">
        <f t="shared" si="11"/>
        <v>690.26372193870213</v>
      </c>
      <c r="CD55" s="59">
        <f ca="1">AVERAGE(OFFSET($CC$3,0,0,'Données projet'!$E$12+1,1))-AVERAGE(OFFSET($H$3,0,0,'Données projet'!$E$12+1,1))</f>
        <v>242.65851607945316</v>
      </c>
      <c r="CE55" s="59">
        <f t="shared" si="40"/>
        <v>218.9349999985487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7.8</v>
      </c>
      <c r="CT55" s="12">
        <f>IF('Données projet'!$A$140&gt;35,CT54+CS55-DB54,IF(A55&lt;'Données projet'!$A$140,$CQ$205^A55,IF(A55='Données projet'!$A$140,'Données projet'!$B$140,CT54+CS55-DB54)))</f>
        <v>213.60000000000016</v>
      </c>
      <c r="CU55" s="17">
        <f>CT55*VLOOKUP('Données projet'!$B$13,Paramètres!$A$1:$I$89,3,0)*VLOOKUP('Données projet'!$B$13,Paramètres!$A$1:$I$89,5,0)</f>
        <v>186.60096000000016</v>
      </c>
      <c r="CV55" s="13">
        <f t="shared" si="41"/>
        <v>46.787685683664144</v>
      </c>
      <c r="CW55" s="20">
        <f t="shared" si="13"/>
        <v>406.48522456571527</v>
      </c>
      <c r="CX55" s="59">
        <f t="shared" si="14"/>
        <v>689.4871028155186</v>
      </c>
      <c r="CY55" s="59">
        <f ca="1">AVERAGE(OFFSET($CX$3,0,0,'Données projet'!$E$13+1,1))-AVERAGE(OFFSET($H$3,0,0,'Données projet'!$E$13+1,1))</f>
        <v>326.9460696675867</v>
      </c>
      <c r="CZ55" s="59">
        <f t="shared" si="42"/>
        <v>393.4020374592568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51.411376970397413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51.411376970397413</v>
      </c>
      <c r="DJ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9.8000000000000007</v>
      </c>
      <c r="DO55" s="12">
        <f>IF('Données projet'!$A$166&gt;35,DO54+DN55-DW54,IF(A55&lt;'Données projet'!$A$166,$DL$205^A55,IF(A55='Données projet'!$A$166,'Données projet'!$B$166,DO54+DN55-DW54)))</f>
        <v>267.60000000000008</v>
      </c>
      <c r="DP55" s="17">
        <f>DO55*VLOOKUP('Données projet'!$B$14,Paramètres!$A$1:$I$89,3,0)*VLOOKUP('Données projet'!$B$14,Paramètres!$A$1:$I$89,5,0)</f>
        <v>208.72800000000007</v>
      </c>
      <c r="DQ55" s="13">
        <f t="shared" si="43"/>
        <v>51.657523484203345</v>
      </c>
      <c r="DR55" s="20">
        <f t="shared" si="16"/>
        <v>453.50478673498765</v>
      </c>
      <c r="DS55" s="59">
        <f t="shared" si="17"/>
        <v>736.50666498479097</v>
      </c>
      <c r="DT55" s="59">
        <f ca="1">AVERAGE(OFFSET($DS$3,0,0,'Données projet'!$E$14+1,1))-AVERAGE(OFFSET($H$3,0,0,'Données projet'!$E$14+1,1))</f>
        <v>364.34528546733799</v>
      </c>
      <c r="DU55" s="59">
        <f t="shared" si="44"/>
        <v>346.5839763411152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41.127109704942235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41.127109704942235</v>
      </c>
      <c r="EE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172.26144000000002</v>
      </c>
      <c r="EL55" s="13">
        <f t="shared" si="45"/>
        <v>43.596120716782679</v>
      </c>
      <c r="EM55" s="20">
        <f t="shared" si="19"/>
        <v>375.95191824839645</v>
      </c>
      <c r="EN55" s="59">
        <f t="shared" si="20"/>
        <v>658.95379649819984</v>
      </c>
      <c r="EO55" s="59">
        <f ca="1">AVERAGE(OFFSET($EN$3,0,0,'Données projet'!$E$15+1,1))-AVERAGE(OFFSET($H$3,0,0,'Données projet'!$E$15+1,1))</f>
        <v>310.38232870602445</v>
      </c>
      <c r="EP55" s="59">
        <f t="shared" si="46"/>
        <v>303.45934457265537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36.058568119850108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36.058568119850108</v>
      </c>
      <c r="EZ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</v>
      </c>
      <c r="FE55" s="12">
        <f>IF('Données projet'!$A$218&gt;35,FE54+FD55-FM54,IF(A55&lt;'Données projet'!$A$218,$FB$205^A55,IF(A55='Données projet'!$A$218,'Données projet'!$B$218,FE54+FD55-FM54)))</f>
        <v>232.99999999999997</v>
      </c>
      <c r="FF55" s="17">
        <f>FE55*VLOOKUP('Données projet'!$B$16,Paramètres!$A$1:$I$89,3,0)*VLOOKUP('Données projet'!$B$16,Paramètres!$A$1:$I$89,5,0)</f>
        <v>221.72279999999995</v>
      </c>
      <c r="FG55" s="13">
        <f t="shared" si="47"/>
        <v>54.489157628530627</v>
      </c>
      <c r="FH55" s="20">
        <f t="shared" si="22"/>
        <v>481.0691595363574</v>
      </c>
      <c r="FI55" s="59">
        <f t="shared" si="23"/>
        <v>764.07103778616079</v>
      </c>
      <c r="FJ55" s="59">
        <f ca="1">AVERAGE(OFFSET($FI$3,0,0,'Données projet'!$E$16+1,1))-AVERAGE(OFFSET($H$3,0,0,'Données projet'!$E$16+1,1))</f>
        <v>457.706832425622</v>
      </c>
      <c r="FK55" s="59">
        <f t="shared" si="48"/>
        <v>474.61768219844873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44.925115206938742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44.925115206938742</v>
      </c>
      <c r="FU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7.4</v>
      </c>
      <c r="FZ55" s="12">
        <f>IF('Données projet'!$A$244&gt;35,FZ54+FY55-GH54,IF(A55&lt;'Données projet'!$A$244,$FW$205^A55,IF(A55='Données projet'!$A$244,'Données projet'!$B$244,FZ54+FY55-GH54)))</f>
        <v>256.8</v>
      </c>
      <c r="GA55" s="17">
        <f>FZ55*VLOOKUP('Données projet'!$B$17,Paramètres!$A$1:$I$89,3,0)*VLOOKUP('Données projet'!$B$17,Paramètres!$A$1:$I$89,5,0)</f>
        <v>248.37696000000003</v>
      </c>
      <c r="GB55" s="13">
        <f t="shared" si="49"/>
        <v>60.238259626372376</v>
      </c>
      <c r="GC55" s="20">
        <f t="shared" si="25"/>
        <v>537.50484084926518</v>
      </c>
      <c r="GD55" s="59">
        <f t="shared" si="26"/>
        <v>820.5067190990685</v>
      </c>
      <c r="GE55" s="59">
        <f ca="1">AVERAGE(OFFSET($GD$3,0,0,'Données projet'!$E$17+1,1))-AVERAGE(OFFSET($H$3,0,0,'Données projet'!$E$17+1,1))</f>
        <v>428.11167311086814</v>
      </c>
      <c r="GF55" s="59">
        <f t="shared" si="50"/>
        <v>415.69449942923609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42.181721196805789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42.181721196805789</v>
      </c>
      <c r="GP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1.1368683772161603E-13</v>
      </c>
      <c r="GV55" s="17">
        <f>GU55*VLOOKUP('Données projet'!$B$18,Paramètres!$A$1:$I$89,3,0)*VLOOKUP('Données projet'!$B$18,Paramètres!$A$1:$I$89,5,0)</f>
        <v>6.5087988332379613E-14</v>
      </c>
      <c r="GW55" s="13">
        <f t="shared" si="51"/>
        <v>1.0279249680474958E-12</v>
      </c>
      <c r="GX55" s="20">
        <f t="shared" si="28"/>
        <v>1.9036642323616162E-12</v>
      </c>
      <c r="GY55" s="59">
        <f t="shared" si="29"/>
        <v>283.0018782498052</v>
      </c>
      <c r="GZ55" s="59">
        <f ca="1">AVERAGE(OFFSET($GY$3,0,0,'Données projet'!$E$18+1,1))-AVERAGE(OFFSET($H$3,0,0,'Données projet'!$E$18+1,1))</f>
        <v>249.88816678272056</v>
      </c>
      <c r="HA55" s="59">
        <f t="shared" si="52"/>
        <v>432.10802787437319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53.719467532593086</v>
      </c>
      <c r="HH55" s="21">
        <f>EXP(-LN(2)/25)*HH54+(1-EXP(-LN(2)/25))/(LN(2)/25)*Calculateur!HC55*Calculateur!HE55*VLOOKUP('Données projet'!$B$18,Paramètres!$A$1:$I$89,3,0)*0.475*44/12</f>
        <v>11.690075393589323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65.409542926182411</v>
      </c>
    </row>
    <row r="56" spans="1:218" x14ac:dyDescent="0.3">
      <c r="A56" s="10">
        <f t="shared" si="31"/>
        <v>53</v>
      </c>
      <c r="B56" s="71">
        <f>'Scénario référence'!$B$16*5+'Scénario référence'!$B$17*0+'Scénario référence'!$B$18*5</f>
        <v>1.4000000000000001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5.1333333333333337</v>
      </c>
      <c r="H56" s="65">
        <f t="shared" si="1"/>
        <v>236.13333333333335</v>
      </c>
      <c r="I56" s="6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7.4</v>
      </c>
      <c r="N56" s="13">
        <f>IF('Données projet'!$A$36&gt;35,N55+M56-V55,IF(A56&lt;'Données projet'!$A$36,$K$205^A56,IF(A56='Données projet'!$A$36,'Données projet'!$B$36,N55+M56-V55)))</f>
        <v>264.2</v>
      </c>
      <c r="O56" s="13">
        <f>N56*VLOOKUP('Données projet'!$B$9,Paramètres!$A$1:$I$89,3,0)*VLOOKUP('Données projet'!$B$9,Paramètres!$A$1:$I$89,5,0)</f>
        <v>210.19752</v>
      </c>
      <c r="P56" s="13">
        <f t="shared" si="33"/>
        <v>51.978746425856599</v>
      </c>
      <c r="Q56" s="20">
        <f t="shared" si="53"/>
        <v>456.62366402503358</v>
      </c>
      <c r="R56" s="59">
        <f t="shared" si="0"/>
        <v>739.80476992286299</v>
      </c>
      <c r="S56" s="59">
        <f ca="1">AVERAGE(OFFSET($R$3,0,0,'Données projet'!$E$9+1,1))-AVERAGE(OFFSET($H$3,0,0,'Données projet'!$E$9+1,1))</f>
        <v>360.06385535620069</v>
      </c>
      <c r="T56" s="59">
        <f t="shared" si="34"/>
        <v>350.82516032456408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41.928501423751399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41.928501423751399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211.36127999999999</v>
      </c>
      <c r="AK56" s="13">
        <f t="shared" si="35"/>
        <v>52.232947669705631</v>
      </c>
      <c r="AL56" s="20">
        <f t="shared" si="4"/>
        <v>459.09327985807062</v>
      </c>
      <c r="AM56" s="59">
        <f t="shared" si="5"/>
        <v>742.27438575589997</v>
      </c>
      <c r="AN56" s="59">
        <f ca="1">AVERAGE(OFFSET($AM$3,0,0,'Données projet'!$E$10+1,1))-AVERAGE(OFFSET($H$3,0,0,'Données projet'!$E$10+1,1))</f>
        <v>448.65237942538027</v>
      </c>
      <c r="AO56" s="59">
        <f t="shared" si="36"/>
        <v>283.56749129825107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39.367238324878322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39.367238324878322</v>
      </c>
      <c r="AY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</v>
      </c>
      <c r="BD56" s="12">
        <f>IF('Données projet'!$A$88&gt;35,BD55+BC56-BL55,IF(A56&lt;'Données projet'!$A$88,$BA$205^A56,IF(A56='Données projet'!$A$88,'Données projet'!$B$88,BD55+BC56-BL55)))</f>
        <v>222.00000000000003</v>
      </c>
      <c r="BE56" s="13">
        <f>BD56*VLOOKUP('Données projet'!$B$11,Paramètres!$A$1:$I$89,3,0)*VLOOKUP('Données projet'!$B$11,Paramètres!$A$1:$I$89,5,0)</f>
        <v>190.47600000000006</v>
      </c>
      <c r="BF56" s="13">
        <f t="shared" si="37"/>
        <v>47.645174362968355</v>
      </c>
      <c r="BG56" s="20">
        <f t="shared" si="7"/>
        <v>414.7277120155033</v>
      </c>
      <c r="BH56" s="59">
        <f t="shared" si="8"/>
        <v>697.90881791333265</v>
      </c>
      <c r="BI56" s="59">
        <f ca="1">AVERAGE(OFFSET($BH$3,0,0,'Données projet'!$E$11+1,1))-AVERAGE(OFFSET($H$3,0,0,'Données projet'!$E$11+1,1))</f>
        <v>456.76871853389395</v>
      </c>
      <c r="BJ56" s="59">
        <f t="shared" si="38"/>
        <v>262.12425810289176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46.012630199286441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46.012630199286441</v>
      </c>
      <c r="BT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255.00000000000006</v>
      </c>
      <c r="BZ56" s="13">
        <f>BY56*VLOOKUP('Données projet'!$B$12,Paramètres!$A$1:$I$89,3,0)*VLOOKUP('Données projet'!$B$12,Paramètres!$A$1:$I$89,5,0)</f>
        <v>186.96600000000004</v>
      </c>
      <c r="CA56" s="13">
        <f t="shared" si="39"/>
        <v>46.868551400324648</v>
      </c>
      <c r="CB56" s="20">
        <f t="shared" si="10"/>
        <v>407.26184368889881</v>
      </c>
      <c r="CC56" s="59">
        <f t="shared" si="11"/>
        <v>690.44294958672822</v>
      </c>
      <c r="CD56" s="59">
        <f ca="1">AVERAGE(OFFSET($CC$3,0,0,'Données projet'!$E$12+1,1))-AVERAGE(OFFSET($H$3,0,0,'Données projet'!$E$12+1,1))</f>
        <v>242.65851607945316</v>
      </c>
      <c r="CE56" s="59">
        <f t="shared" si="40"/>
        <v>218.9349999985487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7.8</v>
      </c>
      <c r="CT56" s="12">
        <f>IF('Données projet'!$A$140&gt;35,CT55+CS56-DB55,IF(A56&lt;'Données projet'!$A$140,$CQ$205^A56,IF(A56='Données projet'!$A$140,'Données projet'!$B$140,CT55+CS56-DB55)))</f>
        <v>221.40000000000018</v>
      </c>
      <c r="CU56" s="17">
        <f>CT56*VLOOKUP('Données projet'!$B$13,Paramètres!$A$1:$I$89,3,0)*VLOOKUP('Données projet'!$B$13,Paramètres!$A$1:$I$89,5,0)</f>
        <v>193.41504000000018</v>
      </c>
      <c r="CV56" s="13">
        <f t="shared" si="41"/>
        <v>48.294185132315114</v>
      </c>
      <c r="CW56" s="20">
        <f t="shared" si="13"/>
        <v>420.97690043878242</v>
      </c>
      <c r="CX56" s="59">
        <f t="shared" si="14"/>
        <v>704.15800633661183</v>
      </c>
      <c r="CY56" s="59">
        <f ca="1">AVERAGE(OFFSET($CX$3,0,0,'Données projet'!$E$13+1,1))-AVERAGE(OFFSET($H$3,0,0,'Données projet'!$E$13+1,1))</f>
        <v>326.9460696675867</v>
      </c>
      <c r="CZ56" s="59">
        <f t="shared" si="42"/>
        <v>393.4020374592568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50.403231225851542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50.403231225851542</v>
      </c>
      <c r="DJ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9.8000000000000007</v>
      </c>
      <c r="DO56" s="12">
        <f>IF('Données projet'!$A$166&gt;35,DO55+DN56-DW55,IF(A56&lt;'Données projet'!$A$166,$DL$205^A56,IF(A56='Données projet'!$A$166,'Données projet'!$B$166,DO55+DN56-DW55)))</f>
        <v>277.40000000000009</v>
      </c>
      <c r="DP56" s="17">
        <f>DO56*VLOOKUP('Données projet'!$B$14,Paramètres!$A$1:$I$89,3,0)*VLOOKUP('Données projet'!$B$14,Paramètres!$A$1:$I$89,5,0)</f>
        <v>216.37200000000007</v>
      </c>
      <c r="DQ56" s="13">
        <f t="shared" si="43"/>
        <v>53.325596354398634</v>
      </c>
      <c r="DR56" s="20">
        <f t="shared" si="16"/>
        <v>469.72331365057767</v>
      </c>
      <c r="DS56" s="59">
        <f t="shared" si="17"/>
        <v>752.90441954840708</v>
      </c>
      <c r="DT56" s="59">
        <f ca="1">AVERAGE(OFFSET($DS$3,0,0,'Données projet'!$E$14+1,1))-AVERAGE(OFFSET($H$3,0,0,'Données projet'!$E$14+1,1))</f>
        <v>364.34528546733799</v>
      </c>
      <c r="DU56" s="59">
        <f t="shared" si="44"/>
        <v>346.5839763411152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40.320632168688292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40.320632168688292</v>
      </c>
      <c r="EE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177.22535999999999</v>
      </c>
      <c r="EL56" s="13">
        <f t="shared" si="45"/>
        <v>44.704322877101163</v>
      </c>
      <c r="EM56" s="20">
        <f t="shared" si="19"/>
        <v>386.52753101095118</v>
      </c>
      <c r="EN56" s="59">
        <f t="shared" si="20"/>
        <v>669.70863690878059</v>
      </c>
      <c r="EO56" s="59">
        <f ca="1">AVERAGE(OFFSET($EN$3,0,0,'Données projet'!$E$15+1,1))-AVERAGE(OFFSET($H$3,0,0,'Données projet'!$E$15+1,1))</f>
        <v>310.38232870602445</v>
      </c>
      <c r="EP56" s="59">
        <f t="shared" si="46"/>
        <v>303.45934457265537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35.351481592574714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35.351481592574714</v>
      </c>
      <c r="EZ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</v>
      </c>
      <c r="FE56" s="12">
        <f>IF('Données projet'!$A$218&gt;35,FE55+FD56-FM55,IF(A56&lt;'Données projet'!$A$218,$FB$205^A56,IF(A56='Données projet'!$A$218,'Données projet'!$B$218,FE55+FD56-FM55)))</f>
        <v>239.99999999999997</v>
      </c>
      <c r="FF56" s="17">
        <f>FE56*VLOOKUP('Données projet'!$B$16,Paramètres!$A$1:$I$89,3,0)*VLOOKUP('Données projet'!$B$16,Paramètres!$A$1:$I$89,5,0)</f>
        <v>228.38399999999999</v>
      </c>
      <c r="FG56" s="13">
        <f t="shared" si="47"/>
        <v>55.933121291087289</v>
      </c>
      <c r="FH56" s="20">
        <f t="shared" si="22"/>
        <v>495.18565291531036</v>
      </c>
      <c r="FI56" s="59">
        <f t="shared" si="23"/>
        <v>778.36675881313977</v>
      </c>
      <c r="FJ56" s="59">
        <f ca="1">AVERAGE(OFFSET($FI$3,0,0,'Données projet'!$E$16+1,1))-AVERAGE(OFFSET($H$3,0,0,'Données projet'!$E$16+1,1))</f>
        <v>457.706832425622</v>
      </c>
      <c r="FK56" s="59">
        <f t="shared" si="48"/>
        <v>474.61768219844873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44.044161099345267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44.044161099345267</v>
      </c>
      <c r="FU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7.4</v>
      </c>
      <c r="FZ56" s="12">
        <f>IF('Données projet'!$A$244&gt;35,FZ55+FY56-GH55,IF(A56&lt;'Données projet'!$A$244,$FW$205^A56,IF(A56='Données projet'!$A$244,'Données projet'!$B$244,FZ55+FY56-GH55)))</f>
        <v>264.2</v>
      </c>
      <c r="GA56" s="17">
        <f>FZ56*VLOOKUP('Données projet'!$B$17,Paramètres!$A$1:$I$89,3,0)*VLOOKUP('Données projet'!$B$17,Paramètres!$A$1:$I$89,5,0)</f>
        <v>255.53424000000001</v>
      </c>
      <c r="GB56" s="13">
        <f t="shared" si="49"/>
        <v>61.769500671543469</v>
      </c>
      <c r="GC56" s="20">
        <f t="shared" si="25"/>
        <v>552.63734833627166</v>
      </c>
      <c r="GD56" s="59">
        <f t="shared" si="26"/>
        <v>835.81845423410095</v>
      </c>
      <c r="GE56" s="59">
        <f ca="1">AVERAGE(OFFSET($GD$3,0,0,'Données projet'!$E$17+1,1))-AVERAGE(OFFSET($H$3,0,0,'Données projet'!$E$17+1,1))</f>
        <v>428.11167311086814</v>
      </c>
      <c r="GF56" s="59">
        <f t="shared" si="50"/>
        <v>415.69449942923609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41.354563372445895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41.354563372445895</v>
      </c>
      <c r="GP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1.1368683772161603E-13</v>
      </c>
      <c r="GV56" s="17">
        <f>GU56*VLOOKUP('Données projet'!$B$18,Paramètres!$A$1:$I$89,3,0)*VLOOKUP('Données projet'!$B$18,Paramètres!$A$1:$I$89,5,0)</f>
        <v>6.5087988332379613E-14</v>
      </c>
      <c r="GW56" s="13">
        <f t="shared" si="51"/>
        <v>1.0279249680474958E-12</v>
      </c>
      <c r="GX56" s="20">
        <f t="shared" si="28"/>
        <v>1.9036642323616162E-12</v>
      </c>
      <c r="GY56" s="59">
        <f t="shared" si="29"/>
        <v>283.18110589783123</v>
      </c>
      <c r="GZ56" s="59">
        <f ca="1">AVERAGE(OFFSET($GY$3,0,0,'Données projet'!$E$18+1,1))-AVERAGE(OFFSET($H$3,0,0,'Données projet'!$E$18+1,1))</f>
        <v>249.88816678272056</v>
      </c>
      <c r="HA56" s="59">
        <f t="shared" si="52"/>
        <v>432.10802787437319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52.666061539918793</v>
      </c>
      <c r="HH56" s="21">
        <f>EXP(-LN(2)/25)*HH55+(1-EXP(-LN(2)/25))/(LN(2)/25)*Calculateur!HC56*Calculateur!HE56*VLOOKUP('Données projet'!$B$18,Paramètres!$A$1:$I$89,3,0)*0.475*44/12</f>
        <v>11.370409667197276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64.036471207116065</v>
      </c>
    </row>
    <row r="57" spans="1:218" x14ac:dyDescent="0.3">
      <c r="A57" s="10">
        <f t="shared" si="31"/>
        <v>54</v>
      </c>
      <c r="B57" s="71">
        <f>'Scénario référence'!$B$16*5+'Scénario référence'!$B$17*0+'Scénario référence'!$B$18*5</f>
        <v>1.4000000000000001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5.1333333333333337</v>
      </c>
      <c r="H57" s="65">
        <f t="shared" si="1"/>
        <v>236.13333333333335</v>
      </c>
      <c r="I57" s="6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7.4</v>
      </c>
      <c r="N57" s="13">
        <f>IF('Données projet'!$A$36&gt;35,N56+M57-V56,IF(A57&lt;'Données projet'!$A$36,$K$205^A57,IF(A57='Données projet'!$A$36,'Données projet'!$B$36,N56+M57-V56)))</f>
        <v>271.59999999999997</v>
      </c>
      <c r="O57" s="13">
        <f>N57*VLOOKUP('Données projet'!$B$9,Paramètres!$A$1:$I$89,3,0)*VLOOKUP('Données projet'!$B$9,Paramètres!$A$1:$I$89,5,0)</f>
        <v>216.08496</v>
      </c>
      <c r="P57" s="13">
        <f t="shared" si="33"/>
        <v>53.26308393083157</v>
      </c>
      <c r="Q57" s="20">
        <f t="shared" si="53"/>
        <v>469.11450984619825</v>
      </c>
      <c r="R57" s="59">
        <f t="shared" si="0"/>
        <v>752.47173419305318</v>
      </c>
      <c r="S57" s="59">
        <f ca="1">AVERAGE(OFFSET($R$3,0,0,'Données projet'!$E$9+1,1))-AVERAGE(OFFSET($H$3,0,0,'Données projet'!$E$9+1,1))</f>
        <v>360.06385535620069</v>
      </c>
      <c r="T57" s="59">
        <f t="shared" si="34"/>
        <v>350.82516032456408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41.106309084692292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41.106309084692292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220.59023999999997</v>
      </c>
      <c r="AK57" s="13">
        <f t="shared" si="35"/>
        <v>54.24315145708789</v>
      </c>
      <c r="AL57" s="20">
        <f t="shared" si="4"/>
        <v>478.66815678776129</v>
      </c>
      <c r="AM57" s="59">
        <f t="shared" si="5"/>
        <v>762.02538113461628</v>
      </c>
      <c r="AN57" s="59">
        <f ca="1">AVERAGE(OFFSET($AM$3,0,0,'Données projet'!$E$10+1,1))-AVERAGE(OFFSET($H$3,0,0,'Données projet'!$E$10+1,1))</f>
        <v>448.65237942538027</v>
      </c>
      <c r="AO57" s="59">
        <f t="shared" si="36"/>
        <v>283.56749129825107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38.595270792971881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38.595270792971881</v>
      </c>
      <c r="AY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</v>
      </c>
      <c r="BD57" s="12">
        <f>IF('Données projet'!$A$88&gt;35,BD56+BC57-BL56,IF(A57&lt;'Données projet'!$A$88,$BA$205^A57,IF(A57='Données projet'!$A$88,'Données projet'!$B$88,BD56+BC57-BL56)))</f>
        <v>233.00000000000003</v>
      </c>
      <c r="BE57" s="13">
        <f>BD57*VLOOKUP('Données projet'!$B$11,Paramètres!$A$1:$I$89,3,0)*VLOOKUP('Données projet'!$B$11,Paramètres!$A$1:$I$89,5,0)</f>
        <v>199.91400000000007</v>
      </c>
      <c r="BF57" s="13">
        <f t="shared" si="37"/>
        <v>49.725267055272241</v>
      </c>
      <c r="BG57" s="20">
        <f t="shared" si="7"/>
        <v>434.78839012126599</v>
      </c>
      <c r="BH57" s="59">
        <f t="shared" si="8"/>
        <v>718.14561446812104</v>
      </c>
      <c r="BI57" s="59">
        <f ca="1">AVERAGE(OFFSET($BH$3,0,0,'Données projet'!$E$11+1,1))-AVERAGE(OFFSET($H$3,0,0,'Données projet'!$E$11+1,1))</f>
        <v>456.76871853389395</v>
      </c>
      <c r="BJ57" s="59">
        <f t="shared" si="38"/>
        <v>262.12425810289176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45.110350586011677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45.110350586011677</v>
      </c>
      <c r="BT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255.00000000000006</v>
      </c>
      <c r="BZ57" s="13">
        <f>BY57*VLOOKUP('Données projet'!$B$12,Paramètres!$A$1:$I$89,3,0)*VLOOKUP('Données projet'!$B$12,Paramètres!$A$1:$I$89,5,0)</f>
        <v>186.96600000000004</v>
      </c>
      <c r="CA57" s="13">
        <f t="shared" si="39"/>
        <v>46.868551400324648</v>
      </c>
      <c r="CB57" s="20">
        <f t="shared" si="10"/>
        <v>407.26184368889881</v>
      </c>
      <c r="CC57" s="59">
        <f t="shared" si="11"/>
        <v>690.6190680357538</v>
      </c>
      <c r="CD57" s="59">
        <f ca="1">AVERAGE(OFFSET($CC$3,0,0,'Données projet'!$E$12+1,1))-AVERAGE(OFFSET($H$3,0,0,'Données projet'!$E$12+1,1))</f>
        <v>242.65851607945316</v>
      </c>
      <c r="CE57" s="59">
        <f t="shared" si="40"/>
        <v>218.9349999985487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7.8</v>
      </c>
      <c r="CT57" s="12">
        <f>IF('Données projet'!$A$140&gt;35,CT56+CS57-DB56,IF(A57&lt;'Données projet'!$A$140,$CQ$205^A57,IF(A57='Données projet'!$A$140,'Données projet'!$B$140,CT56+CS57-DB56)))</f>
        <v>229.20000000000019</v>
      </c>
      <c r="CU57" s="17">
        <f>CT57*VLOOKUP('Données projet'!$B$13,Paramètres!$A$1:$I$89,3,0)*VLOOKUP('Données projet'!$B$13,Paramètres!$A$1:$I$89,5,0)</f>
        <v>200.22912000000019</v>
      </c>
      <c r="CV57" s="13">
        <f t="shared" si="41"/>
        <v>49.794518010766396</v>
      </c>
      <c r="CW57" s="20">
        <f t="shared" si="13"/>
        <v>435.45783620208516</v>
      </c>
      <c r="CX57" s="59">
        <f t="shared" si="14"/>
        <v>718.81506054894021</v>
      </c>
      <c r="CY57" s="59">
        <f ca="1">AVERAGE(OFFSET($CX$3,0,0,'Données projet'!$E$13+1,1))-AVERAGE(OFFSET($H$3,0,0,'Données projet'!$E$13+1,1))</f>
        <v>326.9460696675867</v>
      </c>
      <c r="CZ57" s="59">
        <f t="shared" si="42"/>
        <v>393.4020374592568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49.414854604448031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49.414854604448031</v>
      </c>
      <c r="DJ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9.8000000000000007</v>
      </c>
      <c r="DO57" s="12">
        <f>IF('Données projet'!$A$166&gt;35,DO56+DN57-DW56,IF(A57&lt;'Données projet'!$A$166,$DL$205^A57,IF(A57='Données projet'!$A$166,'Données projet'!$B$166,DO56+DN57-DW56)))</f>
        <v>287.2000000000001</v>
      </c>
      <c r="DP57" s="17">
        <f>DO57*VLOOKUP('Données projet'!$B$14,Paramètres!$A$1:$I$89,3,0)*VLOOKUP('Données projet'!$B$14,Paramètres!$A$1:$I$89,5,0)</f>
        <v>224.01600000000008</v>
      </c>
      <c r="DQ57" s="13">
        <f t="shared" si="43"/>
        <v>54.986822380896371</v>
      </c>
      <c r="DR57" s="20">
        <f t="shared" si="16"/>
        <v>485.92991564672792</v>
      </c>
      <c r="DS57" s="59">
        <f t="shared" si="17"/>
        <v>769.28713999358297</v>
      </c>
      <c r="DT57" s="59">
        <f ca="1">AVERAGE(OFFSET($DS$3,0,0,'Données projet'!$E$14+1,1))-AVERAGE(OFFSET($H$3,0,0,'Données projet'!$E$14+1,1))</f>
        <v>364.34528546733799</v>
      </c>
      <c r="DU57" s="59">
        <f t="shared" si="44"/>
        <v>346.5839763411152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39.529969165017562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39.529969165017562</v>
      </c>
      <c r="EE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182.18927999999997</v>
      </c>
      <c r="EL57" s="13">
        <f t="shared" si="45"/>
        <v>45.808917398007317</v>
      </c>
      <c r="EM57" s="20">
        <f t="shared" si="19"/>
        <v>397.09686046819598</v>
      </c>
      <c r="EN57" s="59">
        <f t="shared" si="20"/>
        <v>680.45408481505092</v>
      </c>
      <c r="EO57" s="59">
        <f ca="1">AVERAGE(OFFSET($EN$3,0,0,'Données projet'!$E$15+1,1))-AVERAGE(OFFSET($H$3,0,0,'Données projet'!$E$15+1,1))</f>
        <v>310.38232870602445</v>
      </c>
      <c r="EP57" s="59">
        <f t="shared" si="46"/>
        <v>303.45934457265537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34.658260600818998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34.658260600818998</v>
      </c>
      <c r="EZ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</v>
      </c>
      <c r="FE57" s="12">
        <f>IF('Données projet'!$A$218&gt;35,FE56+FD57-FM56,IF(A57&lt;'Données projet'!$A$218,$FB$205^A57,IF(A57='Données projet'!$A$218,'Données projet'!$B$218,FE56+FD57-FM56)))</f>
        <v>246.99999999999997</v>
      </c>
      <c r="FF57" s="17">
        <f>FE57*VLOOKUP('Données projet'!$B$16,Paramètres!$A$1:$I$89,3,0)*VLOOKUP('Données projet'!$B$16,Paramètres!$A$1:$I$89,5,0)</f>
        <v>235.04519999999999</v>
      </c>
      <c r="FG57" s="13">
        <f t="shared" si="47"/>
        <v>57.372190275906782</v>
      </c>
      <c r="FH57" s="20">
        <f t="shared" si="22"/>
        <v>509.29362139720428</v>
      </c>
      <c r="FI57" s="59">
        <f t="shared" si="23"/>
        <v>792.65084574405932</v>
      </c>
      <c r="FJ57" s="59">
        <f ca="1">AVERAGE(OFFSET($FI$3,0,0,'Données projet'!$E$16+1,1))-AVERAGE(OFFSET($H$3,0,0,'Données projet'!$E$16+1,1))</f>
        <v>457.706832425622</v>
      </c>
      <c r="FK57" s="59">
        <f t="shared" si="48"/>
        <v>474.61768219844873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43.180481964472747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43.180481964472747</v>
      </c>
      <c r="FU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7.4</v>
      </c>
      <c r="FZ57" s="12">
        <f>IF('Données projet'!$A$244&gt;35,FZ56+FY57-GH56,IF(A57&lt;'Données projet'!$A$244,$FW$205^A57,IF(A57='Données projet'!$A$244,'Données projet'!$B$244,FZ56+FY57-GH56)))</f>
        <v>271.59999999999997</v>
      </c>
      <c r="GA57" s="17">
        <f>FZ57*VLOOKUP('Données projet'!$B$17,Paramètres!$A$1:$I$89,3,0)*VLOOKUP('Données projet'!$B$17,Paramètres!$A$1:$I$89,5,0)</f>
        <v>262.69151999999997</v>
      </c>
      <c r="GB57" s="13">
        <f t="shared" si="49"/>
        <v>63.295756917241974</v>
      </c>
      <c r="GC57" s="20">
        <f t="shared" si="25"/>
        <v>567.76117396419647</v>
      </c>
      <c r="GD57" s="59">
        <f t="shared" si="26"/>
        <v>851.11839831105146</v>
      </c>
      <c r="GE57" s="59">
        <f ca="1">AVERAGE(OFFSET($GD$3,0,0,'Données projet'!$E$17+1,1))-AVERAGE(OFFSET($H$3,0,0,'Données projet'!$E$17+1,1))</f>
        <v>428.11167311086814</v>
      </c>
      <c r="GF57" s="59">
        <f t="shared" si="50"/>
        <v>415.69449942923609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40.543625608505245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40.543625608505245</v>
      </c>
      <c r="GP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1.1368683772161603E-13</v>
      </c>
      <c r="GV57" s="17">
        <f>GU57*VLOOKUP('Données projet'!$B$18,Paramètres!$A$1:$I$89,3,0)*VLOOKUP('Données projet'!$B$18,Paramètres!$A$1:$I$89,5,0)</f>
        <v>6.5087988332379613E-14</v>
      </c>
      <c r="GW57" s="13">
        <f t="shared" si="51"/>
        <v>1.0279249680474958E-12</v>
      </c>
      <c r="GX57" s="20">
        <f t="shared" si="28"/>
        <v>1.9036642323616162E-12</v>
      </c>
      <c r="GY57" s="59">
        <f t="shared" si="29"/>
        <v>283.35722434685687</v>
      </c>
      <c r="GZ57" s="59">
        <f ca="1">AVERAGE(OFFSET($GY$3,0,0,'Données projet'!$E$18+1,1))-AVERAGE(OFFSET($H$3,0,0,'Données projet'!$E$18+1,1))</f>
        <v>249.88816678272056</v>
      </c>
      <c r="HA57" s="59">
        <f t="shared" si="52"/>
        <v>432.10802787437319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51.633312196246628</v>
      </c>
      <c r="HH57" s="21">
        <f>EXP(-LN(2)/25)*HH56+(1-EXP(-LN(2)/25))/(LN(2)/25)*Calculateur!HC57*Calculateur!HE57*VLOOKUP('Données projet'!$B$18,Paramètres!$A$1:$I$89,3,0)*0.475*44/12</f>
        <v>11.059485216903909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62.692797413150537</v>
      </c>
    </row>
    <row r="58" spans="1:218" x14ac:dyDescent="0.3">
      <c r="A58" s="10">
        <f t="shared" si="31"/>
        <v>55</v>
      </c>
      <c r="B58" s="71">
        <f>'Scénario référence'!$B$16*5+'Scénario référence'!$B$17*0+'Scénario référence'!$B$18*5</f>
        <v>1.4000000000000001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5.1333333333333337</v>
      </c>
      <c r="H58" s="65">
        <f t="shared" si="1"/>
        <v>236.13333333333335</v>
      </c>
      <c r="I58" s="6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279</v>
      </c>
      <c r="L58" s="12">
        <f>VLOOKUP(A58,'Données projet'!$A$35:$I$55,9,0)</f>
        <v>7.4</v>
      </c>
      <c r="M58" s="12">
        <f t="array" ref="M58">INDEX(L:L,MIN(IF(ISNUMBER(L58:L254),ROW(L58:L254),"")))</f>
        <v>7.4</v>
      </c>
      <c r="N58" s="13">
        <f>IF('Données projet'!$A$36&gt;35,N57+M58-V57,IF(A58&lt;'Données projet'!$A$36,$K$205^A58,IF(A58='Données projet'!$A$36,'Données projet'!$B$36,N57+M58-V57)))</f>
        <v>278.99999999999994</v>
      </c>
      <c r="O58" s="13">
        <f>N58*VLOOKUP('Données projet'!$B$9,Paramètres!$A$1:$I$89,3,0)*VLOOKUP('Données projet'!$B$9,Paramètres!$A$1:$I$89,5,0)</f>
        <v>221.97239999999996</v>
      </c>
      <c r="P58" s="13">
        <f t="shared" si="33"/>
        <v>54.543354171476821</v>
      </c>
      <c r="Q58" s="20">
        <f t="shared" si="53"/>
        <v>481.59827184865543</v>
      </c>
      <c r="R58" s="59">
        <f t="shared" si="0"/>
        <v>765.12855938318739</v>
      </c>
      <c r="S58" s="59">
        <f ca="1">AVERAGE(OFFSET($R$3,0,0,'Données projet'!$E$9+1,1))-AVERAGE(OFFSET($H$3,0,0,'Données projet'!$E$9+1,1))</f>
        <v>360.06385535620069</v>
      </c>
      <c r="T58" s="59">
        <f t="shared" si="34"/>
        <v>350.82516032456408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16</v>
      </c>
      <c r="W58" s="16">
        <f>IF(ISNA(VLOOKUP(A58,'Données projet'!$A$35:$I$55,5,0)),0%,VLOOKUP(A58,'Données projet'!$A$35:$I$55,5,0)*VLOOKUP('Données projet'!$B$9,Paramètres!$A$1:$I$89,7,0))</f>
        <v>0.53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47.758503179864732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47.758503179864732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229.81919999999997</v>
      </c>
      <c r="AK58" s="13">
        <f t="shared" si="35"/>
        <v>56.243586554989342</v>
      </c>
      <c r="AL58" s="20">
        <f t="shared" si="4"/>
        <v>498.22601991660639</v>
      </c>
      <c r="AM58" s="59">
        <f t="shared" si="5"/>
        <v>781.75630745113835</v>
      </c>
      <c r="AN58" s="59">
        <f ca="1">AVERAGE(OFFSET($AM$3,0,0,'Données projet'!$E$10+1,1))-AVERAGE(OFFSET($H$3,0,0,'Données projet'!$E$10+1,1))</f>
        <v>448.65237942538027</v>
      </c>
      <c r="AO58" s="59">
        <f t="shared" si="36"/>
        <v>283.56749129825107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49.881205450305444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49.881205450305444</v>
      </c>
      <c r="AY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244</v>
      </c>
      <c r="BB58" s="12">
        <f>VLOOKUP(A58,'Données projet'!$A$87:$I$107,9,0)</f>
        <v>11</v>
      </c>
      <c r="BC58" s="12">
        <f t="array" ref="BC58">INDEX(BB:BB,MIN(IF(ISNUMBER(BB58:BB254),ROW(BB58:BB254),"")))</f>
        <v>11</v>
      </c>
      <c r="BD58" s="12">
        <f>IF('Données projet'!$A$88&gt;35,BD57+BC58-BL57,IF(A58&lt;'Données projet'!$A$88,$BA$205^A58,IF(A58='Données projet'!$A$88,'Données projet'!$B$88,BD57+BC58-BL57)))</f>
        <v>244.00000000000003</v>
      </c>
      <c r="BE58" s="13">
        <f>BD58*VLOOKUP('Données projet'!$B$11,Paramètres!$A$1:$I$89,3,0)*VLOOKUP('Données projet'!$B$11,Paramètres!$A$1:$I$89,5,0)</f>
        <v>209.35200000000003</v>
      </c>
      <c r="BF58" s="13">
        <f t="shared" si="37"/>
        <v>51.79395593509436</v>
      </c>
      <c r="BG58" s="20">
        <f t="shared" si="7"/>
        <v>454.82920658695599</v>
      </c>
      <c r="BH58" s="59">
        <f t="shared" si="8"/>
        <v>738.35949412148796</v>
      </c>
      <c r="BI58" s="59">
        <f ca="1">AVERAGE(OFFSET($BH$3,0,0,'Données projet'!$E$11+1,1))-AVERAGE(OFFSET($H$3,0,0,'Données projet'!$E$11+1,1))</f>
        <v>456.76871853389395</v>
      </c>
      <c r="BJ58" s="59">
        <f t="shared" si="38"/>
        <v>262.12425810289176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58.30140893650379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58.30140893650379</v>
      </c>
      <c r="BT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255.00000000000006</v>
      </c>
      <c r="BZ58" s="13">
        <f>BY58*VLOOKUP('Données projet'!$B$12,Paramètres!$A$1:$I$89,3,0)*VLOOKUP('Données projet'!$B$12,Paramètres!$A$1:$I$89,5,0)</f>
        <v>186.96600000000004</v>
      </c>
      <c r="CA58" s="13">
        <f t="shared" si="39"/>
        <v>46.868551400324648</v>
      </c>
      <c r="CB58" s="20">
        <f t="shared" si="10"/>
        <v>407.26184368889881</v>
      </c>
      <c r="CC58" s="59">
        <f t="shared" si="11"/>
        <v>690.79213122343072</v>
      </c>
      <c r="CD58" s="59">
        <f ca="1">AVERAGE(OFFSET($CC$3,0,0,'Données projet'!$E$12+1,1))-AVERAGE(OFFSET($H$3,0,0,'Données projet'!$E$12+1,1))</f>
        <v>242.65851607945316</v>
      </c>
      <c r="CE58" s="59">
        <f t="shared" si="40"/>
        <v>218.9349999985487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237</v>
      </c>
      <c r="CR58" s="12">
        <f>VLOOKUP(A58,'Données projet'!$A$139:$I$159,9,0)</f>
        <v>7.8</v>
      </c>
      <c r="CS58" s="12">
        <f t="array" ref="CS58">INDEX(CR:CR,MIN(IF(ISNUMBER(CR58:CR254),ROW(CR58:CR254),"")))</f>
        <v>7.8</v>
      </c>
      <c r="CT58" s="12">
        <f>IF('Données projet'!$A$140&gt;35,CT57+CS58-DB57,IF(A58&lt;'Données projet'!$A$140,$CQ$205^A58,IF(A58='Données projet'!$A$140,'Données projet'!$B$140,CT57+CS58-DB57)))</f>
        <v>237.0000000000002</v>
      </c>
      <c r="CU58" s="17">
        <f>CT58*VLOOKUP('Données projet'!$B$13,Paramètres!$A$1:$I$89,3,0)*VLOOKUP('Données projet'!$B$13,Paramètres!$A$1:$I$89,5,0)</f>
        <v>207.04320000000018</v>
      </c>
      <c r="CV58" s="13">
        <f t="shared" si="41"/>
        <v>51.28891823180637</v>
      </c>
      <c r="CW58" s="20">
        <f t="shared" si="13"/>
        <v>449.92843925372966</v>
      </c>
      <c r="CX58" s="59">
        <f t="shared" si="14"/>
        <v>733.45872678826163</v>
      </c>
      <c r="CY58" s="59">
        <f ca="1">AVERAGE(OFFSET($CX$3,0,0,'Données projet'!$E$13+1,1))-AVERAGE(OFFSET($H$3,0,0,'Données projet'!$E$13+1,1))</f>
        <v>326.9460696675867</v>
      </c>
      <c r="CZ58" s="59">
        <f t="shared" si="42"/>
        <v>393.4020374592568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29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60.488623822533043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60.488623822533043</v>
      </c>
      <c r="DJ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297</v>
      </c>
      <c r="DM58" s="12">
        <f>VLOOKUP(A58,'Données projet'!$A$165:$I$185,9,0)</f>
        <v>9.8000000000000007</v>
      </c>
      <c r="DN58" s="12">
        <f t="array" ref="DN58">INDEX(DM:DM,MIN(IF(ISNUMBER(DM58:DM254),ROW(DM58:DM254),"")))</f>
        <v>9.8000000000000007</v>
      </c>
      <c r="DO58" s="12">
        <f>IF('Données projet'!$A$166&gt;35,DO57+DN58-DW57,IF(A58&lt;'Données projet'!$A$166,$DL$205^A58,IF(A58='Données projet'!$A$166,'Données projet'!$B$166,DO57+DN58-DW57)))</f>
        <v>297.00000000000011</v>
      </c>
      <c r="DP58" s="17">
        <f>DO58*VLOOKUP('Données projet'!$B$14,Paramètres!$A$1:$I$89,3,0)*VLOOKUP('Données projet'!$B$14,Paramètres!$A$1:$I$89,5,0)</f>
        <v>231.66000000000011</v>
      </c>
      <c r="DQ58" s="13">
        <f t="shared" si="43"/>
        <v>56.641461975682823</v>
      </c>
      <c r="DR58" s="20">
        <f t="shared" si="16"/>
        <v>502.1250462743144</v>
      </c>
      <c r="DS58" s="59">
        <f t="shared" si="17"/>
        <v>785.65533380884631</v>
      </c>
      <c r="DT58" s="59">
        <f ca="1">AVERAGE(OFFSET($DS$3,0,0,'Données projet'!$E$14+1,1))-AVERAGE(OFFSET($H$3,0,0,'Données projet'!$E$14+1,1))</f>
        <v>364.34528546733799</v>
      </c>
      <c r="DU58" s="59">
        <f t="shared" si="44"/>
        <v>346.5839763411152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35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51.731927365929309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51.731927365929309</v>
      </c>
      <c r="EE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187.15319999999997</v>
      </c>
      <c r="EL58" s="13">
        <f t="shared" si="45"/>
        <v>46.910013868069136</v>
      </c>
      <c r="EM58" s="20">
        <f t="shared" si="19"/>
        <v>407.66009748688703</v>
      </c>
      <c r="EN58" s="59">
        <f t="shared" si="20"/>
        <v>691.19038502141893</v>
      </c>
      <c r="EO58" s="59">
        <f ca="1">AVERAGE(OFFSET($EN$3,0,0,'Données projet'!$E$15+1,1))-AVERAGE(OFFSET($H$3,0,0,'Données projet'!$E$15+1,1))</f>
        <v>310.38232870602445</v>
      </c>
      <c r="EP58" s="59">
        <f t="shared" si="46"/>
        <v>303.45934457265537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40.266973269297722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40.266973269297722</v>
      </c>
      <c r="EZ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254</v>
      </c>
      <c r="FC58" s="12">
        <f>VLOOKUP(A58,'Données projet'!$A$217:$I$237,9,0)</f>
        <v>7</v>
      </c>
      <c r="FD58" s="12">
        <f t="array" ref="FD58">INDEX(FC:FC,MIN(IF(ISNUMBER(FC58:FC254),ROW(FC58:FC254),"")))</f>
        <v>7</v>
      </c>
      <c r="FE58" s="12">
        <f>IF('Données projet'!$A$218&gt;35,FE57+FD58-FM57,IF(A58&lt;'Données projet'!$A$218,$FB$205^A58,IF(A58='Données projet'!$A$218,'Données projet'!$B$218,FE57+FD58-FM57)))</f>
        <v>253.99999999999997</v>
      </c>
      <c r="FF58" s="17">
        <f>FE58*VLOOKUP('Données projet'!$B$16,Paramètres!$A$1:$I$89,3,0)*VLOOKUP('Données projet'!$B$16,Paramètres!$A$1:$I$89,5,0)</f>
        <v>241.70639999999997</v>
      </c>
      <c r="FG58" s="13">
        <f t="shared" si="47"/>
        <v>58.806519231842536</v>
      </c>
      <c r="FH58" s="20">
        <f t="shared" si="22"/>
        <v>523.39333432879232</v>
      </c>
      <c r="FI58" s="59">
        <f t="shared" si="23"/>
        <v>806.92362186332434</v>
      </c>
      <c r="FJ58" s="59">
        <f ca="1">AVERAGE(OFFSET($FI$3,0,0,'Données projet'!$E$16+1,1))-AVERAGE(OFFSET($H$3,0,0,'Données projet'!$E$16+1,1))</f>
        <v>457.706832425622</v>
      </c>
      <c r="FK58" s="59">
        <f t="shared" si="48"/>
        <v>474.61768219844873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30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55.904095460452687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55.904095460452687</v>
      </c>
      <c r="FU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279</v>
      </c>
      <c r="FX58" s="12">
        <f>VLOOKUP(A58,'Données projet'!$A$243:$I$263,9,0)</f>
        <v>7.4</v>
      </c>
      <c r="FY58" s="12">
        <f t="array" ref="FY58">INDEX(FX:FX,MIN(IF(ISNUMBER(FX58:FX254),ROW(FX58:FX254),"")))</f>
        <v>7.4</v>
      </c>
      <c r="FZ58" s="12">
        <f>IF('Données projet'!$A$244&gt;35,FZ57+FY58-GH57,IF(A58&lt;'Données projet'!$A$244,$FW$205^A58,IF(A58='Données projet'!$A$244,'Données projet'!$B$244,FZ57+FY58-GH57)))</f>
        <v>278.99999999999994</v>
      </c>
      <c r="GA58" s="17">
        <f>FZ58*VLOOKUP('Données projet'!$B$17,Paramètres!$A$1:$I$89,3,0)*VLOOKUP('Données projet'!$B$17,Paramètres!$A$1:$I$89,5,0)</f>
        <v>269.84879999999993</v>
      </c>
      <c r="GB58" s="13">
        <f t="shared" si="49"/>
        <v>64.817179785761795</v>
      </c>
      <c r="GC58" s="20">
        <f t="shared" si="25"/>
        <v>582.87658146020169</v>
      </c>
      <c r="GD58" s="59">
        <f t="shared" si="26"/>
        <v>866.40686899473371</v>
      </c>
      <c r="GE58" s="59">
        <f ca="1">AVERAGE(OFFSET($GD$3,0,0,'Données projet'!$E$17+1,1))-AVERAGE(OFFSET($H$3,0,0,'Données projet'!$E$17+1,1))</f>
        <v>428.11167311086814</v>
      </c>
      <c r="GF58" s="59">
        <f t="shared" si="50"/>
        <v>415.69449942923609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16</v>
      </c>
      <c r="GI58" s="16">
        <f>IF(ISNA(VLOOKUP(A58,'Données projet'!$A$243:$I$263,5,0)),0%,VLOOKUP(A58,'Données projet'!$A$243:$I$263,5,0)*VLOOKUP('Données projet'!$B$17,Paramètres!$A$1:$I$89,7,0))</f>
        <v>0.43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47.104761182952046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47.104761182952046</v>
      </c>
      <c r="GP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1.1368683772161603E-13</v>
      </c>
      <c r="GV58" s="17">
        <f>GU58*VLOOKUP('Données projet'!$B$18,Paramètres!$A$1:$I$89,3,0)*VLOOKUP('Données projet'!$B$18,Paramètres!$A$1:$I$89,5,0)</f>
        <v>6.5087988332379613E-14</v>
      </c>
      <c r="GW58" s="13">
        <f t="shared" si="51"/>
        <v>1.0279249680474958E-12</v>
      </c>
      <c r="GX58" s="20">
        <f t="shared" si="28"/>
        <v>1.9036642323616162E-12</v>
      </c>
      <c r="GY58" s="59">
        <f t="shared" si="29"/>
        <v>283.53028753453384</v>
      </c>
      <c r="GZ58" s="59">
        <f ca="1">AVERAGE(OFFSET($GY$3,0,0,'Données projet'!$E$18+1,1))-AVERAGE(OFFSET($H$3,0,0,'Données projet'!$E$18+1,1))</f>
        <v>249.88816678272056</v>
      </c>
      <c r="HA58" s="59">
        <f t="shared" si="52"/>
        <v>432.10802787437319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50.620814437288978</v>
      </c>
      <c r="HH58" s="21">
        <f>EXP(-LN(2)/25)*HH57+(1-EXP(-LN(2)/25))/(LN(2)/25)*Calculateur!HC58*Calculateur!HE58*VLOOKUP('Données projet'!$B$18,Paramètres!$A$1:$I$89,3,0)*0.475*44/12</f>
        <v>10.757063012054621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61.3778774493436</v>
      </c>
    </row>
    <row r="59" spans="1:218" x14ac:dyDescent="0.3">
      <c r="A59" s="10">
        <f t="shared" si="31"/>
        <v>56</v>
      </c>
      <c r="B59" s="71">
        <f>'Scénario référence'!$B$16*5+'Scénario référence'!$B$17*0+'Scénario référence'!$B$18*5</f>
        <v>1.4000000000000001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5.1333333333333337</v>
      </c>
      <c r="H59" s="65">
        <f t="shared" si="1"/>
        <v>236.13333333333335</v>
      </c>
      <c r="I59" s="6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6.2</v>
      </c>
      <c r="N59" s="13">
        <f>IF('Données projet'!$A$36&gt;35,N58+M59-V58,IF(A59&lt;'Données projet'!$A$36,$K$205^A59,IF(A59='Données projet'!$A$36,'Données projet'!$B$36,N58+M59-V58)))</f>
        <v>269.19999999999993</v>
      </c>
      <c r="O59" s="13">
        <f>N59*VLOOKUP('Données projet'!$B$9,Paramètres!$A$1:$I$89,3,0)*VLOOKUP('Données projet'!$B$9,Paramètres!$A$1:$I$89,5,0)</f>
        <v>214.17551999999998</v>
      </c>
      <c r="P59" s="13">
        <f t="shared" si="33"/>
        <v>52.846993696165399</v>
      </c>
      <c r="Q59" s="20">
        <f t="shared" si="53"/>
        <v>465.06421135415468</v>
      </c>
      <c r="R59" s="59">
        <f t="shared" si="0"/>
        <v>748.76455981696881</v>
      </c>
      <c r="S59" s="59">
        <f ca="1">AVERAGE(OFFSET($R$3,0,0,'Données projet'!$E$9+1,1))-AVERAGE(OFFSET($H$3,0,0,'Données projet'!$E$9+1,1))</f>
        <v>360.06385535620069</v>
      </c>
      <c r="T59" s="59">
        <f t="shared" si="34"/>
        <v>350.82516032456408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46.821988062318198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46.821988062318198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212.98991999999998</v>
      </c>
      <c r="AK59" s="13">
        <f t="shared" si="35"/>
        <v>52.588419883221171</v>
      </c>
      <c r="AL59" s="20">
        <f t="shared" si="4"/>
        <v>462.54894196327677</v>
      </c>
      <c r="AM59" s="59">
        <f t="shared" si="5"/>
        <v>746.24929042609085</v>
      </c>
      <c r="AN59" s="59">
        <f ca="1">AVERAGE(OFFSET($AM$3,0,0,'Données projet'!$E$10+1,1))-AVERAGE(OFFSET($H$3,0,0,'Données projet'!$E$10+1,1))</f>
        <v>448.65237942538027</v>
      </c>
      <c r="AO59" s="59">
        <f t="shared" si="36"/>
        <v>283.56749129825107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48.903065435956108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48.903065435956108</v>
      </c>
      <c r="AY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226.80000000000004</v>
      </c>
      <c r="BE59" s="13">
        <f>BD59*VLOOKUP('Données projet'!$B$11,Paramètres!$A$1:$I$89,3,0)*VLOOKUP('Données projet'!$B$11,Paramètres!$A$1:$I$89,5,0)</f>
        <v>194.59440000000006</v>
      </c>
      <c r="BF59" s="13">
        <f t="shared" si="37"/>
        <v>48.554292648263456</v>
      </c>
      <c r="BG59" s="20">
        <f t="shared" si="7"/>
        <v>423.48397302905897</v>
      </c>
      <c r="BH59" s="59">
        <f t="shared" si="8"/>
        <v>707.18432149187311</v>
      </c>
      <c r="BI59" s="59">
        <f ca="1">AVERAGE(OFFSET($BH$3,0,0,'Données projet'!$E$11+1,1))-AVERAGE(OFFSET($H$3,0,0,'Données projet'!$E$11+1,1))</f>
        <v>456.76871853389395</v>
      </c>
      <c r="BJ59" s="59">
        <f t="shared" si="38"/>
        <v>262.12425810289176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57.158153867607112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57.158153867607112</v>
      </c>
      <c r="BT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255.00000000000006</v>
      </c>
      <c r="BZ59" s="13">
        <f>BY59*VLOOKUP('Données projet'!$B$12,Paramètres!$A$1:$I$89,3,0)*VLOOKUP('Données projet'!$B$12,Paramètres!$A$1:$I$89,5,0)</f>
        <v>186.96600000000004</v>
      </c>
      <c r="CA59" s="13">
        <f t="shared" si="39"/>
        <v>46.868551400324648</v>
      </c>
      <c r="CB59" s="20">
        <f t="shared" si="10"/>
        <v>407.26184368889881</v>
      </c>
      <c r="CC59" s="59">
        <f t="shared" si="11"/>
        <v>690.96219215171288</v>
      </c>
      <c r="CD59" s="59">
        <f ca="1">AVERAGE(OFFSET($CC$3,0,0,'Données projet'!$E$12+1,1))-AVERAGE(OFFSET($H$3,0,0,'Données projet'!$E$12+1,1))</f>
        <v>242.65851607945316</v>
      </c>
      <c r="CE59" s="59">
        <f t="shared" si="40"/>
        <v>218.9349999985487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6.8</v>
      </c>
      <c r="CT59" s="12">
        <f>IF('Données projet'!$A$140&gt;35,CT58+CS59-DB58,IF(A59&lt;'Données projet'!$A$140,$CQ$205^A59,IF(A59='Données projet'!$A$140,'Données projet'!$B$140,CT58+CS59-DB58)))</f>
        <v>214.80000000000021</v>
      </c>
      <c r="CU59" s="17">
        <f>CT59*VLOOKUP('Données projet'!$B$13,Paramètres!$A$1:$I$89,3,0)*VLOOKUP('Données projet'!$B$13,Paramètres!$A$1:$I$89,5,0)</f>
        <v>187.6492800000002</v>
      </c>
      <c r="CV59" s="13">
        <f t="shared" si="41"/>
        <v>47.019866076567546</v>
      </c>
      <c r="CW59" s="20">
        <f t="shared" si="13"/>
        <v>408.71542941668878</v>
      </c>
      <c r="CX59" s="59">
        <f t="shared" si="14"/>
        <v>692.41577787950291</v>
      </c>
      <c r="CY59" s="59">
        <f ca="1">AVERAGE(OFFSET($CX$3,0,0,'Données projet'!$E$13+1,1))-AVERAGE(OFFSET($H$3,0,0,'Données projet'!$E$13+1,1))</f>
        <v>326.9460696675867</v>
      </c>
      <c r="CZ59" s="59">
        <f t="shared" si="42"/>
        <v>393.4020374592568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59.302478803790677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59.302478803790677</v>
      </c>
      <c r="DJ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9.6</v>
      </c>
      <c r="DO59" s="12">
        <f>IF('Données projet'!$A$166&gt;35,DO58+DN59-DW58,IF(A59&lt;'Données projet'!$A$166,$DL$205^A59,IF(A59='Données projet'!$A$166,'Données projet'!$B$166,DO58+DN59-DW58)))</f>
        <v>271.60000000000014</v>
      </c>
      <c r="DP59" s="17">
        <f>DO59*VLOOKUP('Données projet'!$B$14,Paramètres!$A$1:$I$89,3,0)*VLOOKUP('Données projet'!$B$14,Paramètres!$A$1:$I$89,5,0)</f>
        <v>211.84800000000013</v>
      </c>
      <c r="DQ59" s="13">
        <f t="shared" si="43"/>
        <v>52.33921403960656</v>
      </c>
      <c r="DR59" s="20">
        <f t="shared" si="16"/>
        <v>460.12606445231495</v>
      </c>
      <c r="DS59" s="59">
        <f t="shared" si="17"/>
        <v>743.82641291512903</v>
      </c>
      <c r="DT59" s="59">
        <f ca="1">AVERAGE(OFFSET($DS$3,0,0,'Données projet'!$E$14+1,1))-AVERAGE(OFFSET($H$3,0,0,'Données projet'!$E$14+1,1))</f>
        <v>364.34528546733799</v>
      </c>
      <c r="DU59" s="59">
        <f t="shared" si="44"/>
        <v>346.5839763411152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50.717495823643496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50.717495823643496</v>
      </c>
      <c r="EE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180.57935999999995</v>
      </c>
      <c r="EL59" s="13">
        <f t="shared" si="45"/>
        <v>45.451058975564287</v>
      </c>
      <c r="EM59" s="20">
        <f t="shared" si="19"/>
        <v>393.66964638244099</v>
      </c>
      <c r="EN59" s="59">
        <f t="shared" si="20"/>
        <v>677.36999484525506</v>
      </c>
      <c r="EO59" s="59">
        <f ca="1">AVERAGE(OFFSET($EN$3,0,0,'Données projet'!$E$15+1,1))-AVERAGE(OFFSET($H$3,0,0,'Données projet'!$E$15+1,1))</f>
        <v>310.38232870602445</v>
      </c>
      <c r="EP59" s="59">
        <f t="shared" si="46"/>
        <v>303.45934457265537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39.47736248391535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39.47736248391535</v>
      </c>
      <c r="EZ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6.6</v>
      </c>
      <c r="FE59" s="12">
        <f>IF('Données projet'!$A$218&gt;35,FE58+FD59-FM58,IF(A59&lt;'Données projet'!$A$218,$FB$205^A59,IF(A59='Données projet'!$A$218,'Données projet'!$B$218,FE58+FD59-FM58)))</f>
        <v>230.59999999999997</v>
      </c>
      <c r="FF59" s="17">
        <f>FE59*VLOOKUP('Données projet'!$B$16,Paramètres!$A$1:$I$89,3,0)*VLOOKUP('Données projet'!$B$16,Paramètres!$A$1:$I$89,5,0)</f>
        <v>219.43895999999995</v>
      </c>
      <c r="FG59" s="13">
        <f t="shared" si="47"/>
        <v>53.992928333089367</v>
      </c>
      <c r="FH59" s="20">
        <f t="shared" si="22"/>
        <v>476.22720551346384</v>
      </c>
      <c r="FI59" s="59">
        <f t="shared" si="23"/>
        <v>759.92755397627798</v>
      </c>
      <c r="FJ59" s="59">
        <f ca="1">AVERAGE(OFFSET($FI$3,0,0,'Données projet'!$E$16+1,1))-AVERAGE(OFFSET($H$3,0,0,'Données projet'!$E$16+1,1))</f>
        <v>457.706832425622</v>
      </c>
      <c r="FK59" s="59">
        <f t="shared" si="48"/>
        <v>474.61768219844873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54.807850246604531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54.807850246604531</v>
      </c>
      <c r="FU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6.2</v>
      </c>
      <c r="FZ59" s="12">
        <f>IF('Données projet'!$A$244&gt;35,FZ58+FY59-GH58,IF(A59&lt;'Données projet'!$A$244,$FW$205^A59,IF(A59='Données projet'!$A$244,'Données projet'!$B$244,FZ58+FY59-GH58)))</f>
        <v>269.19999999999993</v>
      </c>
      <c r="GA59" s="17">
        <f>FZ59*VLOOKUP('Données projet'!$B$17,Paramètres!$A$1:$I$89,3,0)*VLOOKUP('Données projet'!$B$17,Paramètres!$A$1:$I$89,5,0)</f>
        <v>260.37023999999997</v>
      </c>
      <c r="GB59" s="13">
        <f t="shared" si="49"/>
        <v>62.801291625234725</v>
      </c>
      <c r="GC59" s="20">
        <f t="shared" si="25"/>
        <v>562.85708424728375</v>
      </c>
      <c r="GD59" s="59">
        <f t="shared" si="26"/>
        <v>846.55743271009783</v>
      </c>
      <c r="GE59" s="59">
        <f ca="1">AVERAGE(OFFSET($GD$3,0,0,'Données projet'!$E$17+1,1))-AVERAGE(OFFSET($H$3,0,0,'Données projet'!$E$17+1,1))</f>
        <v>428.11167311086814</v>
      </c>
      <c r="GF59" s="59">
        <f t="shared" si="50"/>
        <v>415.69449942923609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46.181065547221721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46.181065547221721</v>
      </c>
      <c r="GP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1.1368683772161603E-13</v>
      </c>
      <c r="GV59" s="17">
        <f>GU59*VLOOKUP('Données projet'!$B$18,Paramètres!$A$1:$I$89,3,0)*VLOOKUP('Données projet'!$B$18,Paramètres!$A$1:$I$89,5,0)</f>
        <v>6.5087988332379613E-14</v>
      </c>
      <c r="GW59" s="13">
        <f t="shared" si="51"/>
        <v>1.0279249680474958E-12</v>
      </c>
      <c r="GX59" s="20">
        <f t="shared" si="28"/>
        <v>1.9036642323616162E-12</v>
      </c>
      <c r="GY59" s="59">
        <f t="shared" si="29"/>
        <v>283.70034846281595</v>
      </c>
      <c r="GZ59" s="59">
        <f ca="1">AVERAGE(OFFSET($GY$3,0,0,'Données projet'!$E$18+1,1))-AVERAGE(OFFSET($H$3,0,0,'Données projet'!$E$18+1,1))</f>
        <v>249.88816678272056</v>
      </c>
      <c r="HA59" s="59">
        <f t="shared" si="52"/>
        <v>432.10802787437319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49.628171141821831</v>
      </c>
      <c r="HH59" s="21">
        <f>EXP(-LN(2)/25)*HH58+(1-EXP(-LN(2)/25))/(LN(2)/25)*Calculateur!HC59*Calculateur!HE59*VLOOKUP('Données projet'!$B$18,Paramètres!$A$1:$I$89,3,0)*0.475*44/12</f>
        <v>10.46291055830063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60.091081700122459</v>
      </c>
    </row>
    <row r="60" spans="1:218" x14ac:dyDescent="0.3">
      <c r="A60" s="10">
        <f t="shared" si="31"/>
        <v>57</v>
      </c>
      <c r="B60" s="71">
        <f>'Scénario référence'!$B$16*5+'Scénario référence'!$B$17*0+'Scénario référence'!$B$18*5</f>
        <v>1.4000000000000001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5.1333333333333337</v>
      </c>
      <c r="H60" s="65">
        <f t="shared" si="1"/>
        <v>236.13333333333335</v>
      </c>
      <c r="I60" s="6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6.2</v>
      </c>
      <c r="N60" s="13">
        <f>IF('Données projet'!$A$36&gt;35,N59+M60-V59,IF(A60&lt;'Données projet'!$A$36,$K$205^A60,IF(A60='Données projet'!$A$36,'Données projet'!$B$36,N59+M60-V59)))</f>
        <v>275.39999999999992</v>
      </c>
      <c r="O60" s="13">
        <f>N60*VLOOKUP('Données projet'!$B$9,Paramètres!$A$1:$I$89,3,0)*VLOOKUP('Données projet'!$B$9,Paramètres!$A$1:$I$89,5,0)</f>
        <v>219.10823999999994</v>
      </c>
      <c r="P60" s="13">
        <f t="shared" si="33"/>
        <v>53.921020297295854</v>
      </c>
      <c r="Q60" s="20">
        <f t="shared" si="53"/>
        <v>475.52596168445672</v>
      </c>
      <c r="R60" s="59">
        <f t="shared" si="0"/>
        <v>759.39342089864647</v>
      </c>
      <c r="S60" s="59">
        <f ca="1">AVERAGE(OFFSET($R$3,0,0,'Données projet'!$E$9+1,1))-AVERAGE(OFFSET($H$3,0,0,'Données projet'!$E$9+1,1))</f>
        <v>360.06385535620069</v>
      </c>
      <c r="T60" s="59">
        <f t="shared" si="34"/>
        <v>350.82516032456408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45.903837435008931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45.903837435008931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221.49503999999999</v>
      </c>
      <c r="AK60" s="13">
        <f t="shared" si="35"/>
        <v>54.439697086174412</v>
      </c>
      <c r="AL60" s="20">
        <f t="shared" si="4"/>
        <v>480.58633375842032</v>
      </c>
      <c r="AM60" s="59">
        <f t="shared" si="5"/>
        <v>764.45379297261002</v>
      </c>
      <c r="AN60" s="59">
        <f ca="1">AVERAGE(OFFSET($AM$3,0,0,'Données projet'!$E$10+1,1))-AVERAGE(OFFSET($H$3,0,0,'Données projet'!$E$10+1,1))</f>
        <v>448.65237942538027</v>
      </c>
      <c r="AO60" s="59">
        <f t="shared" si="36"/>
        <v>283.56749129825107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47.944106150681662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47.944106150681662</v>
      </c>
      <c r="AY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237.60000000000005</v>
      </c>
      <c r="BE60" s="13">
        <f>BD60*VLOOKUP('Données projet'!$B$11,Paramètres!$A$1:$I$89,3,0)*VLOOKUP('Données projet'!$B$11,Paramètres!$A$1:$I$89,5,0)</f>
        <v>203.86080000000007</v>
      </c>
      <c r="BF60" s="13">
        <f t="shared" si="37"/>
        <v>50.591708220421786</v>
      </c>
      <c r="BG60" s="20">
        <f t="shared" si="7"/>
        <v>443.17145181723475</v>
      </c>
      <c r="BH60" s="59">
        <f t="shared" si="8"/>
        <v>727.0389110314245</v>
      </c>
      <c r="BI60" s="59">
        <f ca="1">AVERAGE(OFFSET($BH$3,0,0,'Données projet'!$E$11+1,1))-AVERAGE(OFFSET($H$3,0,0,'Données projet'!$E$11+1,1))</f>
        <v>456.76871853389395</v>
      </c>
      <c r="BJ60" s="59">
        <f t="shared" si="38"/>
        <v>262.12425810289176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56.037317333294759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56.037317333294759</v>
      </c>
      <c r="BT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255.00000000000006</v>
      </c>
      <c r="BZ60" s="13">
        <f>BY60*VLOOKUP('Données projet'!$B$12,Paramètres!$A$1:$I$89,3,0)*VLOOKUP('Données projet'!$B$12,Paramètres!$A$1:$I$89,5,0)</f>
        <v>186.96600000000004</v>
      </c>
      <c r="CA60" s="13">
        <f t="shared" si="39"/>
        <v>46.868551400324648</v>
      </c>
      <c r="CB60" s="20">
        <f t="shared" si="10"/>
        <v>407.26184368889881</v>
      </c>
      <c r="CC60" s="59">
        <f t="shared" si="11"/>
        <v>691.1293029030885</v>
      </c>
      <c r="CD60" s="59">
        <f ca="1">AVERAGE(OFFSET($CC$3,0,0,'Données projet'!$E$12+1,1))-AVERAGE(OFFSET($H$3,0,0,'Données projet'!$E$12+1,1))</f>
        <v>242.65851607945316</v>
      </c>
      <c r="CE60" s="59">
        <f t="shared" si="40"/>
        <v>218.9349999985487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6.8</v>
      </c>
      <c r="CT60" s="12">
        <f>IF('Données projet'!$A$140&gt;35,CT59+CS60-DB59,IF(A60&lt;'Données projet'!$A$140,$CQ$205^A60,IF(A60='Données projet'!$A$140,'Données projet'!$B$140,CT59+CS60-DB59)))</f>
        <v>221.60000000000022</v>
      </c>
      <c r="CU60" s="17">
        <f>CT60*VLOOKUP('Données projet'!$B$13,Paramètres!$A$1:$I$89,3,0)*VLOOKUP('Données projet'!$B$13,Paramètres!$A$1:$I$89,5,0)</f>
        <v>193.58976000000021</v>
      </c>
      <c r="CV60" s="13">
        <f t="shared" si="41"/>
        <v>48.332731202087132</v>
      </c>
      <c r="CW60" s="20">
        <f t="shared" si="13"/>
        <v>421.34833884363542</v>
      </c>
      <c r="CX60" s="59">
        <f t="shared" si="14"/>
        <v>705.21579805782517</v>
      </c>
      <c r="CY60" s="59">
        <f ca="1">AVERAGE(OFFSET($CX$3,0,0,'Données projet'!$E$13+1,1))-AVERAGE(OFFSET($H$3,0,0,'Données projet'!$E$13+1,1))</f>
        <v>326.9460696675867</v>
      </c>
      <c r="CZ60" s="59">
        <f t="shared" si="42"/>
        <v>393.4020374592568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58.139593365388826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58.139593365388826</v>
      </c>
      <c r="DJ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9.6</v>
      </c>
      <c r="DO60" s="12">
        <f>IF('Données projet'!$A$166&gt;35,DO59+DN60-DW59,IF(A60&lt;'Données projet'!$A$166,$DL$205^A60,IF(A60='Données projet'!$A$166,'Données projet'!$B$166,DO59+DN60-DW59)))</f>
        <v>281.20000000000016</v>
      </c>
      <c r="DP60" s="17">
        <f>DO60*VLOOKUP('Données projet'!$B$14,Paramètres!$A$1:$I$89,3,0)*VLOOKUP('Données projet'!$B$14,Paramètres!$A$1:$I$89,5,0)</f>
        <v>219.33600000000013</v>
      </c>
      <c r="DQ60" s="13">
        <f t="shared" si="43"/>
        <v>53.97054322228994</v>
      </c>
      <c r="DR60" s="20">
        <f t="shared" si="16"/>
        <v>476.00889611215524</v>
      </c>
      <c r="DS60" s="59">
        <f t="shared" si="17"/>
        <v>759.87635532634499</v>
      </c>
      <c r="DT60" s="59">
        <f ca="1">AVERAGE(OFFSET($DS$3,0,0,'Données projet'!$E$14+1,1))-AVERAGE(OFFSET($H$3,0,0,'Données projet'!$E$14+1,1))</f>
        <v>364.34528546733799</v>
      </c>
      <c r="DU60" s="59">
        <f t="shared" si="44"/>
        <v>346.5839763411152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49.722956665159757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49.722956665159757</v>
      </c>
      <c r="EE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184.73831999999996</v>
      </c>
      <c r="EL60" s="13">
        <f t="shared" si="45"/>
        <v>46.374775595471988</v>
      </c>
      <c r="EM60" s="20">
        <f t="shared" si="19"/>
        <v>402.52197482878029</v>
      </c>
      <c r="EN60" s="59">
        <f t="shared" si="20"/>
        <v>686.38943404297004</v>
      </c>
      <c r="EO60" s="59">
        <f ca="1">AVERAGE(OFFSET($EN$3,0,0,'Données projet'!$E$15+1,1))-AVERAGE(OFFSET($H$3,0,0,'Données projet'!$E$15+1,1))</f>
        <v>310.38232870602445</v>
      </c>
      <c r="EP60" s="59">
        <f t="shared" si="46"/>
        <v>303.45934457265537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38.703235484419302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38.703235484419302</v>
      </c>
      <c r="EZ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6.6</v>
      </c>
      <c r="FE60" s="12">
        <f>IF('Données projet'!$A$218&gt;35,FE59+FD60-FM59,IF(A60&lt;'Données projet'!$A$218,$FB$205^A60,IF(A60='Données projet'!$A$218,'Données projet'!$B$218,FE59+FD60-FM59)))</f>
        <v>237.19999999999996</v>
      </c>
      <c r="FF60" s="17">
        <f>FE60*VLOOKUP('Données projet'!$B$16,Paramètres!$A$1:$I$89,3,0)*VLOOKUP('Données projet'!$B$16,Paramètres!$A$1:$I$89,5,0)</f>
        <v>225.71951999999999</v>
      </c>
      <c r="FG60" s="13">
        <f t="shared" si="47"/>
        <v>55.356132169127413</v>
      </c>
      <c r="FH60" s="20">
        <f t="shared" si="22"/>
        <v>489.54009419456355</v>
      </c>
      <c r="FI60" s="59">
        <f t="shared" si="23"/>
        <v>773.4075534087533</v>
      </c>
      <c r="FJ60" s="59">
        <f ca="1">AVERAGE(OFFSET($FI$3,0,0,'Données projet'!$E$16+1,1))-AVERAGE(OFFSET($H$3,0,0,'Données projet'!$E$16+1,1))</f>
        <v>457.706832425622</v>
      </c>
      <c r="FK60" s="59">
        <f t="shared" si="48"/>
        <v>474.61768219844873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53.733101732756381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53.733101732756381</v>
      </c>
      <c r="FU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6.2</v>
      </c>
      <c r="FZ60" s="12">
        <f>IF('Données projet'!$A$244&gt;35,FZ59+FY60-GH59,IF(A60&lt;'Données projet'!$A$244,$FW$205^A60,IF(A60='Données projet'!$A$244,'Données projet'!$B$244,FZ59+FY60-GH59)))</f>
        <v>275.39999999999992</v>
      </c>
      <c r="GA60" s="17">
        <f>FZ60*VLOOKUP('Données projet'!$B$17,Paramètres!$A$1:$I$89,3,0)*VLOOKUP('Données projet'!$B$17,Paramètres!$A$1:$I$89,5,0)</f>
        <v>266.36687999999992</v>
      </c>
      <c r="GB60" s="13">
        <f t="shared" si="49"/>
        <v>64.077622653233107</v>
      </c>
      <c r="GC60" s="20">
        <f t="shared" si="25"/>
        <v>575.52417545438084</v>
      </c>
      <c r="GD60" s="59">
        <f t="shared" si="26"/>
        <v>859.39163466857053</v>
      </c>
      <c r="GE60" s="59">
        <f ca="1">AVERAGE(OFFSET($GD$3,0,0,'Données projet'!$E$17+1,1))-AVERAGE(OFFSET($H$3,0,0,'Données projet'!$E$17+1,1))</f>
        <v>428.11167311086814</v>
      </c>
      <c r="GF60" s="59">
        <f t="shared" si="50"/>
        <v>415.69449942923609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45.275483019509359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45.275483019509359</v>
      </c>
      <c r="GP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1.1368683772161603E-13</v>
      </c>
      <c r="GV60" s="17">
        <f>GU60*VLOOKUP('Données projet'!$B$18,Paramètres!$A$1:$I$89,3,0)*VLOOKUP('Données projet'!$B$18,Paramètres!$A$1:$I$89,5,0)</f>
        <v>6.5087988332379613E-14</v>
      </c>
      <c r="GW60" s="13">
        <f t="shared" si="51"/>
        <v>1.0279249680474958E-12</v>
      </c>
      <c r="GX60" s="20">
        <f t="shared" si="28"/>
        <v>1.9036642323616162E-12</v>
      </c>
      <c r="GY60" s="59">
        <f t="shared" si="29"/>
        <v>283.86745921419163</v>
      </c>
      <c r="GZ60" s="59">
        <f ca="1">AVERAGE(OFFSET($GY$3,0,0,'Données projet'!$E$18+1,1))-AVERAGE(OFFSET($H$3,0,0,'Données projet'!$E$18+1,1))</f>
        <v>249.88816678272056</v>
      </c>
      <c r="HA60" s="59">
        <f t="shared" si="52"/>
        <v>432.10802787437319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48.65499297592617</v>
      </c>
      <c r="HH60" s="21">
        <f>EXP(-LN(2)/25)*HH59+(1-EXP(-LN(2)/25))/(LN(2)/25)*Calculateur!HC60*Calculateur!HE60*VLOOKUP('Données projet'!$B$18,Paramètres!$A$1:$I$89,3,0)*0.475*44/12</f>
        <v>10.176801718863347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58.831794694789515</v>
      </c>
    </row>
    <row r="61" spans="1:218" x14ac:dyDescent="0.3">
      <c r="A61" s="10">
        <f t="shared" si="31"/>
        <v>58</v>
      </c>
      <c r="B61" s="71">
        <f>'Scénario référence'!$B$16*5+'Scénario référence'!$B$17*0+'Scénario référence'!$B$18*5</f>
        <v>1.4000000000000001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5.1333333333333337</v>
      </c>
      <c r="H61" s="65">
        <f t="shared" si="1"/>
        <v>236.13333333333335</v>
      </c>
      <c r="I61" s="6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6.2</v>
      </c>
      <c r="N61" s="13">
        <f>IF('Données projet'!$A$36&gt;35,N60+M61-V60,IF(A61&lt;'Données projet'!$A$36,$K$205^A61,IF(A61='Données projet'!$A$36,'Données projet'!$B$36,N60+M61-V60)))</f>
        <v>281.59999999999991</v>
      </c>
      <c r="O61" s="13">
        <f>N61*VLOOKUP('Données projet'!$B$9,Paramètres!$A$1:$I$89,3,0)*VLOOKUP('Données projet'!$B$9,Paramètres!$A$1:$I$89,5,0)</f>
        <v>224.04095999999993</v>
      </c>
      <c r="P61" s="13">
        <f t="shared" si="33"/>
        <v>54.992235867381233</v>
      </c>
      <c r="Q61" s="20">
        <f t="shared" si="53"/>
        <v>485.98281613568884</v>
      </c>
      <c r="R61" s="59">
        <f t="shared" si="0"/>
        <v>770.0144871033217</v>
      </c>
      <c r="S61" s="59">
        <f ca="1">AVERAGE(OFFSET($R$3,0,0,'Données projet'!$E$9+1,1))-AVERAGE(OFFSET($H$3,0,0,'Données projet'!$E$9+1,1))</f>
        <v>360.06385535620069</v>
      </c>
      <c r="T61" s="59">
        <f t="shared" si="34"/>
        <v>350.82516032456408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45.003691181484612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45.003691181484612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230.00015999999997</v>
      </c>
      <c r="AK61" s="13">
        <f t="shared" si="35"/>
        <v>56.282716126880423</v>
      </c>
      <c r="AL61" s="20">
        <f t="shared" si="4"/>
        <v>498.60934258765002</v>
      </c>
      <c r="AM61" s="59">
        <f t="shared" si="5"/>
        <v>782.64101355528283</v>
      </c>
      <c r="AN61" s="59">
        <f ca="1">AVERAGE(OFFSET($AM$3,0,0,'Données projet'!$E$10+1,1))-AVERAGE(OFFSET($H$3,0,0,'Données projet'!$E$10+1,1))</f>
        <v>448.65237942538027</v>
      </c>
      <c r="AO61" s="59">
        <f t="shared" si="36"/>
        <v>283.56749129825107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47.00395147208404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47.00395147208404</v>
      </c>
      <c r="AY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248.40000000000006</v>
      </c>
      <c r="BE61" s="13">
        <f>BD61*VLOOKUP('Données projet'!$B$11,Paramètres!$A$1:$I$89,3,0)*VLOOKUP('Données projet'!$B$11,Paramètres!$A$1:$I$89,5,0)</f>
        <v>213.12720000000004</v>
      </c>
      <c r="BF61" s="13">
        <f t="shared" si="37"/>
        <v>52.618368568459893</v>
      </c>
      <c r="BG61" s="20">
        <f t="shared" si="7"/>
        <v>462.8401985900677</v>
      </c>
      <c r="BH61" s="59">
        <f t="shared" si="8"/>
        <v>746.87186955770051</v>
      </c>
      <c r="BI61" s="59">
        <f ca="1">AVERAGE(OFFSET($BH$3,0,0,'Données projet'!$E$11+1,1))-AVERAGE(OFFSET($H$3,0,0,'Données projet'!$E$11+1,1))</f>
        <v>456.76871853389395</v>
      </c>
      <c r="BJ61" s="59">
        <f t="shared" si="38"/>
        <v>262.12425810289176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54.938459719777491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54.938459719777491</v>
      </c>
      <c r="BT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255.00000000000006</v>
      </c>
      <c r="BZ61" s="13">
        <f>BY61*VLOOKUP('Données projet'!$B$12,Paramètres!$A$1:$I$89,3,0)*VLOOKUP('Données projet'!$B$12,Paramètres!$A$1:$I$89,5,0)</f>
        <v>186.96600000000004</v>
      </c>
      <c r="CA61" s="13">
        <f t="shared" si="39"/>
        <v>46.868551400324648</v>
      </c>
      <c r="CB61" s="20">
        <f t="shared" si="10"/>
        <v>407.26184368889881</v>
      </c>
      <c r="CC61" s="59">
        <f t="shared" si="11"/>
        <v>691.29351465653167</v>
      </c>
      <c r="CD61" s="59">
        <f ca="1">AVERAGE(OFFSET($CC$3,0,0,'Données projet'!$E$12+1,1))-AVERAGE(OFFSET($H$3,0,0,'Données projet'!$E$12+1,1))</f>
        <v>242.65851607945316</v>
      </c>
      <c r="CE61" s="59">
        <f t="shared" si="40"/>
        <v>218.9349999985487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6.8</v>
      </c>
      <c r="CT61" s="12">
        <f>IF('Données projet'!$A$140&gt;35,CT60+CS61-DB60,IF(A61&lt;'Données projet'!$A$140,$CQ$205^A61,IF(A61='Données projet'!$A$140,'Données projet'!$B$140,CT60+CS61-DB60)))</f>
        <v>228.40000000000023</v>
      </c>
      <c r="CU61" s="17">
        <f>CT61*VLOOKUP('Données projet'!$B$13,Paramètres!$A$1:$I$89,3,0)*VLOOKUP('Données projet'!$B$13,Paramètres!$A$1:$I$89,5,0)</f>
        <v>199.53024000000022</v>
      </c>
      <c r="CV61" s="13">
        <f t="shared" si="41"/>
        <v>49.640914570461312</v>
      </c>
      <c r="CW61" s="20">
        <f t="shared" si="13"/>
        <v>433.97309421022049</v>
      </c>
      <c r="CX61" s="59">
        <f t="shared" si="14"/>
        <v>718.0047651778533</v>
      </c>
      <c r="CY61" s="59">
        <f ca="1">AVERAGE(OFFSET($CX$3,0,0,'Données projet'!$E$13+1,1))-AVERAGE(OFFSET($H$3,0,0,'Données projet'!$E$13+1,1))</f>
        <v>326.9460696675867</v>
      </c>
      <c r="CZ61" s="59">
        <f t="shared" si="42"/>
        <v>393.4020374592568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56.999511401143955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56.999511401143955</v>
      </c>
      <c r="DJ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9.6</v>
      </c>
      <c r="DO61" s="12">
        <f>IF('Données projet'!$A$166&gt;35,DO60+DN61-DW60,IF(A61&lt;'Données projet'!$A$166,$DL$205^A61,IF(A61='Données projet'!$A$166,'Données projet'!$B$166,DO60+DN61-DW60)))</f>
        <v>290.80000000000018</v>
      </c>
      <c r="DP61" s="17">
        <f>DO61*VLOOKUP('Données projet'!$B$14,Paramètres!$A$1:$I$89,3,0)*VLOOKUP('Données projet'!$B$14,Paramètres!$A$1:$I$89,5,0)</f>
        <v>226.82400000000015</v>
      </c>
      <c r="DQ61" s="13">
        <f t="shared" si="43"/>
        <v>55.59540132136393</v>
      </c>
      <c r="DR61" s="20">
        <f t="shared" si="16"/>
        <v>491.88045730137583</v>
      </c>
      <c r="DS61" s="59">
        <f t="shared" si="17"/>
        <v>775.91212826900869</v>
      </c>
      <c r="DT61" s="59">
        <f ca="1">AVERAGE(OFFSET($DS$3,0,0,'Données projet'!$E$14+1,1))-AVERAGE(OFFSET($H$3,0,0,'Données projet'!$E$14+1,1))</f>
        <v>364.34528546733799</v>
      </c>
      <c r="DU61" s="59">
        <f t="shared" si="44"/>
        <v>346.5839763411152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48.747919812964895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48.747919812964895</v>
      </c>
      <c r="EE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188.89727999999997</v>
      </c>
      <c r="EL61" s="13">
        <f t="shared" si="45"/>
        <v>47.296074588020467</v>
      </c>
      <c r="EM61" s="20">
        <f t="shared" si="19"/>
        <v>411.37009257413553</v>
      </c>
      <c r="EN61" s="59">
        <f t="shared" si="20"/>
        <v>695.40176354176833</v>
      </c>
      <c r="EO61" s="59">
        <f ca="1">AVERAGE(OFFSET($EN$3,0,0,'Données projet'!$E$15+1,1))-AVERAGE(OFFSET($H$3,0,0,'Données projet'!$E$15+1,1))</f>
        <v>310.38232870602445</v>
      </c>
      <c r="EP61" s="59">
        <f t="shared" si="46"/>
        <v>303.45934457265537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37.944288643212523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37.944288643212523</v>
      </c>
      <c r="EZ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6.6</v>
      </c>
      <c r="FE61" s="12">
        <f>IF('Données projet'!$A$218&gt;35,FE60+FD61-FM60,IF(A61&lt;'Données projet'!$A$218,$FB$205^A61,IF(A61='Données projet'!$A$218,'Données projet'!$B$218,FE60+FD61-FM60)))</f>
        <v>243.79999999999995</v>
      </c>
      <c r="FF61" s="17">
        <f>FE61*VLOOKUP('Données projet'!$B$16,Paramètres!$A$1:$I$89,3,0)*VLOOKUP('Données projet'!$B$16,Paramètres!$A$1:$I$89,5,0)</f>
        <v>232.00007999999994</v>
      </c>
      <c r="FG61" s="13">
        <f t="shared" si="47"/>
        <v>56.714927420893837</v>
      </c>
      <c r="FH61" s="20">
        <f t="shared" si="22"/>
        <v>502.84530459138995</v>
      </c>
      <c r="FI61" s="59">
        <f t="shared" si="23"/>
        <v>786.87697555902275</v>
      </c>
      <c r="FJ61" s="59">
        <f ca="1">AVERAGE(OFFSET($FI$3,0,0,'Données projet'!$E$16+1,1))-AVERAGE(OFFSET($H$3,0,0,'Données projet'!$E$16+1,1))</f>
        <v>457.706832425622</v>
      </c>
      <c r="FK61" s="59">
        <f t="shared" si="48"/>
        <v>474.61768219844873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52.679428381732926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52.679428381732926</v>
      </c>
      <c r="FU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6.2</v>
      </c>
      <c r="FZ61" s="12">
        <f>IF('Données projet'!$A$244&gt;35,FZ60+FY61-GH60,IF(A61&lt;'Données projet'!$A$244,$FW$205^A61,IF(A61='Données projet'!$A$244,'Données projet'!$B$244,FZ60+FY61-GH60)))</f>
        <v>281.59999999999991</v>
      </c>
      <c r="GA61" s="17">
        <f>FZ61*VLOOKUP('Données projet'!$B$17,Paramètres!$A$1:$I$89,3,0)*VLOOKUP('Données projet'!$B$17,Paramètres!$A$1:$I$89,5,0)</f>
        <v>272.36351999999994</v>
      </c>
      <c r="GB61" s="13">
        <f t="shared" si="49"/>
        <v>65.350613162347059</v>
      </c>
      <c r="GC61" s="20">
        <f t="shared" si="25"/>
        <v>588.18544859108772</v>
      </c>
      <c r="GD61" s="59">
        <f t="shared" si="26"/>
        <v>872.21711955872047</v>
      </c>
      <c r="GE61" s="59">
        <f ca="1">AVERAGE(OFFSET($GD$3,0,0,'Données projet'!$E$17+1,1))-AVERAGE(OFFSET($H$3,0,0,'Données projet'!$E$17+1,1))</f>
        <v>428.11167311086814</v>
      </c>
      <c r="GF61" s="59">
        <f t="shared" si="50"/>
        <v>415.69449942923609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44.387658412814638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44.387658412814638</v>
      </c>
      <c r="GP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1.1368683772161603E-13</v>
      </c>
      <c r="GV61" s="17">
        <f>GU61*VLOOKUP('Données projet'!$B$18,Paramètres!$A$1:$I$89,3,0)*VLOOKUP('Données projet'!$B$18,Paramètres!$A$1:$I$89,5,0)</f>
        <v>6.5087988332379613E-14</v>
      </c>
      <c r="GW61" s="13">
        <f t="shared" si="51"/>
        <v>1.0279249680474958E-12</v>
      </c>
      <c r="GX61" s="20">
        <f t="shared" si="28"/>
        <v>1.9036642323616162E-12</v>
      </c>
      <c r="GY61" s="59">
        <f t="shared" si="29"/>
        <v>284.03167096763468</v>
      </c>
      <c r="GZ61" s="59">
        <f ca="1">AVERAGE(OFFSET($GY$3,0,0,'Données projet'!$E$18+1,1))-AVERAGE(OFFSET($H$3,0,0,'Données projet'!$E$18+1,1))</f>
        <v>249.88816678272056</v>
      </c>
      <c r="HA61" s="59">
        <f t="shared" si="52"/>
        <v>432.10802787437319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47.700898240283649</v>
      </c>
      <c r="HH61" s="21">
        <f>EXP(-LN(2)/25)*HH60+(1-EXP(-LN(2)/25))/(LN(2)/25)*Calculateur!HC61*Calculateur!HE61*VLOOKUP('Données projet'!$B$18,Paramètres!$A$1:$I$89,3,0)*0.475*44/12</f>
        <v>9.8985165406862858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57.599414780969937</v>
      </c>
    </row>
    <row r="62" spans="1:218" x14ac:dyDescent="0.3">
      <c r="A62" s="10">
        <f t="shared" si="31"/>
        <v>59</v>
      </c>
      <c r="B62" s="71">
        <f>'Scénario référence'!$B$16*5+'Scénario référence'!$B$17*0+'Scénario référence'!$B$18*5</f>
        <v>1.4000000000000001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5.1333333333333337</v>
      </c>
      <c r="H62" s="65">
        <f t="shared" si="1"/>
        <v>236.13333333333335</v>
      </c>
      <c r="I62" s="6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6.2</v>
      </c>
      <c r="N62" s="13">
        <f>IF('Données projet'!$A$36&gt;35,N61+M62-V61,IF(A62&lt;'Données projet'!$A$36,$K$205^A62,IF(A62='Données projet'!$A$36,'Données projet'!$B$36,N61+M62-V61)))</f>
        <v>287.7999999999999</v>
      </c>
      <c r="O62" s="13">
        <f>N62*VLOOKUP('Données projet'!$B$9,Paramètres!$A$1:$I$89,3,0)*VLOOKUP('Données projet'!$B$9,Paramètres!$A$1:$I$89,5,0)</f>
        <v>228.97367999999994</v>
      </c>
      <c r="P62" s="13">
        <f t="shared" si="33"/>
        <v>56.060709423888284</v>
      </c>
      <c r="Q62" s="20">
        <f t="shared" si="53"/>
        <v>496.43489491327199</v>
      </c>
      <c r="R62" s="59">
        <f t="shared" si="0"/>
        <v>780.62792892754794</v>
      </c>
      <c r="S62" s="59">
        <f ca="1">AVERAGE(OFFSET($R$3,0,0,'Données projet'!$E$9+1,1))-AVERAGE(OFFSET($H$3,0,0,'Données projet'!$E$9+1,1))</f>
        <v>360.06385535620069</v>
      </c>
      <c r="T62" s="59">
        <f t="shared" si="34"/>
        <v>350.82516032456408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44.121196246956906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44.121196246956906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238.50527999999997</v>
      </c>
      <c r="AK62" s="13">
        <f t="shared" si="35"/>
        <v>58.117817352909881</v>
      </c>
      <c r="AL62" s="20">
        <f t="shared" si="4"/>
        <v>516.61856122298457</v>
      </c>
      <c r="AM62" s="59">
        <f t="shared" si="5"/>
        <v>800.81159523726046</v>
      </c>
      <c r="AN62" s="59">
        <f ca="1">AVERAGE(OFFSET($AM$3,0,0,'Données projet'!$E$10+1,1))-AVERAGE(OFFSET($H$3,0,0,'Données projet'!$E$10+1,1))</f>
        <v>448.65237942538027</v>
      </c>
      <c r="AO62" s="59">
        <f t="shared" si="36"/>
        <v>283.56749129825107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46.082232653295982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46.082232653295982</v>
      </c>
      <c r="AY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259.20000000000005</v>
      </c>
      <c r="BE62" s="13">
        <f>BD62*VLOOKUP('Données projet'!$B$11,Paramètres!$A$1:$I$89,3,0)*VLOOKUP('Données projet'!$B$11,Paramètres!$A$1:$I$89,5,0)</f>
        <v>222.39360000000005</v>
      </c>
      <c r="BF62" s="13">
        <f t="shared" si="37"/>
        <v>54.634794757949287</v>
      </c>
      <c r="BG62" s="20">
        <f t="shared" si="7"/>
        <v>482.49112087009513</v>
      </c>
      <c r="BH62" s="59">
        <f t="shared" si="8"/>
        <v>766.68415488437108</v>
      </c>
      <c r="BI62" s="59">
        <f ca="1">AVERAGE(OFFSET($BH$3,0,0,'Données projet'!$E$11+1,1))-AVERAGE(OFFSET($H$3,0,0,'Données projet'!$E$11+1,1))</f>
        <v>456.76871853389395</v>
      </c>
      <c r="BJ62" s="59">
        <f t="shared" si="38"/>
        <v>262.12425810289176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53.86115003382433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53.86115003382433</v>
      </c>
      <c r="BT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255.00000000000006</v>
      </c>
      <c r="BZ62" s="13">
        <f>BY62*VLOOKUP('Données projet'!$B$12,Paramètres!$A$1:$I$89,3,0)*VLOOKUP('Données projet'!$B$12,Paramètres!$A$1:$I$89,5,0)</f>
        <v>186.96600000000004</v>
      </c>
      <c r="CA62" s="13">
        <f t="shared" si="39"/>
        <v>46.868551400324648</v>
      </c>
      <c r="CB62" s="20">
        <f t="shared" si="10"/>
        <v>407.26184368889881</v>
      </c>
      <c r="CC62" s="59">
        <f t="shared" si="11"/>
        <v>691.45487770317482</v>
      </c>
      <c r="CD62" s="59">
        <f ca="1">AVERAGE(OFFSET($CC$3,0,0,'Données projet'!$E$12+1,1))-AVERAGE(OFFSET($H$3,0,0,'Données projet'!$E$12+1,1))</f>
        <v>242.65851607945316</v>
      </c>
      <c r="CE62" s="59">
        <f t="shared" si="40"/>
        <v>218.9349999985487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</v>
      </c>
      <c r="CT62" s="12">
        <f>IF('Données projet'!$A$140&gt;35,CT61+CS62-DB61,IF(A62&lt;'Données projet'!$A$140,$CQ$205^A62,IF(A62='Données projet'!$A$140,'Données projet'!$B$140,CT61+CS62-DB61)))</f>
        <v>235.20000000000024</v>
      </c>
      <c r="CU62" s="17">
        <f>CT62*VLOOKUP('Données projet'!$B$13,Paramètres!$A$1:$I$89,3,0)*VLOOKUP('Données projet'!$B$13,Paramètres!$A$1:$I$89,5,0)</f>
        <v>205.47072000000026</v>
      </c>
      <c r="CV62" s="13">
        <f t="shared" si="41"/>
        <v>50.944571570352757</v>
      </c>
      <c r="CW62" s="20">
        <f t="shared" si="13"/>
        <v>446.58996615169809</v>
      </c>
      <c r="CX62" s="59">
        <f t="shared" si="14"/>
        <v>730.78300016597404</v>
      </c>
      <c r="CY62" s="59">
        <f ca="1">AVERAGE(OFFSET($CX$3,0,0,'Données projet'!$E$13+1,1))-AVERAGE(OFFSET($H$3,0,0,'Données projet'!$E$13+1,1))</f>
        <v>326.9460696675867</v>
      </c>
      <c r="CZ62" s="59">
        <f t="shared" si="42"/>
        <v>393.4020374592568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55.881785748836592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55.881785748836592</v>
      </c>
      <c r="DJ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9.6</v>
      </c>
      <c r="DO62" s="12">
        <f>IF('Données projet'!$A$166&gt;35,DO61+DN62-DW61,IF(A62&lt;'Données projet'!$A$166,$DL$205^A62,IF(A62='Données projet'!$A$166,'Données projet'!$B$166,DO61+DN62-DW61)))</f>
        <v>300.4000000000002</v>
      </c>
      <c r="DP62" s="17">
        <f>DO62*VLOOKUP('Données projet'!$B$14,Paramètres!$A$1:$I$89,3,0)*VLOOKUP('Données projet'!$B$14,Paramètres!$A$1:$I$89,5,0)</f>
        <v>234.31200000000015</v>
      </c>
      <c r="DQ62" s="13">
        <f t="shared" si="43"/>
        <v>57.214026458952496</v>
      </c>
      <c r="DR62" s="20">
        <f t="shared" si="16"/>
        <v>507.74116274934249</v>
      </c>
      <c r="DS62" s="59">
        <f t="shared" si="17"/>
        <v>791.9341967636185</v>
      </c>
      <c r="DT62" s="59">
        <f ca="1">AVERAGE(OFFSET($DS$3,0,0,'Données projet'!$E$14+1,1))-AVERAGE(OFFSET($H$3,0,0,'Données projet'!$E$14+1,1))</f>
        <v>364.34528546733799</v>
      </c>
      <c r="DU62" s="59">
        <f t="shared" si="44"/>
        <v>346.5839763411152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47.792002838727818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47.792002838727818</v>
      </c>
      <c r="EE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193.05623999999992</v>
      </c>
      <c r="EL62" s="13">
        <f t="shared" si="45"/>
        <v>48.215015311684652</v>
      </c>
      <c r="EM62" s="20">
        <f t="shared" si="19"/>
        <v>420.21410300118396</v>
      </c>
      <c r="EN62" s="59">
        <f t="shared" si="20"/>
        <v>704.40713701545997</v>
      </c>
      <c r="EO62" s="59">
        <f ca="1">AVERAGE(OFFSET($EN$3,0,0,'Données projet'!$E$15+1,1))-AVERAGE(OFFSET($H$3,0,0,'Données projet'!$E$15+1,1))</f>
        <v>310.38232870602445</v>
      </c>
      <c r="EP62" s="59">
        <f t="shared" si="46"/>
        <v>303.45934457265537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37.200224286649942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37.200224286649942</v>
      </c>
      <c r="EZ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6.6</v>
      </c>
      <c r="FE62" s="12">
        <f>IF('Données projet'!$A$218&gt;35,FE61+FD62-FM61,IF(A62&lt;'Données projet'!$A$218,$FB$205^A62,IF(A62='Données projet'!$A$218,'Données projet'!$B$218,FE61+FD62-FM61)))</f>
        <v>250.39999999999995</v>
      </c>
      <c r="FF62" s="17">
        <f>FE62*VLOOKUP('Données projet'!$B$16,Paramètres!$A$1:$I$89,3,0)*VLOOKUP('Données projet'!$B$16,Paramètres!$A$1:$I$89,5,0)</f>
        <v>238.28063999999998</v>
      </c>
      <c r="FG62" s="13">
        <f t="shared" si="47"/>
        <v>58.069447149935201</v>
      </c>
      <c r="FH62" s="20">
        <f t="shared" si="22"/>
        <v>516.14306845280373</v>
      </c>
      <c r="FI62" s="59">
        <f t="shared" si="23"/>
        <v>800.33610246707963</v>
      </c>
      <c r="FJ62" s="59">
        <f ca="1">AVERAGE(OFFSET($FI$3,0,0,'Données projet'!$E$16+1,1))-AVERAGE(OFFSET($H$3,0,0,'Données projet'!$E$16+1,1))</f>
        <v>457.706832425622</v>
      </c>
      <c r="FK62" s="59">
        <f t="shared" si="48"/>
        <v>474.61768219844873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51.646416922445759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51.646416922445759</v>
      </c>
      <c r="FU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6.2</v>
      </c>
      <c r="FZ62" s="12">
        <f>IF('Données projet'!$A$244&gt;35,FZ61+FY62-GH61,IF(A62&lt;'Données projet'!$A$244,$FW$205^A62,IF(A62='Données projet'!$A$244,'Données projet'!$B$244,FZ61+FY62-GH61)))</f>
        <v>287.7999999999999</v>
      </c>
      <c r="GA62" s="17">
        <f>FZ62*VLOOKUP('Données projet'!$B$17,Paramètres!$A$1:$I$89,3,0)*VLOOKUP('Données projet'!$B$17,Paramètres!$A$1:$I$89,5,0)</f>
        <v>278.36015999999989</v>
      </c>
      <c r="GB62" s="13">
        <f t="shared" si="49"/>
        <v>66.620345170223231</v>
      </c>
      <c r="GC62" s="20">
        <f t="shared" si="25"/>
        <v>600.84104650480526</v>
      </c>
      <c r="GD62" s="59">
        <f t="shared" si="26"/>
        <v>885.03408051908127</v>
      </c>
      <c r="GE62" s="59">
        <f ca="1">AVERAGE(OFFSET($GD$3,0,0,'Données projet'!$E$17+1,1))-AVERAGE(OFFSET($H$3,0,0,'Données projet'!$E$17+1,1))</f>
        <v>428.11167311086814</v>
      </c>
      <c r="GF62" s="59">
        <f t="shared" si="50"/>
        <v>415.69449942923609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43.517243505137657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43.517243505137657</v>
      </c>
      <c r="GP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1.1368683772161603E-13</v>
      </c>
      <c r="GV62" s="17">
        <f>GU62*VLOOKUP('Données projet'!$B$18,Paramètres!$A$1:$I$89,3,0)*VLOOKUP('Données projet'!$B$18,Paramètres!$A$1:$I$89,5,0)</f>
        <v>6.5087988332379613E-14</v>
      </c>
      <c r="GW62" s="13">
        <f t="shared" si="51"/>
        <v>1.0279249680474958E-12</v>
      </c>
      <c r="GX62" s="20">
        <f t="shared" si="28"/>
        <v>1.9036642323616162E-12</v>
      </c>
      <c r="GY62" s="59">
        <f t="shared" si="29"/>
        <v>284.19303401427783</v>
      </c>
      <c r="GZ62" s="59">
        <f ca="1">AVERAGE(OFFSET($GY$3,0,0,'Données projet'!$E$18+1,1))-AVERAGE(OFFSET($H$3,0,0,'Données projet'!$E$18+1,1))</f>
        <v>249.88816678272056</v>
      </c>
      <c r="HA62" s="59">
        <f t="shared" si="52"/>
        <v>432.10802787437319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46.765512720466752</v>
      </c>
      <c r="HH62" s="21">
        <f>EXP(-LN(2)/25)*HH61+(1-EXP(-LN(2)/25))/(LN(2)/25)*Calculateur!HC62*Calculateur!HE62*VLOOKUP('Données projet'!$B$18,Paramètres!$A$1:$I$89,3,0)*0.475*44/12</f>
        <v>9.627841085340858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56.393353805807607</v>
      </c>
    </row>
    <row r="63" spans="1:218" x14ac:dyDescent="0.3">
      <c r="A63" s="10">
        <f t="shared" si="31"/>
        <v>60</v>
      </c>
      <c r="B63" s="71">
        <f>'Scénario référence'!$B$16*5+'Scénario référence'!$B$17*0+'Scénario référence'!$B$18*5</f>
        <v>1.4000000000000001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5.1333333333333337</v>
      </c>
      <c r="H63" s="65">
        <f t="shared" si="1"/>
        <v>236.13333333333335</v>
      </c>
      <c r="I63" s="6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294</v>
      </c>
      <c r="L63" s="12">
        <f>VLOOKUP(A63,'Données projet'!$A$35:$I$55,9,0)</f>
        <v>6.2</v>
      </c>
      <c r="M63" s="12">
        <f t="array" ref="M63">INDEX(L:L,MIN(IF(ISNUMBER(L63:L259),ROW(L63:L259),"")))</f>
        <v>6.2</v>
      </c>
      <c r="N63" s="13">
        <f>IF('Données projet'!$A$36&gt;35,N62+M63-V62,IF(A63&lt;'Données projet'!$A$36,$K$205^A63,IF(A63='Données projet'!$A$36,'Données projet'!$B$36,N62+M63-V62)))</f>
        <v>293.99999999999989</v>
      </c>
      <c r="O63" s="13">
        <f>N63*VLOOKUP('Données projet'!$B$9,Paramètres!$A$1:$I$89,3,0)*VLOOKUP('Données projet'!$B$9,Paramètres!$A$1:$I$89,5,0)</f>
        <v>233.90639999999991</v>
      </c>
      <c r="P63" s="13">
        <f t="shared" si="33"/>
        <v>57.126506840778347</v>
      </c>
      <c r="Q63" s="20">
        <f t="shared" si="53"/>
        <v>506.88231274768879</v>
      </c>
      <c r="R63" s="59">
        <f t="shared" si="0"/>
        <v>791.23391052050249</v>
      </c>
      <c r="S63" s="59">
        <f ca="1">AVERAGE(OFFSET($R$3,0,0,'Données projet'!$E$9+1,1))-AVERAGE(OFFSET($H$3,0,0,'Données projet'!$E$9+1,1))</f>
        <v>360.06385535620069</v>
      </c>
      <c r="T63" s="59">
        <f t="shared" si="34"/>
        <v>350.82516032456408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14</v>
      </c>
      <c r="W63" s="16">
        <f>IF(ISNA(VLOOKUP(A63,'Données projet'!$A$35:$I$55,5,0)),0%,VLOOKUP(A63,'Données projet'!$A$35:$I$55,5,0)*VLOOKUP('Données projet'!$B$9,Paramètres!$A$1:$I$89,7,0))</f>
        <v>0.53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49.781987275783123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49.781987275783123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247.01039999999992</v>
      </c>
      <c r="AK63" s="13">
        <f t="shared" si="35"/>
        <v>59.945315462121812</v>
      </c>
      <c r="AL63" s="20">
        <f t="shared" si="4"/>
        <v>534.61453776319524</v>
      </c>
      <c r="AM63" s="59">
        <f t="shared" si="5"/>
        <v>818.96613553600901</v>
      </c>
      <c r="AN63" s="59">
        <f ca="1">AVERAGE(OFFSET($AM$3,0,0,'Données projet'!$E$10+1,1))-AVERAGE(OFFSET($H$3,0,0,'Données projet'!$E$10+1,1))</f>
        <v>448.65237942538027</v>
      </c>
      <c r="AO63" s="59">
        <f t="shared" si="36"/>
        <v>283.56749129825107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57.221352555144406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57.221352555144406</v>
      </c>
      <c r="AY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270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270.00000000000006</v>
      </c>
      <c r="BE63" s="13">
        <f>BD63*VLOOKUP('Données projet'!$B$11,Paramètres!$A$1:$I$89,3,0)*VLOOKUP('Données projet'!$B$11,Paramètres!$A$1:$I$89,5,0)</f>
        <v>231.66000000000011</v>
      </c>
      <c r="BF63" s="13">
        <f t="shared" si="37"/>
        <v>56.641461975682823</v>
      </c>
      <c r="BG63" s="20">
        <f t="shared" si="7"/>
        <v>502.1250462743144</v>
      </c>
      <c r="BH63" s="59">
        <f t="shared" si="8"/>
        <v>786.47664404712805</v>
      </c>
      <c r="BI63" s="59">
        <f ca="1">AVERAGE(OFFSET($BH$3,0,0,'Données projet'!$E$11+1,1))-AVERAGE(OFFSET($H$3,0,0,'Données projet'!$E$11+1,1))</f>
        <v>456.76871853389395</v>
      </c>
      <c r="BJ63" s="59">
        <f t="shared" si="38"/>
        <v>262.12425810289176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66.880610544605474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66.880610544605474</v>
      </c>
      <c r="BT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255.00000000000006</v>
      </c>
      <c r="BZ63" s="13">
        <f>BY63*VLOOKUP('Données projet'!$B$12,Paramètres!$A$1:$I$89,3,0)*VLOOKUP('Données projet'!$B$12,Paramètres!$A$1:$I$89,5,0)</f>
        <v>186.96600000000004</v>
      </c>
      <c r="CA63" s="13">
        <f t="shared" si="39"/>
        <v>46.868551400324648</v>
      </c>
      <c r="CB63" s="20">
        <f t="shared" si="10"/>
        <v>407.26184368889881</v>
      </c>
      <c r="CC63" s="59">
        <f t="shared" si="11"/>
        <v>691.61344146171245</v>
      </c>
      <c r="CD63" s="59">
        <f ca="1">AVERAGE(OFFSET($CC$3,0,0,'Données projet'!$E$12+1,1))-AVERAGE(OFFSET($H$3,0,0,'Données projet'!$E$12+1,1))</f>
        <v>242.65851607945316</v>
      </c>
      <c r="CE63" s="59">
        <f t="shared" si="40"/>
        <v>218.9349999985487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242</v>
      </c>
      <c r="CR63" s="12">
        <f>VLOOKUP(A63,'Données projet'!$A$139:$I$159,9,0)</f>
        <v>6.8</v>
      </c>
      <c r="CS63" s="12">
        <f t="array" ref="CS63">INDEX(CR:CR,MIN(IF(ISNUMBER(CR63:CR259),ROW(CR63:CR259),"")))</f>
        <v>6.8</v>
      </c>
      <c r="CT63" s="12">
        <f>IF('Données projet'!$A$140&gt;35,CT62+CS63-DB62,IF(A63&lt;'Données projet'!$A$140,$CQ$205^A63,IF(A63='Données projet'!$A$140,'Données projet'!$B$140,CT62+CS63-DB62)))</f>
        <v>242.00000000000026</v>
      </c>
      <c r="CU63" s="17">
        <f>CT63*VLOOKUP('Données projet'!$B$13,Paramètres!$A$1:$I$89,3,0)*VLOOKUP('Données projet'!$B$13,Paramètres!$A$1:$I$89,5,0)</f>
        <v>211.41120000000024</v>
      </c>
      <c r="CV63" s="13">
        <f t="shared" si="41"/>
        <v>52.243848094411206</v>
      </c>
      <c r="CW63" s="20">
        <f t="shared" si="13"/>
        <v>459.19920876443319</v>
      </c>
      <c r="CX63" s="59">
        <f t="shared" si="14"/>
        <v>743.5508065372469</v>
      </c>
      <c r="CY63" s="59">
        <f ca="1">AVERAGE(OFFSET($CX$3,0,0,'Données projet'!$E$13+1,1))-AVERAGE(OFFSET($H$3,0,0,'Données projet'!$E$13+1,1))</f>
        <v>326.9460696675867</v>
      </c>
      <c r="CZ63" s="59">
        <f t="shared" si="42"/>
        <v>393.4020374592568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26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65.582939180226276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65.582939180226276</v>
      </c>
      <c r="DJ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9.6</v>
      </c>
      <c r="DN63" s="12">
        <f t="array" ref="DN63">INDEX(DM:DM,MIN(IF(ISNUMBER(DM63:DM259),ROW(DM63:DM259),"")))</f>
        <v>9.6</v>
      </c>
      <c r="DO63" s="12">
        <f>IF('Données projet'!$A$166&gt;35,DO62+DN63-DW62,IF(A63&lt;'Données projet'!$A$166,$DL$205^A63,IF(A63='Données projet'!$A$166,'Données projet'!$B$166,DO62+DN63-DW62)))</f>
        <v>310.00000000000023</v>
      </c>
      <c r="DP63" s="17">
        <f>DO63*VLOOKUP('Données projet'!$B$14,Paramètres!$A$1:$I$89,3,0)*VLOOKUP('Données projet'!$B$14,Paramètres!$A$1:$I$89,5,0)</f>
        <v>241.80000000000018</v>
      </c>
      <c r="DQ63" s="13">
        <f t="shared" si="43"/>
        <v>58.826640673484889</v>
      </c>
      <c r="DR63" s="20">
        <f t="shared" si="16"/>
        <v>523.59139917298648</v>
      </c>
      <c r="DS63" s="59">
        <f t="shared" si="17"/>
        <v>807.94299694580013</v>
      </c>
      <c r="DT63" s="59">
        <f ca="1">AVERAGE(OFFSET($DS$3,0,0,'Données projet'!$E$14+1,1))-AVERAGE(OFFSET($H$3,0,0,'Données projet'!$E$14+1,1))</f>
        <v>364.34528546733799</v>
      </c>
      <c r="DU63" s="59">
        <f t="shared" si="44"/>
        <v>346.5839763411152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37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60.573497129231754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60.573497129231754</v>
      </c>
      <c r="EE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197.21519999999992</v>
      </c>
      <c r="EL63" s="13">
        <f t="shared" si="45"/>
        <v>49.131654421367614</v>
      </c>
      <c r="EM63" s="20">
        <f t="shared" si="19"/>
        <v>429.05410478388177</v>
      </c>
      <c r="EN63" s="59">
        <f t="shared" si="20"/>
        <v>713.40570255669547</v>
      </c>
      <c r="EO63" s="59">
        <f ca="1">AVERAGE(OFFSET($EN$3,0,0,'Données projet'!$E$15+1,1))-AVERAGE(OFFSET($H$3,0,0,'Données projet'!$E$15+1,1))</f>
        <v>310.38232870602445</v>
      </c>
      <c r="EP63" s="59">
        <f t="shared" si="46"/>
        <v>303.45934457265537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41.973048095268126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41.973048095268126</v>
      </c>
      <c r="EZ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257</v>
      </c>
      <c r="FC63" s="12">
        <f>VLOOKUP(A63,'Données projet'!$A$217:$I$237,9,0)</f>
        <v>6.6</v>
      </c>
      <c r="FD63" s="12">
        <f t="array" ref="FD63">INDEX(FC:FC,MIN(IF(ISNUMBER(FC63:FC259),ROW(FC63:FC259),"")))</f>
        <v>6.6</v>
      </c>
      <c r="FE63" s="12">
        <f>IF('Données projet'!$A$218&gt;35,FE62+FD63-FM62,IF(A63&lt;'Données projet'!$A$218,$FB$205^A63,IF(A63='Données projet'!$A$218,'Données projet'!$B$218,FE62+FD63-FM62)))</f>
        <v>256.99999999999994</v>
      </c>
      <c r="FF63" s="17">
        <f>FE63*VLOOKUP('Données projet'!$B$16,Paramètres!$A$1:$I$89,3,0)*VLOOKUP('Données projet'!$B$16,Paramètres!$A$1:$I$89,5,0)</f>
        <v>244.56119999999993</v>
      </c>
      <c r="FG63" s="13">
        <f t="shared" si="47"/>
        <v>59.419817003915256</v>
      </c>
      <c r="FH63" s="20">
        <f t="shared" si="22"/>
        <v>529.43360461515238</v>
      </c>
      <c r="FI63" s="59">
        <f t="shared" si="23"/>
        <v>813.78520238796614</v>
      </c>
      <c r="FJ63" s="59">
        <f ca="1">AVERAGE(OFFSET($FI$3,0,0,'Données projet'!$E$16+1,1))-AVERAGE(OFFSET($H$3,0,0,'Données projet'!$E$16+1,1))</f>
        <v>457.706832425622</v>
      </c>
      <c r="FK63" s="59">
        <f t="shared" si="48"/>
        <v>474.61768219844873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29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63.751673383949971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63.751673383949971</v>
      </c>
      <c r="FU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294</v>
      </c>
      <c r="FX63" s="12">
        <f>VLOOKUP(A63,'Données projet'!$A$243:$I$263,9,0)</f>
        <v>6.2</v>
      </c>
      <c r="FY63" s="12">
        <f t="array" ref="FY63">INDEX(FX:FX,MIN(IF(ISNUMBER(FX63:FX259),ROW(FX63:FX259),"")))</f>
        <v>6.2</v>
      </c>
      <c r="FZ63" s="12">
        <f>IF('Données projet'!$A$244&gt;35,FZ62+FY63-GH62,IF(A63&lt;'Données projet'!$A$244,$FW$205^A63,IF(A63='Données projet'!$A$244,'Données projet'!$B$244,FZ62+FY63-GH62)))</f>
        <v>293.99999999999989</v>
      </c>
      <c r="GA63" s="17">
        <f>FZ63*VLOOKUP('Données projet'!$B$17,Paramètres!$A$1:$I$89,3,0)*VLOOKUP('Données projet'!$B$17,Paramètres!$A$1:$I$89,5,0)</f>
        <v>284.35679999999985</v>
      </c>
      <c r="GB63" s="13">
        <f t="shared" si="49"/>
        <v>67.886896958889849</v>
      </c>
      <c r="GC63" s="20">
        <f t="shared" si="25"/>
        <v>613.4911055367329</v>
      </c>
      <c r="GD63" s="59">
        <f t="shared" si="26"/>
        <v>897.84270330954655</v>
      </c>
      <c r="GE63" s="59">
        <f ca="1">AVERAGE(OFFSET($GD$3,0,0,'Données projet'!$E$17+1,1))-AVERAGE(OFFSET($H$3,0,0,'Données projet'!$E$17+1,1))</f>
        <v>428.11167311086814</v>
      </c>
      <c r="GF63" s="59">
        <f t="shared" si="50"/>
        <v>415.69449942923609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14</v>
      </c>
      <c r="GI63" s="16">
        <f>IF(ISNA(VLOOKUP(A63,'Données projet'!$A$243:$I$263,5,0)),0%,VLOOKUP(A63,'Données projet'!$A$243:$I$263,5,0)*VLOOKUP('Données projet'!$B$17,Paramètres!$A$1:$I$89,7,0))</f>
        <v>0.43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49.10054682842685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49.10054682842685</v>
      </c>
      <c r="GP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1.1368683772161603E-13</v>
      </c>
      <c r="GV63" s="17">
        <f>GU63*VLOOKUP('Données projet'!$B$18,Paramètres!$A$1:$I$89,3,0)*VLOOKUP('Données projet'!$B$18,Paramètres!$A$1:$I$89,5,0)</f>
        <v>6.5087988332379613E-14</v>
      </c>
      <c r="GW63" s="13">
        <f t="shared" si="51"/>
        <v>1.0279249680474958E-12</v>
      </c>
      <c r="GX63" s="20">
        <f t="shared" si="28"/>
        <v>1.9036642323616162E-12</v>
      </c>
      <c r="GY63" s="59">
        <f t="shared" si="29"/>
        <v>284.35159777281558</v>
      </c>
      <c r="GZ63" s="59">
        <f ca="1">AVERAGE(OFFSET($GY$3,0,0,'Données projet'!$E$18+1,1))-AVERAGE(OFFSET($H$3,0,0,'Données projet'!$E$18+1,1))</f>
        <v>249.88816678272056</v>
      </c>
      <c r="HA63" s="59">
        <f t="shared" si="52"/>
        <v>432.10802787437319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45.848469540164636</v>
      </c>
      <c r="HH63" s="21">
        <f>EXP(-LN(2)/25)*HH62+(1-EXP(-LN(2)/25))/(LN(2)/25)*Calculateur!HC63*Calculateur!HE63*VLOOKUP('Données projet'!$B$18,Paramètres!$A$1:$I$89,3,0)*0.475*44/12</f>
        <v>9.3645672645560545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55.213036804720687</v>
      </c>
    </row>
    <row r="64" spans="1:218" x14ac:dyDescent="0.3">
      <c r="A64" s="10">
        <f t="shared" si="31"/>
        <v>61</v>
      </c>
      <c r="B64" s="71">
        <f>'Scénario référence'!$B$16*5+'Scénario référence'!$B$17*0+'Scénario référence'!$B$18*5</f>
        <v>1.4000000000000001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5.1333333333333337</v>
      </c>
      <c r="H64" s="65">
        <f t="shared" si="1"/>
        <v>236.13333333333335</v>
      </c>
      <c r="I64" s="6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285.19999999999987</v>
      </c>
      <c r="O64" s="13">
        <f>N64*VLOOKUP('Données projet'!$B$9,Paramètres!$A$1:$I$89,3,0)*VLOOKUP('Données projet'!$B$9,Paramètres!$A$1:$I$89,5,0)</f>
        <v>226.90511999999993</v>
      </c>
      <c r="P64" s="13">
        <f t="shared" si="33"/>
        <v>55.612969408444364</v>
      </c>
      <c r="Q64" s="20">
        <f t="shared" si="53"/>
        <v>492.05233905304044</v>
      </c>
      <c r="R64" s="59">
        <f t="shared" si="0"/>
        <v>776.55974985767671</v>
      </c>
      <c r="S64" s="59">
        <f ca="1">AVERAGE(OFFSET($R$3,0,0,'Données projet'!$E$9+1,1))-AVERAGE(OFFSET($H$3,0,0,'Données projet'!$E$9+1,1))</f>
        <v>360.06385535620069</v>
      </c>
      <c r="T64" s="59">
        <f t="shared" si="34"/>
        <v>350.82516032456408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48.805792869319056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48.805792869319056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229.63823999999994</v>
      </c>
      <c r="AK64" s="13">
        <f t="shared" si="35"/>
        <v>56.204453396569633</v>
      </c>
      <c r="AL64" s="20">
        <f t="shared" si="4"/>
        <v>497.84269099902531</v>
      </c>
      <c r="AM64" s="59">
        <f t="shared" si="5"/>
        <v>782.35010180366157</v>
      </c>
      <c r="AN64" s="59">
        <f ca="1">AVERAGE(OFFSET($AM$3,0,0,'Données projet'!$E$10+1,1))-AVERAGE(OFFSET($H$3,0,0,'Données projet'!$E$10+1,1))</f>
        <v>448.65237942538027</v>
      </c>
      <c r="AO64" s="59">
        <f t="shared" si="36"/>
        <v>283.56749129825107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56.099276733116838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56.099276733116838</v>
      </c>
      <c r="AY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10.4</v>
      </c>
      <c r="BD64" s="12">
        <f>IF('Données projet'!$A$88&gt;35,BD63+BC64-BL63,IF(A64&lt;'Données projet'!$A$88,$BA$205^A64,IF(A64='Données projet'!$A$88,'Données projet'!$B$88,BD63+BC64-BL63)))</f>
        <v>252.40000000000003</v>
      </c>
      <c r="BE64" s="13">
        <f>BD64*VLOOKUP('Données projet'!$B$11,Paramètres!$A$1:$I$89,3,0)*VLOOKUP('Données projet'!$B$11,Paramètres!$A$1:$I$89,5,0)</f>
        <v>216.55920000000003</v>
      </c>
      <c r="BF64" s="13">
        <f t="shared" si="37"/>
        <v>53.366360125240483</v>
      </c>
      <c r="BG64" s="20">
        <f t="shared" si="7"/>
        <v>470.12035055146049</v>
      </c>
      <c r="BH64" s="59">
        <f t="shared" si="8"/>
        <v>754.6277613560967</v>
      </c>
      <c r="BI64" s="59">
        <f ca="1">AVERAGE(OFFSET($BH$3,0,0,'Données projet'!$E$11+1,1))-AVERAGE(OFFSET($H$3,0,0,'Données projet'!$E$11+1,1))</f>
        <v>456.76871853389395</v>
      </c>
      <c r="BJ64" s="59">
        <f t="shared" si="38"/>
        <v>262.12425810289176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65.569122564970201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65.569122564970201</v>
      </c>
      <c r="BT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255.00000000000006</v>
      </c>
      <c r="BZ64" s="13">
        <f>BY64*VLOOKUP('Données projet'!$B$12,Paramètres!$A$1:$I$89,3,0)*VLOOKUP('Données projet'!$B$12,Paramètres!$A$1:$I$89,5,0)</f>
        <v>186.96600000000004</v>
      </c>
      <c r="CA64" s="13">
        <f t="shared" si="39"/>
        <v>46.868551400324648</v>
      </c>
      <c r="CB64" s="20">
        <f t="shared" si="10"/>
        <v>407.26184368889881</v>
      </c>
      <c r="CC64" s="59">
        <f t="shared" si="11"/>
        <v>691.76925449353507</v>
      </c>
      <c r="CD64" s="59">
        <f ca="1">AVERAGE(OFFSET($CC$3,0,0,'Données projet'!$E$12+1,1))-AVERAGE(OFFSET($H$3,0,0,'Données projet'!$E$12+1,1))</f>
        <v>242.65851607945316</v>
      </c>
      <c r="CE64" s="59">
        <f t="shared" si="40"/>
        <v>218.9349999985487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222.00000000000026</v>
      </c>
      <c r="CU64" s="17">
        <f>CT64*VLOOKUP('Données projet'!$B$13,Paramètres!$A$1:$I$89,3,0)*VLOOKUP('Données projet'!$B$13,Paramètres!$A$1:$I$89,5,0)</f>
        <v>193.93920000000023</v>
      </c>
      <c r="CV64" s="13">
        <f t="shared" si="41"/>
        <v>48.409811198069427</v>
      </c>
      <c r="CW64" s="20">
        <f t="shared" si="13"/>
        <v>422.09119450330468</v>
      </c>
      <c r="CX64" s="59">
        <f t="shared" si="14"/>
        <v>706.59860530794094</v>
      </c>
      <c r="CY64" s="59">
        <f ca="1">AVERAGE(OFFSET($CX$3,0,0,'Données projet'!$E$13+1,1))-AVERAGE(OFFSET($H$3,0,0,'Données projet'!$E$13+1,1))</f>
        <v>326.9460696675867</v>
      </c>
      <c r="CZ64" s="59">
        <f t="shared" si="42"/>
        <v>393.4020374592568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64.296897744545106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64.296897744545106</v>
      </c>
      <c r="DJ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9.1999999999999993</v>
      </c>
      <c r="DO64" s="12">
        <f>IF('Données projet'!$A$166&gt;35,DO63+DN64-DW63,IF(A64&lt;'Données projet'!$A$166,$DL$205^A64,IF(A64='Données projet'!$A$166,'Données projet'!$B$166,DO63+DN64-DW63)))</f>
        <v>282.20000000000022</v>
      </c>
      <c r="DP64" s="17">
        <f>DO64*VLOOKUP('Données projet'!$B$14,Paramètres!$A$1:$I$89,3,0)*VLOOKUP('Données projet'!$B$14,Paramètres!$A$1:$I$89,5,0)</f>
        <v>220.11600000000018</v>
      </c>
      <c r="DQ64" s="13">
        <f t="shared" si="43"/>
        <v>54.140096973925971</v>
      </c>
      <c r="DR64" s="20">
        <f t="shared" si="16"/>
        <v>477.66270222958809</v>
      </c>
      <c r="DS64" s="59">
        <f t="shared" si="17"/>
        <v>762.1701130342243</v>
      </c>
      <c r="DT64" s="59">
        <f ca="1">AVERAGE(OFFSET($DS$3,0,0,'Données projet'!$E$14+1,1))-AVERAGE(OFFSET($H$3,0,0,'Données projet'!$E$14+1,1))</f>
        <v>364.34528546733799</v>
      </c>
      <c r="DU64" s="59">
        <f t="shared" si="44"/>
        <v>346.5839763411152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59.385687796712638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59.385687796712638</v>
      </c>
      <c r="EE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191.31215999999992</v>
      </c>
      <c r="EL64" s="13">
        <f t="shared" si="45"/>
        <v>47.829936494057634</v>
      </c>
      <c r="EM64" s="20">
        <f t="shared" si="19"/>
        <v>416.50581806048353</v>
      </c>
      <c r="EN64" s="59">
        <f t="shared" si="20"/>
        <v>701.0132288651198</v>
      </c>
      <c r="EO64" s="59">
        <f ca="1">AVERAGE(OFFSET($EN$3,0,0,'Données projet'!$E$15+1,1))-AVERAGE(OFFSET($H$3,0,0,'Données projet'!$E$15+1,1))</f>
        <v>310.38232870602445</v>
      </c>
      <c r="EP64" s="59">
        <f t="shared" si="46"/>
        <v>303.45934457265537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41.149982223151362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41.149982223151362</v>
      </c>
      <c r="EZ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6.6</v>
      </c>
      <c r="FE64" s="12">
        <f>IF('Données projet'!$A$218&gt;35,FE63+FD64-FM63,IF(A64&lt;'Données projet'!$A$218,$FB$205^A64,IF(A64='Données projet'!$A$218,'Données projet'!$B$218,FE63+FD64-FM63)))</f>
        <v>234.59999999999997</v>
      </c>
      <c r="FF64" s="17">
        <f>FE64*VLOOKUP('Données projet'!$B$16,Paramètres!$A$1:$I$89,3,0)*VLOOKUP('Données projet'!$B$16,Paramètres!$A$1:$I$89,5,0)</f>
        <v>223.24535999999995</v>
      </c>
      <c r="FG64" s="13">
        <f t="shared" si="47"/>
        <v>54.819646394591118</v>
      </c>
      <c r="FH64" s="20">
        <f t="shared" si="22"/>
        <v>484.29655280391279</v>
      </c>
      <c r="FI64" s="59">
        <f t="shared" si="23"/>
        <v>768.803963608549</v>
      </c>
      <c r="FJ64" s="59">
        <f ca="1">AVERAGE(OFFSET($FI$3,0,0,'Données projet'!$E$16+1,1))-AVERAGE(OFFSET($H$3,0,0,'Données projet'!$E$16+1,1))</f>
        <v>457.706832425622</v>
      </c>
      <c r="FK64" s="59">
        <f t="shared" si="48"/>
        <v>474.61768219844873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62.50154195357193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62.50154195357193</v>
      </c>
      <c r="FU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5.2</v>
      </c>
      <c r="FZ64" s="12">
        <f>IF('Données projet'!$A$244&gt;35,FZ63+FY64-GH63,IF(A64&lt;'Données projet'!$A$244,$FW$205^A64,IF(A64='Données projet'!$A$244,'Données projet'!$B$244,FZ63+FY64-GH63)))</f>
        <v>285.19999999999987</v>
      </c>
      <c r="GA64" s="17">
        <f>FZ64*VLOOKUP('Données projet'!$B$17,Paramètres!$A$1:$I$89,3,0)*VLOOKUP('Données projet'!$B$17,Paramètres!$A$1:$I$89,5,0)</f>
        <v>275.84543999999988</v>
      </c>
      <c r="GB64" s="13">
        <f t="shared" si="49"/>
        <v>66.088268521855227</v>
      </c>
      <c r="GC64" s="20">
        <f t="shared" si="25"/>
        <v>595.53454234223091</v>
      </c>
      <c r="GD64" s="59">
        <f t="shared" si="26"/>
        <v>880.04195314686717</v>
      </c>
      <c r="GE64" s="59">
        <f ca="1">AVERAGE(OFFSET($GD$3,0,0,'Données projet'!$E$17+1,1))-AVERAGE(OFFSET($H$3,0,0,'Données projet'!$E$17+1,1))</f>
        <v>428.11167311086814</v>
      </c>
      <c r="GF64" s="59">
        <f t="shared" si="50"/>
        <v>415.69449942923609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48.137715053497807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48.137715053497807</v>
      </c>
      <c r="GP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1.1368683772161603E-13</v>
      </c>
      <c r="GV64" s="17">
        <f>GU64*VLOOKUP('Données projet'!$B$18,Paramètres!$A$1:$I$89,3,0)*VLOOKUP('Données projet'!$B$18,Paramètres!$A$1:$I$89,5,0)</f>
        <v>6.5087988332379613E-14</v>
      </c>
      <c r="GW64" s="13">
        <f t="shared" si="51"/>
        <v>1.0279249680474958E-12</v>
      </c>
      <c r="GX64" s="20">
        <f t="shared" si="28"/>
        <v>1.9036642323616162E-12</v>
      </c>
      <c r="GY64" s="59">
        <f t="shared" si="29"/>
        <v>284.50741080463808</v>
      </c>
      <c r="GZ64" s="59">
        <f ca="1">AVERAGE(OFFSET($GY$3,0,0,'Données projet'!$E$18+1,1))-AVERAGE(OFFSET($H$3,0,0,'Données projet'!$E$18+1,1))</f>
        <v>249.88816678272056</v>
      </c>
      <c r="HA64" s="59">
        <f t="shared" si="52"/>
        <v>432.10802787437319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44.949409017287131</v>
      </c>
      <c r="HH64" s="21">
        <f>EXP(-LN(2)/25)*HH63+(1-EXP(-LN(2)/25))/(LN(2)/25)*Calculateur!HC64*Calculateur!HE64*VLOOKUP('Données projet'!$B$18,Paramètres!$A$1:$I$89,3,0)*0.475*44/12</f>
        <v>9.108492680245579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54.057901697532714</v>
      </c>
    </row>
    <row r="65" spans="1:218" x14ac:dyDescent="0.3">
      <c r="A65" s="10">
        <f t="shared" si="31"/>
        <v>62</v>
      </c>
      <c r="B65" s="71">
        <f>'Scénario référence'!$B$16*5+'Scénario référence'!$B$17*0+'Scénario référence'!$B$18*5</f>
        <v>1.4000000000000001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5.1333333333333337</v>
      </c>
      <c r="H65" s="65">
        <f t="shared" si="1"/>
        <v>236.13333333333335</v>
      </c>
      <c r="I65" s="6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290.39999999999986</v>
      </c>
      <c r="O65" s="13">
        <f>N65*VLOOKUP('Données projet'!$B$9,Paramètres!$A$1:$I$89,3,0)*VLOOKUP('Données projet'!$B$9,Paramètres!$A$1:$I$89,5,0)</f>
        <v>231.04223999999991</v>
      </c>
      <c r="P65" s="13">
        <f t="shared" si="33"/>
        <v>56.507978852931409</v>
      </c>
      <c r="Q65" s="20">
        <f t="shared" si="53"/>
        <v>500.81663116885539</v>
      </c>
      <c r="R65" s="59">
        <f t="shared" si="0"/>
        <v>785.47715199755771</v>
      </c>
      <c r="S65" s="59">
        <f ca="1">AVERAGE(OFFSET($R$3,0,0,'Données projet'!$E$9+1,1))-AVERAGE(OFFSET($H$3,0,0,'Données projet'!$E$9+1,1))</f>
        <v>360.06385535620069</v>
      </c>
      <c r="T65" s="59">
        <f t="shared" si="34"/>
        <v>350.82516032456408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47.848741039745953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47.848741039745953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237.60047999999995</v>
      </c>
      <c r="AK65" s="13">
        <f t="shared" si="35"/>
        <v>57.922960533442058</v>
      </c>
      <c r="AL65" s="20">
        <f t="shared" si="4"/>
        <v>514.70332559574479</v>
      </c>
      <c r="AM65" s="59">
        <f t="shared" si="5"/>
        <v>799.36384642444716</v>
      </c>
      <c r="AN65" s="59">
        <f ca="1">AVERAGE(OFFSET($AM$3,0,0,'Données projet'!$E$10+1,1))-AVERAGE(OFFSET($H$3,0,0,'Données projet'!$E$10+1,1))</f>
        <v>448.65237942538027</v>
      </c>
      <c r="AO65" s="59">
        <f t="shared" si="36"/>
        <v>283.56749129825107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54.999204133560561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54.999204133560561</v>
      </c>
      <c r="AY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10.4</v>
      </c>
      <c r="BD65" s="12">
        <f>IF('Données projet'!$A$88&gt;35,BD64+BC65-BL64,IF(A65&lt;'Données projet'!$A$88,$BA$205^A65,IF(A65='Données projet'!$A$88,'Données projet'!$B$88,BD64+BC65-BL64)))</f>
        <v>262.8</v>
      </c>
      <c r="BE65" s="13">
        <f>BD65*VLOOKUP('Données projet'!$B$11,Paramètres!$A$1:$I$89,3,0)*VLOOKUP('Données projet'!$B$11,Paramètres!$A$1:$I$89,5,0)</f>
        <v>225.48240000000004</v>
      </c>
      <c r="BF65" s="13">
        <f t="shared" si="37"/>
        <v>55.304745901414371</v>
      </c>
      <c r="BG65" s="20">
        <f t="shared" si="7"/>
        <v>489.03761244496349</v>
      </c>
      <c r="BH65" s="59">
        <f t="shared" si="8"/>
        <v>773.69813327366592</v>
      </c>
      <c r="BI65" s="59">
        <f ca="1">AVERAGE(OFFSET($BH$3,0,0,'Données projet'!$E$11+1,1))-AVERAGE(OFFSET($H$3,0,0,'Données projet'!$E$11+1,1))</f>
        <v>456.76871853389395</v>
      </c>
      <c r="BJ65" s="59">
        <f t="shared" si="38"/>
        <v>262.12425810289176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64.283352064686895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64.283352064686895</v>
      </c>
      <c r="BT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255.00000000000006</v>
      </c>
      <c r="BZ65" s="13">
        <f>BY65*VLOOKUP('Données projet'!$B$12,Paramètres!$A$1:$I$89,3,0)*VLOOKUP('Données projet'!$B$12,Paramètres!$A$1:$I$89,5,0)</f>
        <v>186.96600000000004</v>
      </c>
      <c r="CA65" s="13">
        <f t="shared" si="39"/>
        <v>46.868551400324648</v>
      </c>
      <c r="CB65" s="20">
        <f t="shared" si="10"/>
        <v>407.26184368889881</v>
      </c>
      <c r="CC65" s="59">
        <f t="shared" si="11"/>
        <v>691.92236451760118</v>
      </c>
      <c r="CD65" s="59">
        <f ca="1">AVERAGE(OFFSET($CC$3,0,0,'Données projet'!$E$12+1,1))-AVERAGE(OFFSET($H$3,0,0,'Données projet'!$E$12+1,1))</f>
        <v>242.65851607945316</v>
      </c>
      <c r="CE65" s="59">
        <f t="shared" si="40"/>
        <v>218.9349999985487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228.00000000000026</v>
      </c>
      <c r="CU65" s="17">
        <f>CT65*VLOOKUP('Données projet'!$B$13,Paramètres!$A$1:$I$89,3,0)*VLOOKUP('Données projet'!$B$13,Paramètres!$A$1:$I$89,5,0)</f>
        <v>199.18080000000023</v>
      </c>
      <c r="CV65" s="13">
        <f t="shared" si="41"/>
        <v>49.564089376413726</v>
      </c>
      <c r="CW65" s="20">
        <f t="shared" si="13"/>
        <v>433.23068233058763</v>
      </c>
      <c r="CX65" s="59">
        <f t="shared" si="14"/>
        <v>717.89120315928994</v>
      </c>
      <c r="CY65" s="59">
        <f ca="1">AVERAGE(OFFSET($CX$3,0,0,'Données projet'!$E$13+1,1))-AVERAGE(OFFSET($H$3,0,0,'Données projet'!$E$13+1,1))</f>
        <v>326.9460696675867</v>
      </c>
      <c r="CZ65" s="59">
        <f t="shared" si="42"/>
        <v>393.4020374592568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63.036074797009817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63.036074797009817</v>
      </c>
      <c r="DJ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9.1999999999999993</v>
      </c>
      <c r="DO65" s="12">
        <f>IF('Données projet'!$A$166&gt;35,DO64+DN65-DW64,IF(A65&lt;'Données projet'!$A$166,$DL$205^A65,IF(A65='Données projet'!$A$166,'Données projet'!$B$166,DO64+DN65-DW64)))</f>
        <v>291.4000000000002</v>
      </c>
      <c r="DP65" s="17">
        <f>DO65*VLOOKUP('Données projet'!$B$14,Paramètres!$A$1:$I$89,3,0)*VLOOKUP('Données projet'!$B$14,Paramètres!$A$1:$I$89,5,0)</f>
        <v>227.29200000000017</v>
      </c>
      <c r="DQ65" s="13">
        <f t="shared" si="43"/>
        <v>55.696745617483749</v>
      </c>
      <c r="DR65" s="20">
        <f t="shared" si="16"/>
        <v>492.87206528378442</v>
      </c>
      <c r="DS65" s="59">
        <f t="shared" si="17"/>
        <v>777.5325861124868</v>
      </c>
      <c r="DT65" s="59">
        <f ca="1">AVERAGE(OFFSET($DS$3,0,0,'Données projet'!$E$14+1,1))-AVERAGE(OFFSET($H$3,0,0,'Données projet'!$E$14+1,1))</f>
        <v>364.34528546733799</v>
      </c>
      <c r="DU65" s="59">
        <f t="shared" si="44"/>
        <v>346.5839763411152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58.221170680712063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58.221170680712063</v>
      </c>
      <c r="EE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194.80031999999991</v>
      </c>
      <c r="EL65" s="13">
        <f t="shared" si="45"/>
        <v>48.599689401459429</v>
      </c>
      <c r="EM65" s="20">
        <f t="shared" si="19"/>
        <v>423.921683040875</v>
      </c>
      <c r="EN65" s="59">
        <f t="shared" si="20"/>
        <v>708.58220386957737</v>
      </c>
      <c r="EO65" s="59">
        <f ca="1">AVERAGE(OFFSET($EN$3,0,0,'Données projet'!$E$15+1,1))-AVERAGE(OFFSET($H$3,0,0,'Données projet'!$E$15+1,1))</f>
        <v>310.38232870602445</v>
      </c>
      <c r="EP65" s="59">
        <f t="shared" si="46"/>
        <v>303.45934457265537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40.343056170766197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40.343056170766197</v>
      </c>
      <c r="EZ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6.6</v>
      </c>
      <c r="FE65" s="12">
        <f>IF('Données projet'!$A$218&gt;35,FE64+FD65-FM64,IF(A65&lt;'Données projet'!$A$218,$FB$205^A65,IF(A65='Données projet'!$A$218,'Données projet'!$B$218,FE64+FD65-FM64)))</f>
        <v>241.19999999999996</v>
      </c>
      <c r="FF65" s="17">
        <f>FE65*VLOOKUP('Données projet'!$B$16,Paramètres!$A$1:$I$89,3,0)*VLOOKUP('Données projet'!$B$16,Paramètres!$A$1:$I$89,5,0)</f>
        <v>229.52591999999999</v>
      </c>
      <c r="FG65" s="13">
        <f t="shared" si="47"/>
        <v>56.180162044652285</v>
      </c>
      <c r="FH65" s="20">
        <f t="shared" si="22"/>
        <v>497.60475956110264</v>
      </c>
      <c r="FI65" s="59">
        <f t="shared" si="23"/>
        <v>782.26528038980496</v>
      </c>
      <c r="FJ65" s="59">
        <f ca="1">AVERAGE(OFFSET($FI$3,0,0,'Données projet'!$E$16+1,1))-AVERAGE(OFFSET($H$3,0,0,'Données projet'!$E$16+1,1))</f>
        <v>457.706832425622</v>
      </c>
      <c r="FK65" s="59">
        <f t="shared" si="48"/>
        <v>474.61768219844873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61.275924838038726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61.275924838038726</v>
      </c>
      <c r="FU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5.2</v>
      </c>
      <c r="FZ65" s="12">
        <f>IF('Données projet'!$A$244&gt;35,FZ64+FY65-GH64,IF(A65&lt;'Données projet'!$A$244,$FW$205^A65,IF(A65='Données projet'!$A$244,'Données projet'!$B$244,FZ64+FY65-GH64)))</f>
        <v>290.39999999999986</v>
      </c>
      <c r="GA65" s="17">
        <f>FZ65*VLOOKUP('Données projet'!$B$17,Paramètres!$A$1:$I$89,3,0)*VLOOKUP('Données projet'!$B$17,Paramètres!$A$1:$I$89,5,0)</f>
        <v>280.87487999999991</v>
      </c>
      <c r="GB65" s="13">
        <f t="shared" si="49"/>
        <v>67.151862592195855</v>
      </c>
      <c r="GC65" s="20">
        <f t="shared" si="25"/>
        <v>606.14657668140751</v>
      </c>
      <c r="GD65" s="59">
        <f t="shared" si="26"/>
        <v>890.80709751010988</v>
      </c>
      <c r="GE65" s="59">
        <f ca="1">AVERAGE(OFFSET($GD$3,0,0,'Données projet'!$E$17+1,1))-AVERAGE(OFFSET($H$3,0,0,'Données projet'!$E$17+1,1))</f>
        <v>428.11167311086814</v>
      </c>
      <c r="GF65" s="59">
        <f t="shared" si="50"/>
        <v>415.69449942923609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47.193763822405728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47.193763822405728</v>
      </c>
      <c r="GP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1.1368683772161603E-13</v>
      </c>
      <c r="GV65" s="17">
        <f>GU65*VLOOKUP('Données projet'!$B$18,Paramètres!$A$1:$I$89,3,0)*VLOOKUP('Données projet'!$B$18,Paramètres!$A$1:$I$89,5,0)</f>
        <v>6.5087988332379613E-14</v>
      </c>
      <c r="GW65" s="13">
        <f t="shared" si="51"/>
        <v>1.0279249680474958E-12</v>
      </c>
      <c r="GX65" s="20">
        <f t="shared" si="28"/>
        <v>1.9036642323616162E-12</v>
      </c>
      <c r="GY65" s="59">
        <f t="shared" si="29"/>
        <v>284.66052082870425</v>
      </c>
      <c r="GZ65" s="59">
        <f ca="1">AVERAGE(OFFSET($GY$3,0,0,'Données projet'!$E$18+1,1))-AVERAGE(OFFSET($H$3,0,0,'Données projet'!$E$18+1,1))</f>
        <v>249.88816678272056</v>
      </c>
      <c r="HA65" s="59">
        <f t="shared" si="52"/>
        <v>432.10802787437319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44.067978522890485</v>
      </c>
      <c r="HH65" s="21">
        <f>EXP(-LN(2)/25)*HH64+(1-EXP(-LN(2)/25))/(LN(2)/25)*Calculateur!HC65*Calculateur!HE65*VLOOKUP('Données projet'!$B$18,Paramètres!$A$1:$I$89,3,0)*0.475*44/12</f>
        <v>8.8594204689094518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52.927398991799933</v>
      </c>
    </row>
    <row r="66" spans="1:218" x14ac:dyDescent="0.3">
      <c r="A66" s="10">
        <f t="shared" si="31"/>
        <v>63</v>
      </c>
      <c r="B66" s="71">
        <f>'Scénario référence'!$B$16*5+'Scénario référence'!$B$17*0+'Scénario référence'!$B$18*5</f>
        <v>1.4000000000000001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5.1333333333333337</v>
      </c>
      <c r="H66" s="65">
        <f t="shared" si="1"/>
        <v>236.13333333333335</v>
      </c>
      <c r="I66" s="6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295.59999999999985</v>
      </c>
      <c r="O66" s="13">
        <f>N66*VLOOKUP('Données projet'!$B$9,Paramètres!$A$1:$I$89,3,0)*VLOOKUP('Données projet'!$B$9,Paramètres!$A$1:$I$89,5,0)</f>
        <v>235.17935999999989</v>
      </c>
      <c r="P66" s="13">
        <f t="shared" si="33"/>
        <v>57.401124668909425</v>
      </c>
      <c r="Q66" s="20">
        <f t="shared" si="53"/>
        <v>509.57767746501708</v>
      </c>
      <c r="R66" s="59">
        <f t="shared" si="0"/>
        <v>794.38865220117077</v>
      </c>
      <c r="S66" s="59">
        <f ca="1">AVERAGE(OFFSET($R$3,0,0,'Données projet'!$E$9+1,1))-AVERAGE(OFFSET($H$3,0,0,'Données projet'!$E$9+1,1))</f>
        <v>360.06385535620069</v>
      </c>
      <c r="T66" s="59">
        <f t="shared" si="34"/>
        <v>350.82516032456408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46.910456412806802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46.910456412806802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245.56271999999998</v>
      </c>
      <c r="AK66" s="13">
        <f t="shared" si="35"/>
        <v>59.634776048276898</v>
      </c>
      <c r="AL66" s="20">
        <f t="shared" si="4"/>
        <v>531.55230561741564</v>
      </c>
      <c r="AM66" s="59">
        <f t="shared" si="5"/>
        <v>816.36328035356928</v>
      </c>
      <c r="AN66" s="59">
        <f ca="1">AVERAGE(OFFSET($AM$3,0,0,'Données projet'!$E$10+1,1))-AVERAGE(OFFSET($H$3,0,0,'Données projet'!$E$10+1,1))</f>
        <v>448.65237942538027</v>
      </c>
      <c r="AO66" s="59">
        <f t="shared" si="36"/>
        <v>283.56749129825107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53.920703286703549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53.920703286703549</v>
      </c>
      <c r="AY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10.4</v>
      </c>
      <c r="BD66" s="12">
        <f>IF('Données projet'!$A$88&gt;35,BD65+BC66-BL65,IF(A66&lt;'Données projet'!$A$88,$BA$205^A66,IF(A66='Données projet'!$A$88,'Données projet'!$B$88,BD65+BC66-BL65)))</f>
        <v>273.2</v>
      </c>
      <c r="BE66" s="13">
        <f>BD66*VLOOKUP('Données projet'!$B$11,Paramètres!$A$1:$I$89,3,0)*VLOOKUP('Données projet'!$B$11,Paramètres!$A$1:$I$89,5,0)</f>
        <v>234.40560000000005</v>
      </c>
      <c r="BF66" s="13">
        <f t="shared" si="37"/>
        <v>57.234220788626125</v>
      </c>
      <c r="BG66" s="20">
        <f t="shared" si="7"/>
        <v>507.93935454019061</v>
      </c>
      <c r="BH66" s="59">
        <f t="shared" si="8"/>
        <v>792.75032927634425</v>
      </c>
      <c r="BI66" s="59">
        <f ca="1">AVERAGE(OFFSET($BH$3,0,0,'Données projet'!$E$11+1,1))-AVERAGE(OFFSET($H$3,0,0,'Données projet'!$E$11+1,1))</f>
        <v>456.76871853389395</v>
      </c>
      <c r="BJ66" s="59">
        <f t="shared" si="38"/>
        <v>262.12425810289176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63.022794739671582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63.022794739671582</v>
      </c>
      <c r="BT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255.00000000000006</v>
      </c>
      <c r="BZ66" s="13">
        <f>BY66*VLOOKUP('Données projet'!$B$12,Paramètres!$A$1:$I$89,3,0)*VLOOKUP('Données projet'!$B$12,Paramètres!$A$1:$I$89,5,0)</f>
        <v>186.96600000000004</v>
      </c>
      <c r="CA66" s="13">
        <f t="shared" si="39"/>
        <v>46.868551400324648</v>
      </c>
      <c r="CB66" s="20">
        <f t="shared" si="10"/>
        <v>407.26184368889881</v>
      </c>
      <c r="CC66" s="59">
        <f t="shared" si="11"/>
        <v>692.07281842505245</v>
      </c>
      <c r="CD66" s="59">
        <f ca="1">AVERAGE(OFFSET($CC$3,0,0,'Données projet'!$E$12+1,1))-AVERAGE(OFFSET($H$3,0,0,'Données projet'!$E$12+1,1))</f>
        <v>242.65851607945316</v>
      </c>
      <c r="CE66" s="59">
        <f t="shared" si="40"/>
        <v>218.9349999985487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234.00000000000026</v>
      </c>
      <c r="CU66" s="17">
        <f>CT66*VLOOKUP('Données projet'!$B$13,Paramètres!$A$1:$I$89,3,0)*VLOOKUP('Données projet'!$B$13,Paramètres!$A$1:$I$89,5,0)</f>
        <v>204.42240000000027</v>
      </c>
      <c r="CV66" s="13">
        <f t="shared" si="41"/>
        <v>50.714836797527354</v>
      </c>
      <c r="CW66" s="20">
        <f t="shared" si="13"/>
        <v>444.36402075569396</v>
      </c>
      <c r="CX66" s="59">
        <f t="shared" si="14"/>
        <v>729.17499549184765</v>
      </c>
      <c r="CY66" s="59">
        <f ca="1">AVERAGE(OFFSET($CX$3,0,0,'Données projet'!$E$13+1,1))-AVERAGE(OFFSET($H$3,0,0,'Données projet'!$E$13+1,1))</f>
        <v>326.9460696675867</v>
      </c>
      <c r="CZ66" s="59">
        <f t="shared" si="42"/>
        <v>393.4020374592568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61.799975818449639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61.799975818449639</v>
      </c>
      <c r="DJ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9.1999999999999993</v>
      </c>
      <c r="DO66" s="12">
        <f>IF('Données projet'!$A$166&gt;35,DO65+DN66-DW65,IF(A66&lt;'Données projet'!$A$166,$DL$205^A66,IF(A66='Données projet'!$A$166,'Données projet'!$B$166,DO65+DN66-DW65)))</f>
        <v>300.60000000000019</v>
      </c>
      <c r="DP66" s="17">
        <f>DO66*VLOOKUP('Données projet'!$B$14,Paramètres!$A$1:$I$89,3,0)*VLOOKUP('Données projet'!$B$14,Paramètres!$A$1:$I$89,5,0)</f>
        <v>234.46800000000016</v>
      </c>
      <c r="DQ66" s="13">
        <f t="shared" si="43"/>
        <v>57.247683153605443</v>
      </c>
      <c r="DR66" s="20">
        <f t="shared" si="16"/>
        <v>508.07148149252976</v>
      </c>
      <c r="DS66" s="59">
        <f t="shared" si="17"/>
        <v>792.8824562286834</v>
      </c>
      <c r="DT66" s="59">
        <f ca="1">AVERAGE(OFFSET($DS$3,0,0,'Données projet'!$E$14+1,1))-AVERAGE(OFFSET($H$3,0,0,'Données projet'!$E$14+1,1))</f>
        <v>364.34528546733799</v>
      </c>
      <c r="DU66" s="59">
        <f t="shared" si="44"/>
        <v>346.5839763411152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57.079489035070957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57.079489035070957</v>
      </c>
      <c r="EE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198.28847999999991</v>
      </c>
      <c r="EL66" s="13">
        <f t="shared" si="45"/>
        <v>49.367839495089839</v>
      </c>
      <c r="EM66" s="20">
        <f t="shared" si="19"/>
        <v>431.33475645394793</v>
      </c>
      <c r="EN66" s="59">
        <f t="shared" si="20"/>
        <v>716.14573119010163</v>
      </c>
      <c r="EO66" s="59">
        <f ca="1">AVERAGE(OFFSET($EN$3,0,0,'Données projet'!$E$15+1,1))-AVERAGE(OFFSET($H$3,0,0,'Données projet'!$E$15+1,1))</f>
        <v>310.38232870602445</v>
      </c>
      <c r="EP66" s="59">
        <f t="shared" si="46"/>
        <v>303.45934457265537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39.551953446092014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39.551953446092014</v>
      </c>
      <c r="EZ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6.6</v>
      </c>
      <c r="FE66" s="12">
        <f>IF('Données projet'!$A$218&gt;35,FE65+FD66-FM65,IF(A66&lt;'Données projet'!$A$218,$FB$205^A66,IF(A66='Données projet'!$A$218,'Données projet'!$B$218,FE65+FD66-FM65)))</f>
        <v>247.79999999999995</v>
      </c>
      <c r="FF66" s="17">
        <f>FE66*VLOOKUP('Données projet'!$B$16,Paramètres!$A$1:$I$89,3,0)*VLOOKUP('Données projet'!$B$16,Paramètres!$A$1:$I$89,5,0)</f>
        <v>235.80647999999994</v>
      </c>
      <c r="FG66" s="13">
        <f t="shared" si="47"/>
        <v>57.5363506739358</v>
      </c>
      <c r="FH66" s="20">
        <f t="shared" si="22"/>
        <v>510.90543009043807</v>
      </c>
      <c r="FI66" s="59">
        <f t="shared" si="23"/>
        <v>795.71640482659177</v>
      </c>
      <c r="FJ66" s="59">
        <f ca="1">AVERAGE(OFFSET($FI$3,0,0,'Données projet'!$E$16+1,1))-AVERAGE(OFFSET($H$3,0,0,'Données projet'!$E$16+1,1))</f>
        <v>457.706832425622</v>
      </c>
      <c r="FK66" s="59">
        <f t="shared" si="48"/>
        <v>474.61768219844873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60.074341326588502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60.074341326588502</v>
      </c>
      <c r="FU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5.2</v>
      </c>
      <c r="FZ66" s="12">
        <f>IF('Données projet'!$A$244&gt;35,FZ65+FY66-GH65,IF(A66&lt;'Données projet'!$A$244,$FW$205^A66,IF(A66='Données projet'!$A$244,'Données projet'!$B$244,FZ65+FY66-GH65)))</f>
        <v>295.59999999999985</v>
      </c>
      <c r="GA66" s="17">
        <f>FZ66*VLOOKUP('Données projet'!$B$17,Paramètres!$A$1:$I$89,3,0)*VLOOKUP('Données projet'!$B$17,Paramètres!$A$1:$I$89,5,0)</f>
        <v>285.90431999999987</v>
      </c>
      <c r="GB66" s="13">
        <f t="shared" si="49"/>
        <v>68.21324199961451</v>
      </c>
      <c r="GC66" s="20">
        <f t="shared" si="25"/>
        <v>616.75475381599506</v>
      </c>
      <c r="GD66" s="59">
        <f t="shared" si="26"/>
        <v>901.56572855214881</v>
      </c>
      <c r="GE66" s="59">
        <f ca="1">AVERAGE(OFFSET($GD$3,0,0,'Données projet'!$E$17+1,1))-AVERAGE(OFFSET($H$3,0,0,'Données projet'!$E$17+1,1))</f>
        <v>428.11167311086814</v>
      </c>
      <c r="GF66" s="59">
        <f t="shared" si="50"/>
        <v>415.69449942923609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46.268322899201969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46.268322899201969</v>
      </c>
      <c r="GP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1.1368683772161603E-13</v>
      </c>
      <c r="GV66" s="17">
        <f>GU66*VLOOKUP('Données projet'!$B$18,Paramètres!$A$1:$I$89,3,0)*VLOOKUP('Données projet'!$B$18,Paramètres!$A$1:$I$89,5,0)</f>
        <v>6.5087988332379613E-14</v>
      </c>
      <c r="GW66" s="13">
        <f t="shared" si="51"/>
        <v>1.0279249680474958E-12</v>
      </c>
      <c r="GX66" s="20">
        <f t="shared" si="28"/>
        <v>1.9036642323616162E-12</v>
      </c>
      <c r="GY66" s="59">
        <f t="shared" si="29"/>
        <v>284.81097473615557</v>
      </c>
      <c r="GZ66" s="59">
        <f ca="1">AVERAGE(OFFSET($GY$3,0,0,'Données projet'!$E$18+1,1))-AVERAGE(OFFSET($H$3,0,0,'Données projet'!$E$18+1,1))</f>
        <v>249.88816678272056</v>
      </c>
      <c r="HA66" s="59">
        <f t="shared" si="52"/>
        <v>432.10802787437319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43.20383234286944</v>
      </c>
      <c r="HH66" s="21">
        <f>EXP(-LN(2)/25)*HH65+(1-EXP(-LN(2)/25))/(LN(2)/25)*Calculateur!HC66*Calculateur!HE66*VLOOKUP('Données projet'!$B$18,Paramètres!$A$1:$I$89,3,0)*0.475*44/12</f>
        <v>8.6171591502904494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51.820991493159887</v>
      </c>
    </row>
    <row r="67" spans="1:218" x14ac:dyDescent="0.3">
      <c r="A67" s="10">
        <f t="shared" si="31"/>
        <v>64</v>
      </c>
      <c r="B67" s="71">
        <f>'Scénario référence'!$B$16*5+'Scénario référence'!$B$17*0+'Scénario référence'!$B$18*5</f>
        <v>1.4000000000000001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5.1333333333333337</v>
      </c>
      <c r="H67" s="65">
        <f t="shared" si="1"/>
        <v>236.13333333333335</v>
      </c>
      <c r="I67" s="6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300.79999999999984</v>
      </c>
      <c r="O67" s="13">
        <f>N67*VLOOKUP('Données projet'!$B$9,Paramètres!$A$1:$I$89,3,0)*VLOOKUP('Données projet'!$B$9,Paramètres!$A$1:$I$89,5,0)</f>
        <v>239.3164799999999</v>
      </c>
      <c r="P67" s="13">
        <f t="shared" si="33"/>
        <v>58.292443422481945</v>
      </c>
      <c r="Q67" s="20">
        <f t="shared" ref="Q67:Q98" si="54">(O67+P67)*0.475*44/12</f>
        <v>518.33554162748919</v>
      </c>
      <c r="R67" s="59">
        <f t="shared" ref="R67:R130" si="55">Q67+(I67+J67)*44/12</f>
        <v>803.29436023216454</v>
      </c>
      <c r="S67" s="59">
        <f ca="1">AVERAGE(OFFSET($R$3,0,0,'Données projet'!$E$9+1,1))-AVERAGE(OFFSET($H$3,0,0,'Données projet'!$E$9+1,1))</f>
        <v>360.06385535620069</v>
      </c>
      <c r="T67" s="59">
        <f t="shared" si="34"/>
        <v>350.82516032456408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45.990570975104816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45.990570975104816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253.52495999999999</v>
      </c>
      <c r="AK67" s="13">
        <f t="shared" si="35"/>
        <v>61.340141798422209</v>
      </c>
      <c r="AL67" s="20">
        <f t="shared" si="4"/>
        <v>548.39005229891859</v>
      </c>
      <c r="AM67" s="59">
        <f t="shared" si="5"/>
        <v>833.34887090359393</v>
      </c>
      <c r="AN67" s="59">
        <f ca="1">AVERAGE(OFFSET($AM$3,0,0,'Données projet'!$E$10+1,1))-AVERAGE(OFFSET($H$3,0,0,'Données projet'!$E$10+1,1))</f>
        <v>448.65237942538027</v>
      </c>
      <c r="AO67" s="59">
        <f t="shared" si="36"/>
        <v>283.56749129825107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52.863351183632837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52.863351183632837</v>
      </c>
      <c r="AY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10.4</v>
      </c>
      <c r="BD67" s="12">
        <f>IF('Données projet'!$A$88&gt;35,BD66+BC67-BL66,IF(A67&lt;'Données projet'!$A$88,$BA$205^A67,IF(A67='Données projet'!$A$88,'Données projet'!$B$88,BD66+BC67-BL66)))</f>
        <v>283.59999999999997</v>
      </c>
      <c r="BE67" s="13">
        <f>BD67*VLOOKUP('Données projet'!$B$11,Paramètres!$A$1:$I$89,3,0)*VLOOKUP('Données projet'!$B$11,Paramètres!$A$1:$I$89,5,0)</f>
        <v>243.3288</v>
      </c>
      <c r="BF67" s="13">
        <f t="shared" si="37"/>
        <v>59.155162833418565</v>
      </c>
      <c r="BG67" s="20">
        <f t="shared" si="7"/>
        <v>526.82623526820396</v>
      </c>
      <c r="BH67" s="59">
        <f t="shared" si="8"/>
        <v>811.78505387287919</v>
      </c>
      <c r="BI67" s="59">
        <f ca="1">AVERAGE(OFFSET($BH$3,0,0,'Données projet'!$E$11+1,1))-AVERAGE(OFFSET($H$3,0,0,'Données projet'!$E$11+1,1))</f>
        <v>456.76871853389395</v>
      </c>
      <c r="BJ67" s="59">
        <f t="shared" si="38"/>
        <v>262.12425810289176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61.786956174935767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61.786956174935767</v>
      </c>
      <c r="BT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255.00000000000006</v>
      </c>
      <c r="BZ67" s="13">
        <f>BY67*VLOOKUP('Données projet'!$B$12,Paramètres!$A$1:$I$89,3,0)*VLOOKUP('Données projet'!$B$12,Paramètres!$A$1:$I$89,5,0)</f>
        <v>186.96600000000004</v>
      </c>
      <c r="CA67" s="13">
        <f t="shared" si="39"/>
        <v>46.868551400324648</v>
      </c>
      <c r="CB67" s="20">
        <f t="shared" si="10"/>
        <v>407.26184368889881</v>
      </c>
      <c r="CC67" s="59">
        <f t="shared" si="11"/>
        <v>692.22066229357415</v>
      </c>
      <c r="CD67" s="59">
        <f ca="1">AVERAGE(OFFSET($CC$3,0,0,'Données projet'!$E$12+1,1))-AVERAGE(OFFSET($H$3,0,0,'Données projet'!$E$12+1,1))</f>
        <v>242.65851607945316</v>
      </c>
      <c r="CE67" s="59">
        <f t="shared" si="40"/>
        <v>218.9349999985487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240.00000000000026</v>
      </c>
      <c r="CU67" s="17">
        <f>CT67*VLOOKUP('Données projet'!$B$13,Paramètres!$A$1:$I$89,3,0)*VLOOKUP('Données projet'!$B$13,Paramètres!$A$1:$I$89,5,0)</f>
        <v>209.66400000000024</v>
      </c>
      <c r="CV67" s="13">
        <f t="shared" si="41"/>
        <v>51.862154403304579</v>
      </c>
      <c r="CW67" s="20">
        <f t="shared" si="13"/>
        <v>455.49138558575584</v>
      </c>
      <c r="CX67" s="59">
        <f t="shared" si="14"/>
        <v>740.45020419043112</v>
      </c>
      <c r="CY67" s="59">
        <f ca="1">AVERAGE(OFFSET($CX$3,0,0,'Données projet'!$E$13+1,1))-AVERAGE(OFFSET($H$3,0,0,'Données projet'!$E$13+1,1))</f>
        <v>326.9460696675867</v>
      </c>
      <c r="CZ67" s="59">
        <f t="shared" si="42"/>
        <v>393.4020374592568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60.588115986913088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60.588115986913088</v>
      </c>
      <c r="DJ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9.1999999999999993</v>
      </c>
      <c r="DO67" s="12">
        <f>IF('Données projet'!$A$166&gt;35,DO66+DN67-DW66,IF(A67&lt;'Données projet'!$A$166,$DL$205^A67,IF(A67='Données projet'!$A$166,'Données projet'!$B$166,DO66+DN67-DW66)))</f>
        <v>309.80000000000018</v>
      </c>
      <c r="DP67" s="17">
        <f>DO67*VLOOKUP('Données projet'!$B$14,Paramètres!$A$1:$I$89,3,0)*VLOOKUP('Données projet'!$B$14,Paramètres!$A$1:$I$89,5,0)</f>
        <v>241.64400000000015</v>
      </c>
      <c r="DQ67" s="13">
        <f t="shared" si="43"/>
        <v>58.793104433546993</v>
      </c>
      <c r="DR67" s="20">
        <f t="shared" si="16"/>
        <v>523.26129022176121</v>
      </c>
      <c r="DS67" s="59">
        <f t="shared" si="17"/>
        <v>808.22010882643644</v>
      </c>
      <c r="DT67" s="59">
        <f ca="1">AVERAGE(OFFSET($DS$3,0,0,'Données projet'!$E$14+1,1))-AVERAGE(OFFSET($H$3,0,0,'Données projet'!$E$14+1,1))</f>
        <v>364.34528546733799</v>
      </c>
      <c r="DU67" s="59">
        <f t="shared" si="44"/>
        <v>346.5839763411152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55.960195070143826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55.960195070143826</v>
      </c>
      <c r="EE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201.7766399999999</v>
      </c>
      <c r="EL67" s="13">
        <f t="shared" si="45"/>
        <v>50.134418223627677</v>
      </c>
      <c r="EM67" s="20">
        <f t="shared" si="19"/>
        <v>438.74509307281801</v>
      </c>
      <c r="EN67" s="59">
        <f t="shared" si="20"/>
        <v>723.70391167749335</v>
      </c>
      <c r="EO67" s="59">
        <f ca="1">AVERAGE(OFFSET($EN$3,0,0,'Données projet'!$E$15+1,1))-AVERAGE(OFFSET($H$3,0,0,'Données projet'!$E$15+1,1))</f>
        <v>310.38232870602445</v>
      </c>
      <c r="EP67" s="59">
        <f t="shared" si="46"/>
        <v>303.45934457265537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38.776363763323673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38.776363763323673</v>
      </c>
      <c r="EZ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6.6</v>
      </c>
      <c r="FE67" s="12">
        <f>IF('Données projet'!$A$218&gt;35,FE66+FD67-FM66,IF(A67&lt;'Données projet'!$A$218,$FB$205^A67,IF(A67='Données projet'!$A$218,'Données projet'!$B$218,FE66+FD67-FM66)))</f>
        <v>254.39999999999995</v>
      </c>
      <c r="FF67" s="17">
        <f>FE67*VLOOKUP('Données projet'!$B$16,Paramètres!$A$1:$I$89,3,0)*VLOOKUP('Données projet'!$B$16,Paramètres!$A$1:$I$89,5,0)</f>
        <v>242.08703999999997</v>
      </c>
      <c r="FG67" s="13">
        <f t="shared" si="47"/>
        <v>58.888340776302016</v>
      </c>
      <c r="FH67" s="20">
        <f t="shared" si="22"/>
        <v>524.19878818539257</v>
      </c>
      <c r="FI67" s="59">
        <f t="shared" si="23"/>
        <v>809.1576067900678</v>
      </c>
      <c r="FJ67" s="59">
        <f ca="1">AVERAGE(OFFSET($FI$3,0,0,'Données projet'!$E$16+1,1))-AVERAGE(OFFSET($H$3,0,0,'Données projet'!$E$16+1,1))</f>
        <v>457.706832425622</v>
      </c>
      <c r="FK67" s="59">
        <f t="shared" si="48"/>
        <v>474.61768219844873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58.896320134904244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58.896320134904244</v>
      </c>
      <c r="FU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5.2</v>
      </c>
      <c r="FZ67" s="12">
        <f>IF('Données projet'!$A$244&gt;35,FZ66+FY67-GH66,IF(A67&lt;'Données projet'!$A$244,$FW$205^A67,IF(A67='Données projet'!$A$244,'Données projet'!$B$244,FZ66+FY67-GH66)))</f>
        <v>300.79999999999984</v>
      </c>
      <c r="GA67" s="17">
        <f>FZ67*VLOOKUP('Données projet'!$B$17,Paramètres!$A$1:$I$89,3,0)*VLOOKUP('Données projet'!$B$17,Paramètres!$A$1:$I$89,5,0)</f>
        <v>290.93375999999984</v>
      </c>
      <c r="GB67" s="13">
        <f t="shared" si="49"/>
        <v>69.272450197832413</v>
      </c>
      <c r="GC67" s="20">
        <f t="shared" si="25"/>
        <v>627.35914942789123</v>
      </c>
      <c r="GD67" s="59">
        <f t="shared" si="26"/>
        <v>912.31796803256657</v>
      </c>
      <c r="GE67" s="59">
        <f ca="1">AVERAGE(OFFSET($GD$3,0,0,'Données projet'!$E$17+1,1))-AVERAGE(OFFSET($H$3,0,0,'Données projet'!$E$17+1,1))</f>
        <v>428.11167311086814</v>
      </c>
      <c r="GF67" s="59">
        <f t="shared" si="50"/>
        <v>415.69449942923609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45.361029308039008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45.361029308039008</v>
      </c>
      <c r="GP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1.1368683772161603E-13</v>
      </c>
      <c r="GV67" s="17">
        <f>GU67*VLOOKUP('Données projet'!$B$18,Paramètres!$A$1:$I$89,3,0)*VLOOKUP('Données projet'!$B$18,Paramètres!$A$1:$I$89,5,0)</f>
        <v>6.5087988332379613E-14</v>
      </c>
      <c r="GW67" s="13">
        <f t="shared" si="51"/>
        <v>1.0279249680474958E-12</v>
      </c>
      <c r="GX67" s="20">
        <f t="shared" si="28"/>
        <v>1.9036642323616162E-12</v>
      </c>
      <c r="GY67" s="59">
        <f t="shared" si="29"/>
        <v>284.95881860467716</v>
      </c>
      <c r="GZ67" s="59">
        <f ca="1">AVERAGE(OFFSET($GY$3,0,0,'Données projet'!$E$18+1,1))-AVERAGE(OFFSET($H$3,0,0,'Données projet'!$E$18+1,1))</f>
        <v>249.88816678272056</v>
      </c>
      <c r="HA67" s="59">
        <f t="shared" si="52"/>
        <v>432.10802787437319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42.356631542361484</v>
      </c>
      <c r="HH67" s="21">
        <f>EXP(-LN(2)/25)*HH66+(1-EXP(-LN(2)/25))/(LN(2)/25)*Calculateur!HC67*Calculateur!HE67*VLOOKUP('Données projet'!$B$18,Paramètres!$A$1:$I$89,3,0)*0.475*44/12</f>
        <v>8.3815224801690515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50.738154022530537</v>
      </c>
    </row>
    <row r="68" spans="1:218" x14ac:dyDescent="0.3">
      <c r="A68" s="10">
        <f t="shared" si="31"/>
        <v>65</v>
      </c>
      <c r="B68" s="71">
        <f>'Scénario référence'!$B$16*5+'Scénario référence'!$B$17*0+'Scénario référence'!$B$18*5</f>
        <v>1.4000000000000001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5.1333333333333337</v>
      </c>
      <c r="H68" s="65">
        <f t="shared" ref="H68:H131" si="56">(B68+E68+F68)*44/12+(C68+D68)*0.475*44/12</f>
        <v>236.13333333333335</v>
      </c>
      <c r="I68" s="6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306</v>
      </c>
      <c r="L68" s="12">
        <f>VLOOKUP(A68,'Données projet'!$A$35:$I$55,9,0)</f>
        <v>5.2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305.99999999999983</v>
      </c>
      <c r="O68" s="13">
        <f>N68*VLOOKUP('Données projet'!$B$9,Paramètres!$A$1:$I$89,3,0)*VLOOKUP('Données projet'!$B$9,Paramètres!$A$1:$I$89,5,0)</f>
        <v>243.45359999999988</v>
      </c>
      <c r="P68" s="13">
        <f t="shared" si="33"/>
        <v>59.181970343065267</v>
      </c>
      <c r="Q68" s="20">
        <f t="shared" si="54"/>
        <v>527.09028501417163</v>
      </c>
      <c r="R68" s="59">
        <f t="shared" si="55"/>
        <v>812.19438272677917</v>
      </c>
      <c r="S68" s="59">
        <f ca="1">AVERAGE(OFFSET($R$3,0,0,'Données projet'!$E$9+1,1))-AVERAGE(OFFSET($H$3,0,0,'Données projet'!$E$9+1,1))</f>
        <v>360.06385535620069</v>
      </c>
      <c r="T68" s="59">
        <f t="shared" si="34"/>
        <v>350.82516032456408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13</v>
      </c>
      <c r="W68" s="16">
        <f>IF(ISNA(VLOOKUP(A68,'Données projet'!$A$35:$I$55,5,0)),0%,VLOOKUP(A68,'Données projet'!$A$35:$I$55,5,0)*VLOOKUP('Données projet'!$B$9,Paramètres!$A$1:$I$89,7,0))</f>
        <v>0.53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51.148563221721147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51.148563221721147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261.48719999999997</v>
      </c>
      <c r="AK68" s="13">
        <f t="shared" si="35"/>
        <v>63.039283586802391</v>
      </c>
      <c r="AL68" s="20">
        <f t="shared" ref="AL68:AL131" si="58">(AJ68+AK68)*0.475*44/12</f>
        <v>565.21695891368086</v>
      </c>
      <c r="AM68" s="59">
        <f t="shared" ref="AM68:AM131" si="59">AL68+(AD68+AE68)*44/12</f>
        <v>850.32105662628828</v>
      </c>
      <c r="AN68" s="59">
        <f ca="1">AVERAGE(OFFSET($AM$3,0,0,'Données projet'!$E$10+1,1))-AVERAGE(OFFSET($H$3,0,0,'Données projet'!$E$10+1,1))</f>
        <v>448.65237942538027</v>
      </c>
      <c r="AO68" s="59">
        <f t="shared" si="36"/>
        <v>283.56749129825107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63.869497487175259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63.869497487175259</v>
      </c>
      <c r="AY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294</v>
      </c>
      <c r="BB68" s="12">
        <f>VLOOKUP(A68,'Données projet'!$A$87:$I$107,9,0)</f>
        <v>10.4</v>
      </c>
      <c r="BC68" s="12">
        <f t="array" ref="BC68">INDEX(BB:BB,MIN(IF(ISNUMBER(BB68:BB264),ROW(BB68:BB264),"")))</f>
        <v>10.4</v>
      </c>
      <c r="BD68" s="12">
        <f>IF('Données projet'!$A$88&gt;35,BD67+BC68-BL67,IF(A68&lt;'Données projet'!$A$88,$BA$205^A68,IF(A68='Données projet'!$A$88,'Données projet'!$B$88,BD67+BC68-BL67)))</f>
        <v>293.99999999999994</v>
      </c>
      <c r="BE68" s="13">
        <f>BD68*VLOOKUP('Données projet'!$B$11,Paramètres!$A$1:$I$89,3,0)*VLOOKUP('Données projet'!$B$11,Paramètres!$A$1:$I$89,5,0)</f>
        <v>252.25199999999998</v>
      </c>
      <c r="BF68" s="13">
        <f t="shared" si="37"/>
        <v>61.067920784150822</v>
      </c>
      <c r="BG68" s="20">
        <f t="shared" ref="BG68:BG131" si="61">(BE68+BF68)*0.475*44/12</f>
        <v>545.69886203239594</v>
      </c>
      <c r="BH68" s="59">
        <f t="shared" ref="BH68:BH131" si="62">BG68+(AY68+AZ68)*44/12</f>
        <v>830.80295974500336</v>
      </c>
      <c r="BI68" s="59">
        <f ca="1">AVERAGE(OFFSET($BH$3,0,0,'Données projet'!$E$11+1,1))-AVERAGE(OFFSET($H$3,0,0,'Données projet'!$E$11+1,1))</f>
        <v>456.76871853389395</v>
      </c>
      <c r="BJ68" s="59">
        <f t="shared" si="38"/>
        <v>262.12425810289176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74.650996461554115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74.650996461554115</v>
      </c>
      <c r="BT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255.00000000000006</v>
      </c>
      <c r="BZ68" s="13">
        <f>BY68*VLOOKUP('Données projet'!$B$12,Paramètres!$A$1:$I$89,3,0)*VLOOKUP('Données projet'!$B$12,Paramètres!$A$1:$I$89,5,0)</f>
        <v>186.96600000000004</v>
      </c>
      <c r="CA68" s="13">
        <f t="shared" si="39"/>
        <v>46.868551400324648</v>
      </c>
      <c r="CB68" s="20">
        <f t="shared" ref="CB68:CB131" si="64">(BZ68+CA68)*0.475*44/12</f>
        <v>407.26184368889881</v>
      </c>
      <c r="CC68" s="59">
        <f t="shared" ref="CC68:CC131" si="65">CB68+(BT68+BU68)*44/12</f>
        <v>692.36594140150623</v>
      </c>
      <c r="CD68" s="59">
        <f ca="1">AVERAGE(OFFSET($CC$3,0,0,'Données projet'!$E$12+1,1))-AVERAGE(OFFSET($H$3,0,0,'Données projet'!$E$12+1,1))</f>
        <v>242.65851607945316</v>
      </c>
      <c r="CE68" s="59">
        <f t="shared" si="40"/>
        <v>218.9349999985487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246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246.00000000000026</v>
      </c>
      <c r="CU68" s="17">
        <f>CT68*VLOOKUP('Données projet'!$B$13,Paramètres!$A$1:$I$89,3,0)*VLOOKUP('Données projet'!$B$13,Paramètres!$A$1:$I$89,5,0)</f>
        <v>214.90560000000025</v>
      </c>
      <c r="CV68" s="13">
        <f t="shared" si="41"/>
        <v>53.006137800892375</v>
      </c>
      <c r="CW68" s="20">
        <f t="shared" ref="CW68:CW131" si="67">(CU68+CV68)*0.475*44/12</f>
        <v>466.61294333655468</v>
      </c>
      <c r="CX68" s="59">
        <f t="shared" ref="CX68:CX131" si="68">CW68+(CO68+CP68)*44/12</f>
        <v>751.71704104916216</v>
      </c>
      <c r="CY68" s="59">
        <f ca="1">AVERAGE(OFFSET($CX$3,0,0,'Données projet'!$E$13+1,1))-AVERAGE(OFFSET($H$3,0,0,'Données projet'!$E$13+1,1))</f>
        <v>326.9460696675867</v>
      </c>
      <c r="CZ68" s="59">
        <f t="shared" si="42"/>
        <v>393.4020374592568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23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68.951177941519717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68.951177941519717</v>
      </c>
      <c r="DJ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319</v>
      </c>
      <c r="DM68" s="12">
        <f>VLOOKUP(A68,'Données projet'!$A$165:$I$185,9,0)</f>
        <v>9.1999999999999993</v>
      </c>
      <c r="DN68" s="12">
        <f t="array" ref="DN68">INDEX(DM:DM,MIN(IF(ISNUMBER(DM68:DM264),ROW(DM68:DM264),"")))</f>
        <v>9.1999999999999993</v>
      </c>
      <c r="DO68" s="12">
        <f>IF('Données projet'!$A$166&gt;35,DO67+DN68-DW67,IF(A68&lt;'Données projet'!$A$166,$DL$205^A68,IF(A68='Données projet'!$A$166,'Données projet'!$B$166,DO67+DN68-DW67)))</f>
        <v>319.00000000000017</v>
      </c>
      <c r="DP68" s="17">
        <f>DO68*VLOOKUP('Données projet'!$B$14,Paramètres!$A$1:$I$89,3,0)*VLOOKUP('Données projet'!$B$14,Paramètres!$A$1:$I$89,5,0)</f>
        <v>248.82000000000014</v>
      </c>
      <c r="DQ68" s="13">
        <f t="shared" si="43"/>
        <v>60.333192077890068</v>
      </c>
      <c r="DR68" s="20">
        <f t="shared" ref="DR68:DR131" si="70">(DP68+DQ68)*0.475*44/12</f>
        <v>538.44180953565876</v>
      </c>
      <c r="DS68" s="59">
        <f t="shared" ref="DS68:DS131" si="71">DR68+(DJ68+DK68)*44/12</f>
        <v>823.5459072482663</v>
      </c>
      <c r="DT68" s="59">
        <f ca="1">AVERAGE(OFFSET($DS$3,0,0,'Données projet'!$E$14+1,1))-AVERAGE(OFFSET($H$3,0,0,'Données projet'!$E$14+1,1))</f>
        <v>364.34528546733799</v>
      </c>
      <c r="DU68" s="59">
        <f t="shared" si="44"/>
        <v>346.5839763411152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37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68.581516093095019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68.581516093095019</v>
      </c>
      <c r="EE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205.26479999999989</v>
      </c>
      <c r="EL68" s="13">
        <f t="shared" si="45"/>
        <v>50.899455886133694</v>
      </c>
      <c r="EM68" s="20">
        <f t="shared" ref="EM68:EM131" si="73">(EK68+EL68)*0.475*44/12</f>
        <v>446.15274566834927</v>
      </c>
      <c r="EN68" s="59">
        <f t="shared" ref="EN68:EN131" si="74">EM68+(EE68+EF68)*44/12</f>
        <v>731.25684338095675</v>
      </c>
      <c r="EO68" s="59">
        <f ca="1">AVERAGE(OFFSET($EN$3,0,0,'Données projet'!$E$15+1,1))-AVERAGE(OFFSET($H$3,0,0,'Données projet'!$E$15+1,1))</f>
        <v>310.38232870602445</v>
      </c>
      <c r="EP68" s="59">
        <f t="shared" si="46"/>
        <v>303.45934457265537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43.125259186941364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43.125259186941364</v>
      </c>
      <c r="EZ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261</v>
      </c>
      <c r="FC68" s="12">
        <f>VLOOKUP(A68,'Données projet'!$A$217:$I$237,9,0)</f>
        <v>6.6</v>
      </c>
      <c r="FD68" s="12">
        <f t="array" ref="FD68">INDEX(FC:FC,MIN(IF(ISNUMBER(FC68:FC264),ROW(FC68:FC264),"")))</f>
        <v>6.6</v>
      </c>
      <c r="FE68" s="12">
        <f>IF('Données projet'!$A$218&gt;35,FE67+FD68-FM67,IF(A68&lt;'Données projet'!$A$218,$FB$205^A68,IF(A68='Données projet'!$A$218,'Données projet'!$B$218,FE67+FD68-FM67)))</f>
        <v>260.99999999999994</v>
      </c>
      <c r="FF68" s="17">
        <f>FE68*VLOOKUP('Données projet'!$B$16,Paramètres!$A$1:$I$89,3,0)*VLOOKUP('Données projet'!$B$16,Paramètres!$A$1:$I$89,5,0)</f>
        <v>248.36759999999992</v>
      </c>
      <c r="FG68" s="13">
        <f t="shared" si="47"/>
        <v>60.236253798706286</v>
      </c>
      <c r="FH68" s="20">
        <f t="shared" ref="FH68:FH131" si="76">(FF68+FG68)*0.475*44/12</f>
        <v>537.48504536607993</v>
      </c>
      <c r="FI68" s="59">
        <f t="shared" ref="FI68:FI131" si="77">FH68+(EZ68+FA68)*44/12</f>
        <v>822.58914307868736</v>
      </c>
      <c r="FJ68" s="59">
        <f ca="1">AVERAGE(OFFSET($FI$3,0,0,'Données projet'!$E$16+1,1))-AVERAGE(OFFSET($H$3,0,0,'Données projet'!$E$16+1,1))</f>
        <v>457.706832425622</v>
      </c>
      <c r="FK68" s="59">
        <f t="shared" si="48"/>
        <v>474.61768219844873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29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70.859410416416466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70.859410416416466</v>
      </c>
      <c r="FU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306</v>
      </c>
      <c r="FX68" s="12">
        <f>VLOOKUP(A68,'Données projet'!$A$243:$I$263,9,0)</f>
        <v>5.2</v>
      </c>
      <c r="FY68" s="12">
        <f t="array" ref="FY68">INDEX(FX:FX,MIN(IF(ISNUMBER(FX68:FX264),ROW(FX68:FX264),"")))</f>
        <v>5.2</v>
      </c>
      <c r="FZ68" s="12">
        <f>IF('Données projet'!$A$244&gt;35,FZ67+FY68-GH67,IF(A68&lt;'Données projet'!$A$244,$FW$205^A68,IF(A68='Données projet'!$A$244,'Données projet'!$B$244,FZ67+FY68-GH67)))</f>
        <v>305.99999999999983</v>
      </c>
      <c r="GA68" s="17">
        <f>FZ68*VLOOKUP('Données projet'!$B$17,Paramètres!$A$1:$I$89,3,0)*VLOOKUP('Données projet'!$B$17,Paramètres!$A$1:$I$89,5,0)</f>
        <v>295.96319999999986</v>
      </c>
      <c r="GB68" s="13">
        <f t="shared" si="49"/>
        <v>70.329529052104192</v>
      </c>
      <c r="GC68" s="20">
        <f t="shared" ref="GC68:GC131" si="79">(GA68+GB68)*0.475*44/12</f>
        <v>637.95983643241459</v>
      </c>
      <c r="GD68" s="59">
        <f t="shared" ref="GD68:GD131" si="80">GC68+(FU68+FV68)*44/12</f>
        <v>923.06393414502213</v>
      </c>
      <c r="GE68" s="59">
        <f ca="1">AVERAGE(OFFSET($GD$3,0,0,'Données projet'!$E$17+1,1))-AVERAGE(OFFSET($H$3,0,0,'Données projet'!$E$17+1,1))</f>
        <v>428.11167311086814</v>
      </c>
      <c r="GF68" s="59">
        <f t="shared" si="50"/>
        <v>415.69449942923609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13</v>
      </c>
      <c r="GI68" s="16">
        <f>IF(ISNA(VLOOKUP(A68,'Données projet'!$A$243:$I$263,5,0)),0%,VLOOKUP(A68,'Données projet'!$A$243:$I$263,5,0)*VLOOKUP('Données projet'!$B$17,Paramètres!$A$1:$I$89,7,0))</f>
        <v>0.43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50.448416407365372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50.448416407365372</v>
      </c>
      <c r="GP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1.1368683772161603E-13</v>
      </c>
      <c r="GV68" s="17">
        <f>GU68*VLOOKUP('Données projet'!$B$18,Paramètres!$A$1:$I$89,3,0)*VLOOKUP('Données projet'!$B$18,Paramètres!$A$1:$I$89,5,0)</f>
        <v>6.5087988332379613E-14</v>
      </c>
      <c r="GW68" s="13">
        <f t="shared" si="51"/>
        <v>1.0279249680474958E-12</v>
      </c>
      <c r="GX68" s="20">
        <f t="shared" ref="GX68:GX131" si="82">(GV68+GW68)*0.475*44/12</f>
        <v>1.9036642323616162E-12</v>
      </c>
      <c r="GY68" s="59">
        <f t="shared" ref="GY68:GY131" si="83">GX68+(GP68+GQ68)*44/12</f>
        <v>285.10409771260936</v>
      </c>
      <c r="GZ68" s="59">
        <f ca="1">AVERAGE(OFFSET($GY$3,0,0,'Données projet'!$E$18+1,1))-AVERAGE(OFFSET($H$3,0,0,'Données projet'!$E$18+1,1))</f>
        <v>249.88816678272056</v>
      </c>
      <c r="HA68" s="59">
        <f t="shared" si="52"/>
        <v>432.10802787437319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41.526043832810025</v>
      </c>
      <c r="HH68" s="21">
        <f>EXP(-LN(2)/25)*HH67+(1-EXP(-LN(2)/25))/(LN(2)/25)*Calculateur!HC68*Calculateur!HE68*VLOOKUP('Données projet'!$B$18,Paramètres!$A$1:$I$89,3,0)*0.475*44/12</f>
        <v>8.1523293071837184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49.678373139993745</v>
      </c>
    </row>
    <row r="69" spans="1:218" x14ac:dyDescent="0.3">
      <c r="A69" s="10">
        <f t="shared" ref="A69:A132" si="85">A68+1</f>
        <v>66</v>
      </c>
      <c r="B69" s="71">
        <f>'Scénario référence'!$B$16*5+'Scénario référence'!$B$17*0+'Scénario référence'!$B$18*5</f>
        <v>1.4000000000000001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5.1333333333333337</v>
      </c>
      <c r="H69" s="65">
        <f t="shared" si="56"/>
        <v>236.13333333333335</v>
      </c>
      <c r="I69" s="6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4.5999999999999996</v>
      </c>
      <c r="N69" s="13">
        <f>IF('Données projet'!$A$36&gt;35,N68+M69-V68,IF(A69&lt;'Données projet'!$A$36,$K$205^A69,IF(A69='Données projet'!$A$36,'Données projet'!$B$36,N68+M69-V68)))</f>
        <v>297.59999999999985</v>
      </c>
      <c r="O69" s="13">
        <f>N69*VLOOKUP('Données projet'!$B$9,Paramètres!$A$1:$I$89,3,0)*VLOOKUP('Données projet'!$B$9,Paramètres!$A$1:$I$89,5,0)</f>
        <v>236.7705599999999</v>
      </c>
      <c r="P69" s="13">
        <f t="shared" ref="P69:P132" si="87">EXP(-1.0587+0.8836*LN(O69)+0.284)</f>
        <v>57.744153841586879</v>
      </c>
      <c r="Q69" s="20">
        <f t="shared" si="54"/>
        <v>512.9464599407637</v>
      </c>
      <c r="R69" s="59">
        <f t="shared" si="55"/>
        <v>798.19331649357605</v>
      </c>
      <c r="S69" s="59">
        <f ca="1">AVERAGE(OFFSET($R$3,0,0,'Données projet'!$E$9+1,1))-AVERAGE(OFFSET($H$3,0,0,'Données projet'!$E$9+1,1))</f>
        <v>360.06385535620069</v>
      </c>
      <c r="T69" s="59">
        <f t="shared" ref="T69:T132" si="88">$T$3</f>
        <v>350.82516032456408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50.145571094486257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50.145571094486257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243.57216</v>
      </c>
      <c r="AK69" s="13">
        <f t="shared" ref="AK69:AK132" si="89">EXP(-1.0587+0.8836*LN(AJ69)+0.284)</f>
        <v>59.207435995642292</v>
      </c>
      <c r="AL69" s="20">
        <f t="shared" si="58"/>
        <v>527.34112969241028</v>
      </c>
      <c r="AM69" s="59">
        <f t="shared" si="59"/>
        <v>812.58798624522274</v>
      </c>
      <c r="AN69" s="59">
        <f ca="1">AVERAGE(OFFSET($AM$3,0,0,'Données projet'!$E$10+1,1))-AVERAGE(OFFSET($H$3,0,0,'Données projet'!$E$10+1,1))</f>
        <v>448.65237942538027</v>
      </c>
      <c r="AO69" s="59">
        <f t="shared" ref="AO69:AO132" si="90">$AO$3</f>
        <v>283.56749129825107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62.617055597998579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62.617055597998579</v>
      </c>
      <c r="AY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</v>
      </c>
      <c r="BD69" s="12">
        <f>IF('Données projet'!$A$88&gt;35,BD68+BC69-BL68,IF(A69&lt;'Données projet'!$A$88,$BA$205^A69,IF(A69='Données projet'!$A$88,'Données projet'!$B$88,BD68+BC69-BL68)))</f>
        <v>275.99999999999994</v>
      </c>
      <c r="BE69" s="13">
        <f>BD69*VLOOKUP('Données projet'!$B$11,Paramètres!$A$1:$I$89,3,0)*VLOOKUP('Données projet'!$B$11,Paramètres!$A$1:$I$89,5,0)</f>
        <v>236.80799999999999</v>
      </c>
      <c r="BF69" s="13">
        <f t="shared" ref="BF69:BF132" si="91">EXP(-1.0587+0.8836*LN(BE69)+0.284)</f>
        <v>57.752221878398714</v>
      </c>
      <c r="BG69" s="20">
        <f t="shared" si="61"/>
        <v>513.02571977154435</v>
      </c>
      <c r="BH69" s="59">
        <f t="shared" si="62"/>
        <v>798.27257632435681</v>
      </c>
      <c r="BI69" s="59">
        <f ca="1">AVERAGE(OFFSET($BH$3,0,0,'Données projet'!$E$11+1,1))-AVERAGE(OFFSET($H$3,0,0,'Données projet'!$E$11+1,1))</f>
        <v>456.76871853389395</v>
      </c>
      <c r="BJ69" s="59">
        <f t="shared" ref="BJ69:BJ132" si="92">$BJ$3</f>
        <v>262.12425810289176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73.187135953554915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73.187135953554915</v>
      </c>
      <c r="BT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255.00000000000006</v>
      </c>
      <c r="BZ69" s="13">
        <f>BY69*VLOOKUP('Données projet'!$B$12,Paramètres!$A$1:$I$89,3,0)*VLOOKUP('Données projet'!$B$12,Paramètres!$A$1:$I$89,5,0)</f>
        <v>186.96600000000004</v>
      </c>
      <c r="CA69" s="13">
        <f t="shared" ref="CA69:CA132" si="93">EXP(-1.0587+0.8836*LN(BZ69)+0.284)</f>
        <v>46.868551400324648</v>
      </c>
      <c r="CB69" s="20">
        <f t="shared" si="64"/>
        <v>407.26184368889881</v>
      </c>
      <c r="CC69" s="59">
        <f t="shared" si="65"/>
        <v>692.50870024171127</v>
      </c>
      <c r="CD69" s="59">
        <f ca="1">AVERAGE(OFFSET($CC$3,0,0,'Données projet'!$E$12+1,1))-AVERAGE(OFFSET($H$3,0,0,'Données projet'!$E$12+1,1))</f>
        <v>242.65851607945316</v>
      </c>
      <c r="CE69" s="59">
        <f t="shared" ref="CE69:CE132" si="94">$CE$3</f>
        <v>218.9349999985487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228.20000000000024</v>
      </c>
      <c r="CU69" s="17">
        <f>CT69*VLOOKUP('Données projet'!$B$13,Paramètres!$A$1:$I$89,3,0)*VLOOKUP('Données projet'!$B$13,Paramètres!$A$1:$I$89,5,0)</f>
        <v>199.35552000000024</v>
      </c>
      <c r="CV69" s="13">
        <f t="shared" ref="CV69:CV132" si="95">EXP(-1.0587+0.8836*LN(CU69)+0.284)</f>
        <v>49.602503932783272</v>
      </c>
      <c r="CW69" s="20">
        <f t="shared" si="67"/>
        <v>433.60189168293124</v>
      </c>
      <c r="CX69" s="59">
        <f t="shared" si="68"/>
        <v>718.84874823574364</v>
      </c>
      <c r="CY69" s="59">
        <f ca="1">AVERAGE(OFFSET($CX$3,0,0,'Données projet'!$E$13+1,1))-AVERAGE(OFFSET($H$3,0,0,'Données projet'!$E$13+1,1))</f>
        <v>326.9460696675867</v>
      </c>
      <c r="CZ69" s="59">
        <f t="shared" ref="CZ69:CZ132" si="96">$CZ$3</f>
        <v>393.4020374592568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67.599087398152363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67.599087398152363</v>
      </c>
      <c r="DJ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</v>
      </c>
      <c r="DO69" s="12">
        <f>IF('Données projet'!$A$166&gt;35,DO68+DN69-DW68,IF(A69&lt;'Données projet'!$A$166,$DL$205^A69,IF(A69='Données projet'!$A$166,'Données projet'!$B$166,DO68+DN69-DW68)))</f>
        <v>291.00000000000017</v>
      </c>
      <c r="DP69" s="17">
        <f>DO69*VLOOKUP('Données projet'!$B$14,Paramètres!$A$1:$I$89,3,0)*VLOOKUP('Données projet'!$B$14,Paramètres!$A$1:$I$89,5,0)</f>
        <v>226.98000000000013</v>
      </c>
      <c r="DQ69" s="13">
        <f t="shared" ref="DQ69:DQ132" si="97">EXP(-1.0587+0.8836*LN(DP69)+0.284)</f>
        <v>55.629185455335978</v>
      </c>
      <c r="DR69" s="20">
        <f t="shared" si="70"/>
        <v>492.21099800137699</v>
      </c>
      <c r="DS69" s="59">
        <f t="shared" si="71"/>
        <v>777.45785455418945</v>
      </c>
      <c r="DT69" s="59">
        <f ca="1">AVERAGE(OFFSET($DS$3,0,0,'Données projet'!$E$14+1,1))-AVERAGE(OFFSET($H$3,0,0,'Données projet'!$E$14+1,1))</f>
        <v>364.34528546733799</v>
      </c>
      <c r="DU69" s="59">
        <f t="shared" ref="DU69:DU132" si="98">$DU$3</f>
        <v>346.5839763411152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67.236674393103812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67.236674393103812</v>
      </c>
      <c r="EE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199.63007999999991</v>
      </c>
      <c r="EL69" s="13">
        <f t="shared" ref="EL69:EL132" si="99">EXP(-1.0587+0.8836*LN(EK69)+0.284)</f>
        <v>49.662861748339331</v>
      </c>
      <c r="EM69" s="20">
        <f t="shared" si="73"/>
        <v>434.18520687835752</v>
      </c>
      <c r="EN69" s="59">
        <f t="shared" si="74"/>
        <v>719.43206343116992</v>
      </c>
      <c r="EO69" s="59">
        <f ca="1">AVERAGE(OFFSET($EN$3,0,0,'Données projet'!$E$15+1,1))-AVERAGE(OFFSET($H$3,0,0,'Données projet'!$E$15+1,1))</f>
        <v>310.38232870602445</v>
      </c>
      <c r="EP69" s="59">
        <f t="shared" ref="EP69:EP132" si="100">$EP$3</f>
        <v>303.45934457265537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42.279599158096261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42.279599158096261</v>
      </c>
      <c r="EZ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6.2</v>
      </c>
      <c r="FE69" s="12">
        <f>IF('Données projet'!$A$218&gt;35,FE68+FD69-FM68,IF(A69&lt;'Données projet'!$A$218,$FB$205^A69,IF(A69='Données projet'!$A$218,'Données projet'!$B$218,FE68+FD69-FM68)))</f>
        <v>238.19999999999993</v>
      </c>
      <c r="FF69" s="17">
        <f>FE69*VLOOKUP('Données projet'!$B$16,Paramètres!$A$1:$I$89,3,0)*VLOOKUP('Données projet'!$B$16,Paramètres!$A$1:$I$89,5,0)</f>
        <v>226.67111999999995</v>
      </c>
      <c r="FG69" s="13">
        <f t="shared" ref="FG69:FG132" si="101">EXP(-1.0587+0.8836*LN(FF69)+0.284)</f>
        <v>55.562290245986702</v>
      </c>
      <c r="FH69" s="20">
        <f t="shared" si="76"/>
        <v>491.55652284509341</v>
      </c>
      <c r="FI69" s="59">
        <f t="shared" si="77"/>
        <v>776.80337939790581</v>
      </c>
      <c r="FJ69" s="59">
        <f ca="1">AVERAGE(OFFSET($FI$3,0,0,'Données projet'!$E$16+1,1))-AVERAGE(OFFSET($H$3,0,0,'Données projet'!$E$16+1,1))</f>
        <v>457.706832425622</v>
      </c>
      <c r="FK69" s="59">
        <f t="shared" ref="FK69:FK132" si="102">$FK$3</f>
        <v>474.61768219844873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69.469900598123274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69.469900598123274</v>
      </c>
      <c r="FU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4.5999999999999996</v>
      </c>
      <c r="FZ69" s="12">
        <f>IF('Données projet'!$A$244&gt;35,FZ68+FY69-GH68,IF(A69&lt;'Données projet'!$A$244,$FW$205^A69,IF(A69='Données projet'!$A$244,'Données projet'!$B$244,FZ68+FY69-GH68)))</f>
        <v>297.59999999999985</v>
      </c>
      <c r="GA69" s="17">
        <f>FZ69*VLOOKUP('Données projet'!$B$17,Paramètres!$A$1:$I$89,3,0)*VLOOKUP('Données projet'!$B$17,Paramètres!$A$1:$I$89,5,0)</f>
        <v>287.83871999999985</v>
      </c>
      <c r="GB69" s="13">
        <f t="shared" ref="GB69:GB132" si="103">EXP(-1.0587+0.8836*LN(GA69)+0.284)</f>
        <v>68.620884395190288</v>
      </c>
      <c r="GC69" s="20">
        <f t="shared" si="79"/>
        <v>620.83381098828943</v>
      </c>
      <c r="GD69" s="59">
        <f t="shared" si="80"/>
        <v>906.08066754110177</v>
      </c>
      <c r="GE69" s="59">
        <f ca="1">AVERAGE(OFFSET($GD$3,0,0,'Données projet'!$E$17+1,1))-AVERAGE(OFFSET($H$3,0,0,'Données projet'!$E$17+1,1))</f>
        <v>428.11167311086814</v>
      </c>
      <c r="GF69" s="59">
        <f t="shared" ref="GF69:GF132" si="104">$GF$3</f>
        <v>415.69449942923609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49.459153732112611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49.459153732112611</v>
      </c>
      <c r="GP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1.1368683772161603E-13</v>
      </c>
      <c r="GV69" s="17">
        <f>GU69*VLOOKUP('Données projet'!$B$18,Paramètres!$A$1:$I$89,3,0)*VLOOKUP('Données projet'!$B$18,Paramètres!$A$1:$I$89,5,0)</f>
        <v>6.5087988332379613E-14</v>
      </c>
      <c r="GW69" s="13">
        <f t="shared" ref="GW69:GW132" si="105">EXP(-1.0587+0.8836*LN(GV69)+0.284)</f>
        <v>1.0279249680474958E-12</v>
      </c>
      <c r="GX69" s="20">
        <f t="shared" si="82"/>
        <v>1.9036642323616162E-12</v>
      </c>
      <c r="GY69" s="59">
        <f t="shared" si="83"/>
        <v>285.24685655281428</v>
      </c>
      <c r="GZ69" s="59">
        <f ca="1">AVERAGE(OFFSET($GY$3,0,0,'Données projet'!$E$18+1,1))-AVERAGE(OFFSET($H$3,0,0,'Données projet'!$E$18+1,1))</f>
        <v>249.88816678272056</v>
      </c>
      <c r="HA69" s="59">
        <f t="shared" ref="HA69:HA132" si="106">$HA$3</f>
        <v>432.10802787437319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40.71174344163439</v>
      </c>
      <c r="HH69" s="21">
        <f>EXP(-LN(2)/25)*HH68+(1-EXP(-LN(2)/25))/(LN(2)/25)*Calculateur!HC69*Calculateur!HE69*VLOOKUP('Données projet'!$B$18,Paramètres!$A$1:$I$89,3,0)*0.475*44/12</f>
        <v>7.9294034335664136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48.641146875200803</v>
      </c>
    </row>
    <row r="70" spans="1:218" x14ac:dyDescent="0.3">
      <c r="A70" s="10">
        <f t="shared" si="85"/>
        <v>67</v>
      </c>
      <c r="B70" s="71">
        <f>'Scénario référence'!$B$16*5+'Scénario référence'!$B$17*0+'Scénario référence'!$B$18*5</f>
        <v>1.4000000000000001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5.1333333333333337</v>
      </c>
      <c r="H70" s="65">
        <f t="shared" si="56"/>
        <v>236.13333333333335</v>
      </c>
      <c r="I70" s="6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4.5999999999999996</v>
      </c>
      <c r="N70" s="13">
        <f>IF('Données projet'!$A$36&gt;35,N69+M70-V69,IF(A70&lt;'Données projet'!$A$36,$K$205^A70,IF(A70='Données projet'!$A$36,'Données projet'!$B$36,N69+M70-V69)))</f>
        <v>302.19999999999987</v>
      </c>
      <c r="O70" s="13">
        <f>N70*VLOOKUP('Données projet'!$B$9,Paramètres!$A$1:$I$89,3,0)*VLOOKUP('Données projet'!$B$9,Paramètres!$A$1:$I$89,5,0)</f>
        <v>240.43031999999991</v>
      </c>
      <c r="P70" s="13">
        <f t="shared" si="87"/>
        <v>58.532106271380506</v>
      </c>
      <c r="Q70" s="20">
        <f t="shared" si="54"/>
        <v>520.69289242265415</v>
      </c>
      <c r="R70" s="59">
        <f t="shared" si="55"/>
        <v>806.08003126895483</v>
      </c>
      <c r="S70" s="59">
        <f ca="1">AVERAGE(OFFSET($R$3,0,0,'Données projet'!$E$9+1,1))-AVERAGE(OFFSET($H$3,0,0,'Données projet'!$E$9+1,1))</f>
        <v>360.06385535620069</v>
      </c>
      <c r="T70" s="59">
        <f t="shared" si="88"/>
        <v>350.82516032456408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49.162247031101657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49.162247031101657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250.99151999999995</v>
      </c>
      <c r="AK70" s="13">
        <f t="shared" si="89"/>
        <v>60.798211000769406</v>
      </c>
      <c r="AL70" s="20">
        <f t="shared" si="58"/>
        <v>543.03378149300659</v>
      </c>
      <c r="AM70" s="59">
        <f t="shared" si="59"/>
        <v>828.42092033930726</v>
      </c>
      <c r="AN70" s="59">
        <f ca="1">AVERAGE(OFFSET($AM$3,0,0,'Données projet'!$E$10+1,1))-AVERAGE(OFFSET($H$3,0,0,'Données projet'!$E$10+1,1))</f>
        <v>448.65237942538027</v>
      </c>
      <c r="AO70" s="59">
        <f t="shared" si="90"/>
        <v>283.56749129825107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61.389173330354531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61.389173330354531</v>
      </c>
      <c r="AY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</v>
      </c>
      <c r="BD70" s="12">
        <f>IF('Données projet'!$A$88&gt;35,BD69+BC70-BL69,IF(A70&lt;'Données projet'!$A$88,$BA$205^A70,IF(A70='Données projet'!$A$88,'Données projet'!$B$88,BD69+BC70-BL69)))</f>
        <v>285.99999999999994</v>
      </c>
      <c r="BE70" s="13">
        <f>BD70*VLOOKUP('Données projet'!$B$11,Paramètres!$A$1:$I$89,3,0)*VLOOKUP('Données projet'!$B$11,Paramètres!$A$1:$I$89,5,0)</f>
        <v>245.38799999999998</v>
      </c>
      <c r="BF70" s="13">
        <f t="shared" si="91"/>
        <v>59.597282764919569</v>
      </c>
      <c r="BG70" s="20">
        <f t="shared" si="61"/>
        <v>531.18270081556818</v>
      </c>
      <c r="BH70" s="59">
        <f t="shared" si="62"/>
        <v>816.56983966186885</v>
      </c>
      <c r="BI70" s="59">
        <f ca="1">AVERAGE(OFFSET($BH$3,0,0,'Données projet'!$E$11+1,1))-AVERAGE(OFFSET($H$3,0,0,'Données projet'!$E$11+1,1))</f>
        <v>456.76871853389395</v>
      </c>
      <c r="BJ70" s="59">
        <f t="shared" si="92"/>
        <v>262.12425810289176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71.751980857250828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71.751980857250828</v>
      </c>
      <c r="BT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255.00000000000006</v>
      </c>
      <c r="BZ70" s="13">
        <f>BY70*VLOOKUP('Données projet'!$B$12,Paramètres!$A$1:$I$89,3,0)*VLOOKUP('Données projet'!$B$12,Paramètres!$A$1:$I$89,5,0)</f>
        <v>186.96600000000004</v>
      </c>
      <c r="CA70" s="13">
        <f t="shared" si="93"/>
        <v>46.868551400324648</v>
      </c>
      <c r="CB70" s="20">
        <f t="shared" si="64"/>
        <v>407.26184368889881</v>
      </c>
      <c r="CC70" s="59">
        <f t="shared" si="65"/>
        <v>692.64898253519959</v>
      </c>
      <c r="CD70" s="59">
        <f ca="1">AVERAGE(OFFSET($CC$3,0,0,'Données projet'!$E$12+1,1))-AVERAGE(OFFSET($H$3,0,0,'Données projet'!$E$12+1,1))</f>
        <v>242.65851607945316</v>
      </c>
      <c r="CE70" s="59">
        <f t="shared" si="94"/>
        <v>218.9349999985487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233.40000000000023</v>
      </c>
      <c r="CU70" s="17">
        <f>CT70*VLOOKUP('Données projet'!$B$13,Paramètres!$A$1:$I$89,3,0)*VLOOKUP('Données projet'!$B$13,Paramètres!$A$1:$I$89,5,0)</f>
        <v>203.89824000000024</v>
      </c>
      <c r="CV70" s="13">
        <f t="shared" si="95"/>
        <v>50.599918019430255</v>
      </c>
      <c r="CW70" s="20">
        <f t="shared" si="67"/>
        <v>443.25095855050807</v>
      </c>
      <c r="CX70" s="59">
        <f t="shared" si="68"/>
        <v>728.6380973968088</v>
      </c>
      <c r="CY70" s="59">
        <f ca="1">AVERAGE(OFFSET($CX$3,0,0,'Données projet'!$E$13+1,1))-AVERAGE(OFFSET($H$3,0,0,'Données projet'!$E$13+1,1))</f>
        <v>326.9460696675867</v>
      </c>
      <c r="CZ70" s="59">
        <f t="shared" si="96"/>
        <v>393.4020374592568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66.273510525646643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66.273510525646643</v>
      </c>
      <c r="DJ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</v>
      </c>
      <c r="DO70" s="12">
        <f>IF('Données projet'!$A$166&gt;35,DO69+DN70-DW69,IF(A70&lt;'Données projet'!$A$166,$DL$205^A70,IF(A70='Données projet'!$A$166,'Données projet'!$B$166,DO69+DN70-DW69)))</f>
        <v>300.00000000000017</v>
      </c>
      <c r="DP70" s="17">
        <f>DO70*VLOOKUP('Données projet'!$B$14,Paramètres!$A$1:$I$89,3,0)*VLOOKUP('Données projet'!$B$14,Paramètres!$A$1:$I$89,5,0)</f>
        <v>234.00000000000014</v>
      </c>
      <c r="DQ70" s="13">
        <f t="shared" si="97"/>
        <v>57.14670524255714</v>
      </c>
      <c r="DR70" s="20">
        <f t="shared" si="70"/>
        <v>507.08051163078727</v>
      </c>
      <c r="DS70" s="59">
        <f t="shared" si="71"/>
        <v>792.467650477088</v>
      </c>
      <c r="DT70" s="59">
        <f ca="1">AVERAGE(OFFSET($DS$3,0,0,'Données projet'!$E$14+1,1))-AVERAGE(OFFSET($H$3,0,0,'Données projet'!$E$14+1,1))</f>
        <v>364.34528546733799</v>
      </c>
      <c r="DU70" s="59">
        <f t="shared" si="98"/>
        <v>346.5839763411152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65.918204218576989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65.918204218576989</v>
      </c>
      <c r="EE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202.7157599999999</v>
      </c>
      <c r="EL70" s="13">
        <f t="shared" si="99"/>
        <v>50.340540266106856</v>
      </c>
      <c r="EM70" s="20">
        <f t="shared" si="73"/>
        <v>440.73972296346921</v>
      </c>
      <c r="EN70" s="59">
        <f t="shared" si="74"/>
        <v>726.12686180976993</v>
      </c>
      <c r="EO70" s="59">
        <f ca="1">AVERAGE(OFFSET($EN$3,0,0,'Données projet'!$E$15+1,1))-AVERAGE(OFFSET($H$3,0,0,'Données projet'!$E$15+1,1))</f>
        <v>310.38232870602445</v>
      </c>
      <c r="EP70" s="59">
        <f t="shared" si="100"/>
        <v>303.45934457265537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41.450522006615124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41.450522006615124</v>
      </c>
      <c r="EZ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6.2</v>
      </c>
      <c r="FE70" s="12">
        <f>IF('Données projet'!$A$218&gt;35,FE69+FD70-FM69,IF(A70&lt;'Données projet'!$A$218,$FB$205^A70,IF(A70='Données projet'!$A$218,'Données projet'!$B$218,FE69+FD70-FM69)))</f>
        <v>244.39999999999992</v>
      </c>
      <c r="FF70" s="17">
        <f>FE70*VLOOKUP('Données projet'!$B$16,Paramètres!$A$1:$I$89,3,0)*VLOOKUP('Données projet'!$B$16,Paramètres!$A$1:$I$89,5,0)</f>
        <v>232.57103999999993</v>
      </c>
      <c r="FG70" s="13">
        <f t="shared" si="101"/>
        <v>56.838240313256655</v>
      </c>
      <c r="FH70" s="20">
        <f t="shared" si="76"/>
        <v>504.05449654558856</v>
      </c>
      <c r="FI70" s="59">
        <f t="shared" si="77"/>
        <v>789.44163539188935</v>
      </c>
      <c r="FJ70" s="59">
        <f ca="1">AVERAGE(OFFSET($FI$3,0,0,'Données projet'!$E$16+1,1))-AVERAGE(OFFSET($H$3,0,0,'Données projet'!$E$16+1,1))</f>
        <v>457.706832425622</v>
      </c>
      <c r="FK70" s="59">
        <f t="shared" si="102"/>
        <v>474.61768219844873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68.107638219849505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68.107638219849505</v>
      </c>
      <c r="FU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4.5999999999999996</v>
      </c>
      <c r="FZ70" s="12">
        <f>IF('Données projet'!$A$244&gt;35,FZ69+FY70-GH69,IF(A70&lt;'Données projet'!$A$244,$FW$205^A70,IF(A70='Données projet'!$A$244,'Données projet'!$B$244,FZ69+FY70-GH69)))</f>
        <v>302.19999999999987</v>
      </c>
      <c r="GA70" s="17">
        <f>FZ70*VLOOKUP('Données projet'!$B$17,Paramètres!$A$1:$I$89,3,0)*VLOOKUP('Données projet'!$B$17,Paramètres!$A$1:$I$89,5,0)</f>
        <v>292.2878399999999</v>
      </c>
      <c r="GB70" s="13">
        <f t="shared" si="103"/>
        <v>69.557256114171651</v>
      </c>
      <c r="GC70" s="20">
        <f t="shared" si="79"/>
        <v>630.21354239884874</v>
      </c>
      <c r="GD70" s="59">
        <f t="shared" si="80"/>
        <v>915.60068124514942</v>
      </c>
      <c r="GE70" s="59">
        <f ca="1">AVERAGE(OFFSET($GD$3,0,0,'Données projet'!$E$17+1,1))-AVERAGE(OFFSET($H$3,0,0,'Données projet'!$E$17+1,1))</f>
        <v>428.11167311086814</v>
      </c>
      <c r="GF70" s="59">
        <f t="shared" si="104"/>
        <v>415.69449942923609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48.489289894530906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48.489289894530906</v>
      </c>
      <c r="GP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1.1368683772161603E-13</v>
      </c>
      <c r="GV70" s="17">
        <f>GU70*VLOOKUP('Données projet'!$B$18,Paramètres!$A$1:$I$89,3,0)*VLOOKUP('Données projet'!$B$18,Paramètres!$A$1:$I$89,5,0)</f>
        <v>6.5087988332379613E-14</v>
      </c>
      <c r="GW70" s="13">
        <f t="shared" si="105"/>
        <v>1.0279249680474958E-12</v>
      </c>
      <c r="GX70" s="20">
        <f t="shared" si="82"/>
        <v>1.9036642323616162E-12</v>
      </c>
      <c r="GY70" s="59">
        <f t="shared" si="83"/>
        <v>285.38713884630261</v>
      </c>
      <c r="GZ70" s="59">
        <f ca="1">AVERAGE(OFFSET($GY$3,0,0,'Données projet'!$E$18+1,1))-AVERAGE(OFFSET($H$3,0,0,'Données projet'!$E$18+1,1))</f>
        <v>249.88816678272056</v>
      </c>
      <c r="HA70" s="59">
        <f t="shared" si="106"/>
        <v>432.10802787437319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39.91341098445551</v>
      </c>
      <c r="HH70" s="21">
        <f>EXP(-LN(2)/25)*HH69+(1-EXP(-LN(2)/25))/(LN(2)/25)*Calculateur!HC70*Calculateur!HE70*VLOOKUP('Données projet'!$B$18,Paramètres!$A$1:$I$89,3,0)*0.475*44/12</f>
        <v>7.7125734796863368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47.625984464141844</v>
      </c>
    </row>
    <row r="71" spans="1:218" x14ac:dyDescent="0.3">
      <c r="A71" s="10">
        <f t="shared" si="85"/>
        <v>68</v>
      </c>
      <c r="B71" s="71">
        <f>'Scénario référence'!$B$16*5+'Scénario référence'!$B$17*0+'Scénario référence'!$B$18*5</f>
        <v>1.4000000000000001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5.1333333333333337</v>
      </c>
      <c r="H71" s="65">
        <f t="shared" si="56"/>
        <v>236.13333333333335</v>
      </c>
      <c r="I71" s="6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4.5999999999999996</v>
      </c>
      <c r="N71" s="13">
        <f>IF('Données projet'!$A$36&gt;35,N70+M71-V70,IF(A71&lt;'Données projet'!$A$36,$K$205^A71,IF(A71='Données projet'!$A$36,'Données projet'!$B$36,N70+M71-V70)))</f>
        <v>306.7999999999999</v>
      </c>
      <c r="O71" s="13">
        <f>N71*VLOOKUP('Données projet'!$B$9,Paramètres!$A$1:$I$89,3,0)*VLOOKUP('Données projet'!$B$9,Paramètres!$A$1:$I$89,5,0)</f>
        <v>244.09007999999994</v>
      </c>
      <c r="P71" s="13">
        <f t="shared" si="87"/>
        <v>59.318663780863893</v>
      </c>
      <c r="Q71" s="20">
        <f t="shared" si="54"/>
        <v>528.43689541833794</v>
      </c>
      <c r="R71" s="59">
        <f t="shared" si="55"/>
        <v>813.96188297395929</v>
      </c>
      <c r="S71" s="59">
        <f ca="1">AVERAGE(OFFSET($R$3,0,0,'Données projet'!$E$9+1,1))-AVERAGE(OFFSET($H$3,0,0,'Données projet'!$E$9+1,1))</f>
        <v>360.06385535620069</v>
      </c>
      <c r="T71" s="59">
        <f t="shared" si="88"/>
        <v>350.82516032456408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48.198205352831572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48.198205352831572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258.41087999999996</v>
      </c>
      <c r="AK71" s="13">
        <f t="shared" si="89"/>
        <v>62.383521020316756</v>
      </c>
      <c r="AL71" s="20">
        <f t="shared" si="58"/>
        <v>558.71691511038489</v>
      </c>
      <c r="AM71" s="59">
        <f t="shared" si="59"/>
        <v>844.24190266600613</v>
      </c>
      <c r="AN71" s="59">
        <f ca="1">AVERAGE(OFFSET($AM$3,0,0,'Données projet'!$E$10+1,1))-AVERAGE(OFFSET($H$3,0,0,'Données projet'!$E$10+1,1))</f>
        <v>448.65237942538027</v>
      </c>
      <c r="AO71" s="59">
        <f t="shared" si="90"/>
        <v>283.56749129825107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60.185369085044755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60.185369085044755</v>
      </c>
      <c r="AY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</v>
      </c>
      <c r="BD71" s="12">
        <f>IF('Données projet'!$A$88&gt;35,BD70+BC71-BL70,IF(A71&lt;'Données projet'!$A$88,$BA$205^A71,IF(A71='Données projet'!$A$88,'Données projet'!$B$88,BD70+BC71-BL70)))</f>
        <v>295.99999999999994</v>
      </c>
      <c r="BE71" s="13">
        <f>BD71*VLOOKUP('Données projet'!$B$11,Paramètres!$A$1:$I$89,3,0)*VLOOKUP('Données projet'!$B$11,Paramètres!$A$1:$I$89,5,0)</f>
        <v>253.96799999999999</v>
      </c>
      <c r="BF71" s="13">
        <f t="shared" si="91"/>
        <v>61.434848029666512</v>
      </c>
      <c r="BG71" s="20">
        <f t="shared" si="61"/>
        <v>549.32662698500246</v>
      </c>
      <c r="BH71" s="59">
        <f t="shared" si="62"/>
        <v>834.85161454062381</v>
      </c>
      <c r="BI71" s="59">
        <f ca="1">AVERAGE(OFFSET($BH$3,0,0,'Données projet'!$E$11+1,1))-AVERAGE(OFFSET($H$3,0,0,'Données projet'!$E$11+1,1))</f>
        <v>456.76871853389395</v>
      </c>
      <c r="BJ71" s="59">
        <f t="shared" si="92"/>
        <v>262.12425810289176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70.344968277027093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70.344968277027093</v>
      </c>
      <c r="BT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255.00000000000006</v>
      </c>
      <c r="BZ71" s="13">
        <f>BY71*VLOOKUP('Données projet'!$B$12,Paramètres!$A$1:$I$89,3,0)*VLOOKUP('Données projet'!$B$12,Paramètres!$A$1:$I$89,5,0)</f>
        <v>186.96600000000004</v>
      </c>
      <c r="CA71" s="13">
        <f t="shared" si="93"/>
        <v>46.868551400324648</v>
      </c>
      <c r="CB71" s="20">
        <f t="shared" si="64"/>
        <v>407.26184368889881</v>
      </c>
      <c r="CC71" s="59">
        <f t="shared" si="65"/>
        <v>692.78683124452004</v>
      </c>
      <c r="CD71" s="59">
        <f ca="1">AVERAGE(OFFSET($CC$3,0,0,'Données projet'!$E$12+1,1))-AVERAGE(OFFSET($H$3,0,0,'Données projet'!$E$12+1,1))</f>
        <v>242.65851607945316</v>
      </c>
      <c r="CE71" s="59">
        <f t="shared" si="94"/>
        <v>218.9349999985487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238.60000000000022</v>
      </c>
      <c r="CU71" s="17">
        <f>CT71*VLOOKUP('Données projet'!$B$13,Paramètres!$A$1:$I$89,3,0)*VLOOKUP('Données projet'!$B$13,Paramètres!$A$1:$I$89,5,0)</f>
        <v>208.44096000000022</v>
      </c>
      <c r="CV71" s="13">
        <f t="shared" si="95"/>
        <v>51.594748621124261</v>
      </c>
      <c r="CW71" s="20">
        <f t="shared" si="67"/>
        <v>452.89552584845842</v>
      </c>
      <c r="CX71" s="59">
        <f t="shared" si="68"/>
        <v>738.42051340407966</v>
      </c>
      <c r="CY71" s="59">
        <f ca="1">AVERAGE(OFFSET($CX$3,0,0,'Données projet'!$E$13+1,1))-AVERAGE(OFFSET($H$3,0,0,'Données projet'!$E$13+1,1))</f>
        <v>326.9460696675867</v>
      </c>
      <c r="CZ71" s="59">
        <f t="shared" si="96"/>
        <v>393.4020374592568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64.973927407088709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64.973927407088709</v>
      </c>
      <c r="DJ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</v>
      </c>
      <c r="DO71" s="12">
        <f>IF('Données projet'!$A$166&gt;35,DO70+DN71-DW70,IF(A71&lt;'Données projet'!$A$166,$DL$205^A71,IF(A71='Données projet'!$A$166,'Données projet'!$B$166,DO70+DN71-DW70)))</f>
        <v>309.00000000000017</v>
      </c>
      <c r="DP71" s="17">
        <f>DO71*VLOOKUP('Données projet'!$B$14,Paramètres!$A$1:$I$89,3,0)*VLOOKUP('Données projet'!$B$14,Paramètres!$A$1:$I$89,5,0)</f>
        <v>241.02000000000015</v>
      </c>
      <c r="DQ71" s="13">
        <f t="shared" si="97"/>
        <v>58.658934253765338</v>
      </c>
      <c r="DR71" s="20">
        <f t="shared" si="70"/>
        <v>521.94081049197484</v>
      </c>
      <c r="DS71" s="59">
        <f t="shared" si="71"/>
        <v>807.46579804759608</v>
      </c>
      <c r="DT71" s="59">
        <f ca="1">AVERAGE(OFFSET($DS$3,0,0,'Données projet'!$E$14+1,1))-AVERAGE(OFFSET($H$3,0,0,'Données projet'!$E$14+1,1))</f>
        <v>364.34528546733799</v>
      </c>
      <c r="DU71" s="59">
        <f t="shared" si="98"/>
        <v>346.5839763411152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64.625588439985236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64.625588439985236</v>
      </c>
      <c r="EE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205.80143999999993</v>
      </c>
      <c r="EL71" s="13">
        <f t="shared" si="99"/>
        <v>51.017019082607604</v>
      </c>
      <c r="EM71" s="20">
        <f t="shared" si="73"/>
        <v>447.29214956887478</v>
      </c>
      <c r="EN71" s="59">
        <f t="shared" si="74"/>
        <v>732.81713712449607</v>
      </c>
      <c r="EO71" s="59">
        <f ca="1">AVERAGE(OFFSET($EN$3,0,0,'Données projet'!$E$15+1,1))-AVERAGE(OFFSET($H$3,0,0,'Données projet'!$E$15+1,1))</f>
        <v>310.38232870602445</v>
      </c>
      <c r="EP71" s="59">
        <f t="shared" si="100"/>
        <v>303.45934457265537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40.637702552387402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40.637702552387402</v>
      </c>
      <c r="EZ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6.2</v>
      </c>
      <c r="FE71" s="12">
        <f>IF('Données projet'!$A$218&gt;35,FE70+FD71-FM70,IF(A71&lt;'Données projet'!$A$218,$FB$205^A71,IF(A71='Données projet'!$A$218,'Données projet'!$B$218,FE70+FD71-FM70)))</f>
        <v>250.59999999999991</v>
      </c>
      <c r="FF71" s="17">
        <f>FE71*VLOOKUP('Données projet'!$B$16,Paramètres!$A$1:$I$89,3,0)*VLOOKUP('Données projet'!$B$16,Paramètres!$A$1:$I$89,5,0)</f>
        <v>238.47095999999991</v>
      </c>
      <c r="FG71" s="13">
        <f t="shared" si="101"/>
        <v>58.110427804108816</v>
      </c>
      <c r="FH71" s="20">
        <f t="shared" si="76"/>
        <v>516.54591709215595</v>
      </c>
      <c r="FI71" s="59">
        <f t="shared" si="77"/>
        <v>802.0709046477773</v>
      </c>
      <c r="FJ71" s="59">
        <f ca="1">AVERAGE(OFFSET($FI$3,0,0,'Données projet'!$E$16+1,1))-AVERAGE(OFFSET($H$3,0,0,'Données projet'!$E$16+1,1))</f>
        <v>457.706832425622</v>
      </c>
      <c r="FK71" s="59">
        <f t="shared" si="102"/>
        <v>474.61768219844873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66.772088975915679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66.772088975915679</v>
      </c>
      <c r="FU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4.5999999999999996</v>
      </c>
      <c r="FZ71" s="12">
        <f>IF('Données projet'!$A$244&gt;35,FZ70+FY71-GH70,IF(A71&lt;'Données projet'!$A$244,$FW$205^A71,IF(A71='Données projet'!$A$244,'Données projet'!$B$244,FZ70+FY71-GH70)))</f>
        <v>306.7999999999999</v>
      </c>
      <c r="GA71" s="17">
        <f>FZ71*VLOOKUP('Données projet'!$B$17,Paramètres!$A$1:$I$89,3,0)*VLOOKUP('Données projet'!$B$17,Paramètres!$A$1:$I$89,5,0)</f>
        <v>296.7369599999999</v>
      </c>
      <c r="GB71" s="13">
        <f t="shared" si="103"/>
        <v>70.491970164645167</v>
      </c>
      <c r="GC71" s="20">
        <f t="shared" si="79"/>
        <v>639.59038670342341</v>
      </c>
      <c r="GD71" s="59">
        <f t="shared" si="80"/>
        <v>925.11537425904476</v>
      </c>
      <c r="GE71" s="59">
        <f ca="1">AVERAGE(OFFSET($GD$3,0,0,'Données projet'!$E$17+1,1))-AVERAGE(OFFSET($H$3,0,0,'Données projet'!$E$17+1,1))</f>
        <v>428.11167311086814</v>
      </c>
      <c r="GF71" s="59">
        <f t="shared" si="104"/>
        <v>415.69449942923609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47.538444495245649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47.538444495245649</v>
      </c>
      <c r="GP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1.1368683772161603E-13</v>
      </c>
      <c r="GV71" s="17">
        <f>GU71*VLOOKUP('Données projet'!$B$18,Paramètres!$A$1:$I$89,3,0)*VLOOKUP('Données projet'!$B$18,Paramètres!$A$1:$I$89,5,0)</f>
        <v>6.5087988332379613E-14</v>
      </c>
      <c r="GW71" s="13">
        <f t="shared" si="105"/>
        <v>1.0279249680474958E-12</v>
      </c>
      <c r="GX71" s="20">
        <f t="shared" si="82"/>
        <v>1.9036642323616162E-12</v>
      </c>
      <c r="GY71" s="59">
        <f t="shared" si="83"/>
        <v>285.52498755562317</v>
      </c>
      <c r="GZ71" s="59">
        <f ca="1">AVERAGE(OFFSET($GY$3,0,0,'Données projet'!$E$18+1,1))-AVERAGE(OFFSET($H$3,0,0,'Données projet'!$E$18+1,1))</f>
        <v>249.88816678272056</v>
      </c>
      <c r="HA71" s="59">
        <f t="shared" si="106"/>
        <v>432.10802787437319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39.130733339827188</v>
      </c>
      <c r="HH71" s="21">
        <f>EXP(-LN(2)/25)*HH70+(1-EXP(-LN(2)/25))/(LN(2)/25)*Calculateur!HC71*Calculateur!HE71*VLOOKUP('Données projet'!$B$18,Paramètres!$A$1:$I$89,3,0)*0.475*44/12</f>
        <v>7.5016727522977016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46.632406092124889</v>
      </c>
    </row>
    <row r="72" spans="1:218" x14ac:dyDescent="0.3">
      <c r="A72" s="10">
        <f t="shared" si="85"/>
        <v>69</v>
      </c>
      <c r="B72" s="71">
        <f>'Scénario référence'!$B$16*5+'Scénario référence'!$B$17*0+'Scénario référence'!$B$18*5</f>
        <v>1.4000000000000001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5.1333333333333337</v>
      </c>
      <c r="H72" s="65">
        <f t="shared" si="56"/>
        <v>236.13333333333335</v>
      </c>
      <c r="I72" s="6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4.5999999999999996</v>
      </c>
      <c r="N72" s="13">
        <f>IF('Données projet'!$A$36&gt;35,N71+M72-V71,IF(A72&lt;'Données projet'!$A$36,$K$205^A72,IF(A72='Données projet'!$A$36,'Données projet'!$B$36,N71+M72-V71)))</f>
        <v>311.39999999999992</v>
      </c>
      <c r="O72" s="13">
        <f>N72*VLOOKUP('Données projet'!$B$9,Paramètres!$A$1:$I$89,3,0)*VLOOKUP('Données projet'!$B$9,Paramètres!$A$1:$I$89,5,0)</f>
        <v>247.74983999999995</v>
      </c>
      <c r="P72" s="13">
        <f t="shared" si="87"/>
        <v>60.103849700617872</v>
      </c>
      <c r="Q72" s="20">
        <f t="shared" si="54"/>
        <v>536.17850956190932</v>
      </c>
      <c r="R72" s="59">
        <f t="shared" si="55"/>
        <v>821.83895445992789</v>
      </c>
      <c r="S72" s="59">
        <f ca="1">AVERAGE(OFFSET($R$3,0,0,'Données projet'!$E$9+1,1))-AVERAGE(OFFSET($H$3,0,0,'Données projet'!$E$9+1,1))</f>
        <v>360.06385535620069</v>
      </c>
      <c r="T72" s="59">
        <f t="shared" si="88"/>
        <v>350.82516032456408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47.253067943864998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47.253067943864998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265.83023999999995</v>
      </c>
      <c r="AK72" s="13">
        <f t="shared" si="89"/>
        <v>63.963540982526439</v>
      </c>
      <c r="AL72" s="20">
        <f t="shared" si="58"/>
        <v>574.39083521123348</v>
      </c>
      <c r="AM72" s="59">
        <f t="shared" si="59"/>
        <v>860.05128010925205</v>
      </c>
      <c r="AN72" s="59">
        <f ca="1">AVERAGE(OFFSET($AM$3,0,0,'Données projet'!$E$10+1,1))-AVERAGE(OFFSET($H$3,0,0,'Données projet'!$E$10+1,1))</f>
        <v>448.65237942538027</v>
      </c>
      <c r="AO72" s="59">
        <f t="shared" si="90"/>
        <v>283.56749129825107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59.00517070673741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59.00517070673741</v>
      </c>
      <c r="AY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</v>
      </c>
      <c r="BD72" s="12">
        <f>IF('Données projet'!$A$88&gt;35,BD71+BC72-BL71,IF(A72&lt;'Données projet'!$A$88,$BA$205^A72,IF(A72='Données projet'!$A$88,'Données projet'!$B$88,BD71+BC72-BL71)))</f>
        <v>305.99999999999994</v>
      </c>
      <c r="BE72" s="13">
        <f>BD72*VLOOKUP('Données projet'!$B$11,Paramètres!$A$1:$I$89,3,0)*VLOOKUP('Données projet'!$B$11,Paramètres!$A$1:$I$89,5,0)</f>
        <v>262.548</v>
      </c>
      <c r="BF72" s="13">
        <f t="shared" si="91"/>
        <v>63.265199933079444</v>
      </c>
      <c r="BG72" s="20">
        <f t="shared" si="61"/>
        <v>567.45798988344666</v>
      </c>
      <c r="BH72" s="59">
        <f t="shared" si="62"/>
        <v>853.11843478146534</v>
      </c>
      <c r="BI72" s="59">
        <f ca="1">AVERAGE(OFFSET($BH$3,0,0,'Données projet'!$E$11+1,1))-AVERAGE(OFFSET($H$3,0,0,'Données projet'!$E$11+1,1))</f>
        <v>456.76871853389395</v>
      </c>
      <c r="BJ72" s="59">
        <f t="shared" si="92"/>
        <v>262.12425810289176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68.965546355308604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68.965546355308604</v>
      </c>
      <c r="BT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255.00000000000006</v>
      </c>
      <c r="BZ72" s="13">
        <f>BY72*VLOOKUP('Données projet'!$B$12,Paramètres!$A$1:$I$89,3,0)*VLOOKUP('Données projet'!$B$12,Paramètres!$A$1:$I$89,5,0)</f>
        <v>186.96600000000004</v>
      </c>
      <c r="CA72" s="13">
        <f t="shared" si="93"/>
        <v>46.868551400324648</v>
      </c>
      <c r="CB72" s="20">
        <f t="shared" si="64"/>
        <v>407.26184368889881</v>
      </c>
      <c r="CC72" s="59">
        <f t="shared" si="65"/>
        <v>692.92228858691738</v>
      </c>
      <c r="CD72" s="59">
        <f ca="1">AVERAGE(OFFSET($CC$3,0,0,'Données projet'!$E$12+1,1))-AVERAGE(OFFSET($H$3,0,0,'Données projet'!$E$12+1,1))</f>
        <v>242.65851607945316</v>
      </c>
      <c r="CE72" s="59">
        <f t="shared" si="94"/>
        <v>218.9349999985487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243.80000000000021</v>
      </c>
      <c r="CU72" s="17">
        <f>CT72*VLOOKUP('Données projet'!$B$13,Paramètres!$A$1:$I$89,3,0)*VLOOKUP('Données projet'!$B$13,Paramètres!$A$1:$I$89,5,0)</f>
        <v>212.98368000000022</v>
      </c>
      <c r="CV72" s="13">
        <f t="shared" si="95"/>
        <v>52.587058525970413</v>
      </c>
      <c r="CW72" s="20">
        <f t="shared" si="67"/>
        <v>462.53570293273214</v>
      </c>
      <c r="CX72" s="59">
        <f t="shared" si="68"/>
        <v>748.19614783075076</v>
      </c>
      <c r="CY72" s="59">
        <f ca="1">AVERAGE(OFFSET($CX$3,0,0,'Données projet'!$E$13+1,1))-AVERAGE(OFFSET($H$3,0,0,'Données projet'!$E$13+1,1))</f>
        <v>326.9460696675867</v>
      </c>
      <c r="CZ72" s="59">
        <f t="shared" si="96"/>
        <v>393.4020374592568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63.699828320818263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63.699828320818263</v>
      </c>
      <c r="DJ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</v>
      </c>
      <c r="DO72" s="12">
        <f>IF('Données projet'!$A$166&gt;35,DO71+DN72-DW71,IF(A72&lt;'Données projet'!$A$166,$DL$205^A72,IF(A72='Données projet'!$A$166,'Données projet'!$B$166,DO71+DN72-DW71)))</f>
        <v>318.00000000000017</v>
      </c>
      <c r="DP72" s="17">
        <f>DO72*VLOOKUP('Données projet'!$B$14,Paramètres!$A$1:$I$89,3,0)*VLOOKUP('Données projet'!$B$14,Paramètres!$A$1:$I$89,5,0)</f>
        <v>248.04000000000013</v>
      </c>
      <c r="DQ72" s="13">
        <f t="shared" si="97"/>
        <v>60.166044284441391</v>
      </c>
      <c r="DR72" s="20">
        <f t="shared" si="70"/>
        <v>536.79219379540234</v>
      </c>
      <c r="DS72" s="59">
        <f t="shared" si="71"/>
        <v>822.45263869342102</v>
      </c>
      <c r="DT72" s="59">
        <f ca="1">AVERAGE(OFFSET($DS$3,0,0,'Données projet'!$E$14+1,1))-AVERAGE(OFFSET($H$3,0,0,'Données projet'!$E$14+1,1))</f>
        <v>364.34528546733799</v>
      </c>
      <c r="DU72" s="59">
        <f t="shared" si="98"/>
        <v>346.5839763411152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63.358320068393901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63.358320068393901</v>
      </c>
      <c r="EE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208.88711999999995</v>
      </c>
      <c r="EL72" s="13">
        <f t="shared" si="99"/>
        <v>51.692318263308358</v>
      </c>
      <c r="EM72" s="20">
        <f t="shared" si="73"/>
        <v>453.84252164192861</v>
      </c>
      <c r="EN72" s="59">
        <f t="shared" si="74"/>
        <v>739.50296653994724</v>
      </c>
      <c r="EO72" s="59">
        <f ca="1">AVERAGE(OFFSET($EN$3,0,0,'Données projet'!$E$15+1,1))-AVERAGE(OFFSET($H$3,0,0,'Données projet'!$E$15+1,1))</f>
        <v>310.38232870602445</v>
      </c>
      <c r="EP72" s="59">
        <f t="shared" si="100"/>
        <v>303.45934457265537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39.840821991886173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39.840821991886173</v>
      </c>
      <c r="EZ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6.2</v>
      </c>
      <c r="FE72" s="12">
        <f>IF('Données projet'!$A$218&gt;35,FE71+FD72-FM71,IF(A72&lt;'Données projet'!$A$218,$FB$205^A72,IF(A72='Données projet'!$A$218,'Données projet'!$B$218,FE71+FD72-FM71)))</f>
        <v>256.7999999999999</v>
      </c>
      <c r="FF72" s="17">
        <f>FE72*VLOOKUP('Données projet'!$B$16,Paramètres!$A$1:$I$89,3,0)*VLOOKUP('Données projet'!$B$16,Paramètres!$A$1:$I$89,5,0)</f>
        <v>244.37087999999991</v>
      </c>
      <c r="FG72" s="13">
        <f t="shared" si="101"/>
        <v>59.378956514447275</v>
      </c>
      <c r="FH72" s="20">
        <f t="shared" si="76"/>
        <v>529.03096526266211</v>
      </c>
      <c r="FI72" s="59">
        <f t="shared" si="77"/>
        <v>814.69141016068079</v>
      </c>
      <c r="FJ72" s="59">
        <f ca="1">AVERAGE(OFFSET($FI$3,0,0,'Données projet'!$E$16+1,1))-AVERAGE(OFFSET($H$3,0,0,'Données projet'!$E$16+1,1))</f>
        <v>457.706832425622</v>
      </c>
      <c r="FK72" s="59">
        <f t="shared" si="102"/>
        <v>474.61768219844873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65.462729038050796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65.462729038050796</v>
      </c>
      <c r="FU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4.5999999999999996</v>
      </c>
      <c r="FZ72" s="12">
        <f>IF('Données projet'!$A$244&gt;35,FZ71+FY72-GH71,IF(A72&lt;'Données projet'!$A$244,$FW$205^A72,IF(A72='Données projet'!$A$244,'Données projet'!$B$244,FZ71+FY72-GH71)))</f>
        <v>311.39999999999992</v>
      </c>
      <c r="GA72" s="17">
        <f>FZ72*VLOOKUP('Données projet'!$B$17,Paramètres!$A$1:$I$89,3,0)*VLOOKUP('Données projet'!$B$17,Paramètres!$A$1:$I$89,5,0)</f>
        <v>301.18607999999995</v>
      </c>
      <c r="GB72" s="13">
        <f t="shared" si="103"/>
        <v>71.425054271756295</v>
      </c>
      <c r="GC72" s="20">
        <f t="shared" si="79"/>
        <v>648.96439218997534</v>
      </c>
      <c r="GD72" s="59">
        <f t="shared" si="80"/>
        <v>934.62483708799391</v>
      </c>
      <c r="GE72" s="59">
        <f ca="1">AVERAGE(OFFSET($GD$3,0,0,'Données projet'!$E$17+1,1))-AVERAGE(OFFSET($H$3,0,0,'Données projet'!$E$17+1,1))</f>
        <v>428.11167311086814</v>
      </c>
      <c r="GF72" s="59">
        <f t="shared" si="104"/>
        <v>415.69449942923609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46.606244594281947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46.606244594281947</v>
      </c>
      <c r="GP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1.1368683772161603E-13</v>
      </c>
      <c r="GV72" s="17">
        <f>GU72*VLOOKUP('Données projet'!$B$18,Paramètres!$A$1:$I$89,3,0)*VLOOKUP('Données projet'!$B$18,Paramètres!$A$1:$I$89,5,0)</f>
        <v>6.5087988332379613E-14</v>
      </c>
      <c r="GW72" s="13">
        <f t="shared" si="105"/>
        <v>1.0279249680474958E-12</v>
      </c>
      <c r="GX72" s="20">
        <f t="shared" si="82"/>
        <v>1.9036642323616162E-12</v>
      </c>
      <c r="GY72" s="59">
        <f t="shared" si="83"/>
        <v>285.6604448980205</v>
      </c>
      <c r="GZ72" s="59">
        <f ca="1">AVERAGE(OFFSET($GY$3,0,0,'Données projet'!$E$18+1,1))-AVERAGE(OFFSET($H$3,0,0,'Données projet'!$E$18+1,1))</f>
        <v>249.88816678272056</v>
      </c>
      <c r="HA72" s="59">
        <f t="shared" si="106"/>
        <v>432.10802787437319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38.363403526423802</v>
      </c>
      <c r="HH72" s="21">
        <f>EXP(-LN(2)/25)*HH71+(1-EXP(-LN(2)/25))/(LN(2)/25)*Calculateur!HC72*Calculateur!HE72*VLOOKUP('Données projet'!$B$18,Paramètres!$A$1:$I$89,3,0)*0.475*44/12</f>
        <v>7.2965391163902966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45.659942642814102</v>
      </c>
    </row>
    <row r="73" spans="1:218" x14ac:dyDescent="0.3">
      <c r="A73" s="10">
        <f t="shared" si="85"/>
        <v>70</v>
      </c>
      <c r="B73" s="71">
        <f>'Scénario référence'!$B$16*5+'Scénario référence'!$B$17*0+'Scénario référence'!$B$18*5</f>
        <v>1.4000000000000001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5.1333333333333337</v>
      </c>
      <c r="H73" s="65">
        <f t="shared" si="56"/>
        <v>236.13333333333335</v>
      </c>
      <c r="I73" s="6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316</v>
      </c>
      <c r="L73" s="12">
        <f>VLOOKUP(A73,'Données projet'!$A$35:$I$55,9,0)</f>
        <v>4.5999999999999996</v>
      </c>
      <c r="M73" s="12">
        <f t="array" ref="M73">INDEX(L:L,MIN(IF(ISNUMBER(L73:L269),ROW(L73:L269),"")))</f>
        <v>4.5999999999999996</v>
      </c>
      <c r="N73" s="13">
        <f>IF('Données projet'!$A$36&gt;35,N72+M73-V72,IF(A73&lt;'Données projet'!$A$36,$K$205^A73,IF(A73='Données projet'!$A$36,'Données projet'!$B$36,N72+M73-V72)))</f>
        <v>315.99999999999994</v>
      </c>
      <c r="O73" s="13">
        <f>N73*VLOOKUP('Données projet'!$B$9,Paramètres!$A$1:$I$89,3,0)*VLOOKUP('Données projet'!$B$9,Paramètres!$A$1:$I$89,5,0)</f>
        <v>251.40959999999995</v>
      </c>
      <c r="P73" s="13">
        <f t="shared" si="87"/>
        <v>60.887686632376123</v>
      </c>
      <c r="Q73" s="20">
        <f t="shared" si="54"/>
        <v>543.917774218055</v>
      </c>
      <c r="R73" s="59">
        <f t="shared" si="55"/>
        <v>829.7113265764176</v>
      </c>
      <c r="S73" s="59">
        <f ca="1">AVERAGE(OFFSET($R$3,0,0,'Données projet'!$E$9+1,1))-AVERAGE(OFFSET($H$3,0,0,'Données projet'!$E$9+1,1))</f>
        <v>360.06385535620069</v>
      </c>
      <c r="T73" s="59">
        <f t="shared" si="88"/>
        <v>350.82516032456408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13</v>
      </c>
      <c r="W73" s="16">
        <f>IF(ISNA(VLOOKUP(A73,'Données projet'!$A$35:$I$55,5,0)),0%,VLOOKUP(A73,'Données projet'!$A$35:$I$55,5,0)*VLOOKUP('Données projet'!$B$9,Paramètres!$A$1:$I$89,7,0))</f>
        <v>0.53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52.386303394971065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52.386303394971065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273.24959999999999</v>
      </c>
      <c r="AK73" s="13">
        <f t="shared" si="89"/>
        <v>65.538435495514321</v>
      </c>
      <c r="AL73" s="20">
        <f t="shared" si="58"/>
        <v>590.05582848802067</v>
      </c>
      <c r="AM73" s="59">
        <f t="shared" si="59"/>
        <v>875.84938084638338</v>
      </c>
      <c r="AN73" s="59">
        <f ca="1">AVERAGE(OFFSET($AM$3,0,0,'Données projet'!$E$10+1,1))-AVERAGE(OFFSET($H$3,0,0,'Données projet'!$E$10+1,1))</f>
        <v>448.65237942538027</v>
      </c>
      <c r="AO73" s="59">
        <f t="shared" si="90"/>
        <v>283.56749129825107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69.890879675571753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69.890879675571753</v>
      </c>
      <c r="AY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10</v>
      </c>
      <c r="BC73" s="12">
        <f t="array" ref="BC73">INDEX(BB:BB,MIN(IF(ISNUMBER(BB73:BB269),ROW(BB73:BB269),"")))</f>
        <v>10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271.12799999999999</v>
      </c>
      <c r="BF73" s="13">
        <f t="shared" si="91"/>
        <v>65.088601240045278</v>
      </c>
      <c r="BG73" s="20">
        <f t="shared" si="61"/>
        <v>585.57724715974553</v>
      </c>
      <c r="BH73" s="59">
        <f t="shared" si="62"/>
        <v>871.37079951810824</v>
      </c>
      <c r="BI73" s="59">
        <f ca="1">AVERAGE(OFFSET($BH$3,0,0,'Données projet'!$E$11+1,1))-AVERAGE(OFFSET($H$3,0,0,'Données projet'!$E$11+1,1))</f>
        <v>456.76871853389395</v>
      </c>
      <c r="BJ73" s="59">
        <f t="shared" si="92"/>
        <v>262.12425810289176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81.688818866997508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81.688818866997508</v>
      </c>
      <c r="BT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255.00000000000006</v>
      </c>
      <c r="BZ73" s="13">
        <f>BY73*VLOOKUP('Données projet'!$B$12,Paramètres!$A$1:$I$89,3,0)*VLOOKUP('Données projet'!$B$12,Paramètres!$A$1:$I$89,5,0)</f>
        <v>186.96600000000004</v>
      </c>
      <c r="CA73" s="13">
        <f t="shared" si="93"/>
        <v>46.868551400324648</v>
      </c>
      <c r="CB73" s="20">
        <f t="shared" si="64"/>
        <v>407.26184368889881</v>
      </c>
      <c r="CC73" s="59">
        <f t="shared" si="65"/>
        <v>693.05539604726141</v>
      </c>
      <c r="CD73" s="59">
        <f ca="1">AVERAGE(OFFSET($CC$3,0,0,'Données projet'!$E$12+1,1))-AVERAGE(OFFSET($H$3,0,0,'Données projet'!$E$12+1,1))</f>
        <v>242.65851607945316</v>
      </c>
      <c r="CE73" s="59">
        <f t="shared" si="94"/>
        <v>218.9349999985487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249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249.0000000000002</v>
      </c>
      <c r="CU73" s="17">
        <f>CT73*VLOOKUP('Données projet'!$B$13,Paramètres!$A$1:$I$89,3,0)*VLOOKUP('Données projet'!$B$13,Paramètres!$A$1:$I$89,5,0)</f>
        <v>217.52640000000019</v>
      </c>
      <c r="CV73" s="13">
        <f t="shared" si="95"/>
        <v>53.576907690651304</v>
      </c>
      <c r="CW73" s="20">
        <f t="shared" si="67"/>
        <v>472.17159422788467</v>
      </c>
      <c r="CX73" s="59">
        <f t="shared" si="68"/>
        <v>757.96514658624733</v>
      </c>
      <c r="CY73" s="59">
        <f ca="1">AVERAGE(OFFSET($CX$3,0,0,'Données projet'!$E$13+1,1))-AVERAGE(OFFSET($H$3,0,0,'Données projet'!$E$13+1,1))</f>
        <v>326.9460696675867</v>
      </c>
      <c r="CZ73" s="59">
        <f t="shared" si="96"/>
        <v>393.4020374592568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62.450713540505873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62.450713540505873</v>
      </c>
      <c r="DJ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327</v>
      </c>
      <c r="DM73" s="12">
        <f>VLOOKUP(A73,'Données projet'!$A$165:$I$185,9,0)</f>
        <v>9</v>
      </c>
      <c r="DN73" s="12">
        <f t="array" ref="DN73">INDEX(DM:DM,MIN(IF(ISNUMBER(DM73:DM269),ROW(DM73:DM269),"")))</f>
        <v>9</v>
      </c>
      <c r="DO73" s="12">
        <f>IF('Données projet'!$A$166&gt;35,DO72+DN73-DW72,IF(A73&lt;'Données projet'!$A$166,$DL$205^A73,IF(A73='Données projet'!$A$166,'Données projet'!$B$166,DO72+DN73-DW72)))</f>
        <v>327.00000000000017</v>
      </c>
      <c r="DP73" s="17">
        <f>DO73*VLOOKUP('Données projet'!$B$14,Paramètres!$A$1:$I$89,3,0)*VLOOKUP('Données projet'!$B$14,Paramètres!$A$1:$I$89,5,0)</f>
        <v>255.06000000000014</v>
      </c>
      <c r="DQ73" s="13">
        <f t="shared" si="97"/>
        <v>61.668196852621989</v>
      </c>
      <c r="DR73" s="20">
        <f t="shared" si="70"/>
        <v>551.63494285165018</v>
      </c>
      <c r="DS73" s="59">
        <f t="shared" si="71"/>
        <v>837.4284952100129</v>
      </c>
      <c r="DT73" s="59">
        <f ca="1">AVERAGE(OFFSET($DS$3,0,0,'Données projet'!$E$14+1,1))-AVERAGE(OFFSET($H$3,0,0,'Données projet'!$E$14+1,1))</f>
        <v>364.34528546733799</v>
      </c>
      <c r="DU73" s="59">
        <f t="shared" si="98"/>
        <v>346.5839763411152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32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73.980694546063333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73.980694546063333</v>
      </c>
      <c r="EE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211.97279999999995</v>
      </c>
      <c r="EL73" s="13">
        <f t="shared" si="99"/>
        <v>52.366457246831175</v>
      </c>
      <c r="EM73" s="20">
        <f t="shared" si="73"/>
        <v>460.39087303823089</v>
      </c>
      <c r="EN73" s="59">
        <f t="shared" si="74"/>
        <v>746.1844253965935</v>
      </c>
      <c r="EO73" s="59">
        <f ca="1">AVERAGE(OFFSET($EN$3,0,0,'Données projet'!$E$15+1,1))-AVERAGE(OFFSET($H$3,0,0,'Données projet'!$E$15+1,1))</f>
        <v>310.38232870602445</v>
      </c>
      <c r="EP73" s="59">
        <f t="shared" si="100"/>
        <v>303.45934457265537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44.16884403889717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44.16884403889717</v>
      </c>
      <c r="EZ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263</v>
      </c>
      <c r="FC73" s="12">
        <f>VLOOKUP(A73,'Données projet'!$A$217:$I$237,9,0)</f>
        <v>6.2</v>
      </c>
      <c r="FD73" s="12">
        <f t="array" ref="FD73">INDEX(FC:FC,MIN(IF(ISNUMBER(FC73:FC269),ROW(FC73:FC269),"")))</f>
        <v>6.2</v>
      </c>
      <c r="FE73" s="12">
        <f>IF('Données projet'!$A$218&gt;35,FE72+FD73-FM72,IF(A73&lt;'Données projet'!$A$218,$FB$205^A73,IF(A73='Données projet'!$A$218,'Données projet'!$B$218,FE72+FD73-FM72)))</f>
        <v>262.99999999999989</v>
      </c>
      <c r="FF73" s="17">
        <f>FE73*VLOOKUP('Données projet'!$B$16,Paramètres!$A$1:$I$89,3,0)*VLOOKUP('Données projet'!$B$16,Paramètres!$A$1:$I$89,5,0)</f>
        <v>250.27079999999989</v>
      </c>
      <c r="FG73" s="13">
        <f t="shared" si="101"/>
        <v>60.643924942423787</v>
      </c>
      <c r="FH73" s="20">
        <f t="shared" si="76"/>
        <v>541.50981260805463</v>
      </c>
      <c r="FI73" s="59">
        <f t="shared" si="77"/>
        <v>827.30336496641735</v>
      </c>
      <c r="FJ73" s="59">
        <f ca="1">AVERAGE(OFFSET($FI$3,0,0,'Données projet'!$E$16+1,1))-AVERAGE(OFFSET($H$3,0,0,'Données projet'!$E$16+1,1))</f>
        <v>457.706832425622</v>
      </c>
      <c r="FK73" s="59">
        <f t="shared" si="102"/>
        <v>474.61768219844873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28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76.844710832425946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76.844710832425946</v>
      </c>
      <c r="FU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316</v>
      </c>
      <c r="FX73" s="12">
        <f>VLOOKUP(A73,'Données projet'!$A$243:$I$263,9,0)</f>
        <v>4.5999999999999996</v>
      </c>
      <c r="FY73" s="12">
        <f t="array" ref="FY73">INDEX(FX:FX,MIN(IF(ISNUMBER(FX73:FX269),ROW(FX73:FX269),"")))</f>
        <v>4.5999999999999996</v>
      </c>
      <c r="FZ73" s="12">
        <f>IF('Données projet'!$A$244&gt;35,FZ72+FY73-GH72,IF(A73&lt;'Données projet'!$A$244,$FW$205^A73,IF(A73='Données projet'!$A$244,'Données projet'!$B$244,FZ72+FY73-GH72)))</f>
        <v>315.99999999999994</v>
      </c>
      <c r="GA73" s="17">
        <f>FZ73*VLOOKUP('Données projet'!$B$17,Paramètres!$A$1:$I$89,3,0)*VLOOKUP('Données projet'!$B$17,Paramètres!$A$1:$I$89,5,0)</f>
        <v>305.63519999999994</v>
      </c>
      <c r="GB73" s="13">
        <f t="shared" si="103"/>
        <v>72.356535294517812</v>
      </c>
      <c r="GC73" s="20">
        <f t="shared" si="79"/>
        <v>658.33560563795174</v>
      </c>
      <c r="GD73" s="59">
        <f t="shared" si="80"/>
        <v>944.12915799631446</v>
      </c>
      <c r="GE73" s="59">
        <f ca="1">AVERAGE(OFFSET($GD$3,0,0,'Données projet'!$E$17+1,1))-AVERAGE(OFFSET($H$3,0,0,'Données projet'!$E$17+1,1))</f>
        <v>428.11167311086814</v>
      </c>
      <c r="GF73" s="59">
        <f t="shared" si="104"/>
        <v>415.69449942923609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13</v>
      </c>
      <c r="GI73" s="16">
        <f>IF(ISNA(VLOOKUP(A73,'Données projet'!$A$243:$I$263,5,0)),0%,VLOOKUP(A73,'Données projet'!$A$243:$I$263,5,0)*VLOOKUP('Données projet'!$B$17,Paramètres!$A$1:$I$89,7,0))</f>
        <v>0.43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51.669213781351417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51.669213781351417</v>
      </c>
      <c r="GP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1.1368683772161603E-13</v>
      </c>
      <c r="GV73" s="17">
        <f>GU73*VLOOKUP('Données projet'!$B$18,Paramètres!$A$1:$I$89,3,0)*VLOOKUP('Données projet'!$B$18,Paramètres!$A$1:$I$89,5,0)</f>
        <v>6.5087988332379613E-14</v>
      </c>
      <c r="GW73" s="13">
        <f t="shared" si="105"/>
        <v>1.0279249680474958E-12</v>
      </c>
      <c r="GX73" s="20">
        <f t="shared" si="82"/>
        <v>1.9036642323616162E-12</v>
      </c>
      <c r="GY73" s="59">
        <f t="shared" si="83"/>
        <v>285.79355235836454</v>
      </c>
      <c r="GZ73" s="59">
        <f ca="1">AVERAGE(OFFSET($GY$3,0,0,'Données projet'!$E$18+1,1))-AVERAGE(OFFSET($H$3,0,0,'Données projet'!$E$18+1,1))</f>
        <v>249.88816678272056</v>
      </c>
      <c r="HA73" s="59">
        <f t="shared" si="106"/>
        <v>432.10802787437319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37.611120582636289</v>
      </c>
      <c r="HH73" s="21">
        <f>EXP(-LN(2)/25)*HH72+(1-EXP(-LN(2)/25))/(LN(2)/25)*Calculateur!HC73*Calculateur!HE73*VLOOKUP('Données projet'!$B$18,Paramètres!$A$1:$I$89,3,0)*0.475*44/12</f>
        <v>7.0970148705442879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44.708135453180574</v>
      </c>
    </row>
    <row r="74" spans="1:218" x14ac:dyDescent="0.3">
      <c r="A74" s="10">
        <f t="shared" si="85"/>
        <v>71</v>
      </c>
      <c r="B74" s="71">
        <f>'Scénario référence'!$B$16*5+'Scénario référence'!$B$17*0+'Scénario référence'!$B$18*5</f>
        <v>1.4000000000000001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5.1333333333333337</v>
      </c>
      <c r="H74" s="65">
        <f t="shared" si="56"/>
        <v>236.13333333333335</v>
      </c>
      <c r="I74" s="6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4.2</v>
      </c>
      <c r="N74" s="13">
        <f>IF('Données projet'!$A$36&gt;35,N73+M74-V73,IF(A74&lt;'Données projet'!$A$36,$K$205^A74,IF(A74='Données projet'!$A$36,'Données projet'!$B$36,N73+M74-V73)))</f>
        <v>307.19999999999993</v>
      </c>
      <c r="O74" s="13">
        <f>N74*VLOOKUP('Données projet'!$B$9,Paramètres!$A$1:$I$89,3,0)*VLOOKUP('Données projet'!$B$9,Paramètres!$A$1:$I$89,5,0)</f>
        <v>244.40831999999995</v>
      </c>
      <c r="P74" s="13">
        <f t="shared" si="87"/>
        <v>59.38699493610541</v>
      </c>
      <c r="Q74" s="20">
        <f t="shared" si="54"/>
        <v>529.11017351371675</v>
      </c>
      <c r="R74" s="59">
        <f t="shared" si="55"/>
        <v>815.03452421557017</v>
      </c>
      <c r="S74" s="59">
        <f ca="1">AVERAGE(OFFSET($R$3,0,0,'Données projet'!$E$9+1,1))-AVERAGE(OFFSET($H$3,0,0,'Données projet'!$E$9+1,1))</f>
        <v>360.06385535620069</v>
      </c>
      <c r="T74" s="59">
        <f t="shared" si="88"/>
        <v>350.82516032456408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51.359039937885704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51.359039937885704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254.79167999999996</v>
      </c>
      <c r="AK74" s="13">
        <f t="shared" si="89"/>
        <v>61.610870508448471</v>
      </c>
      <c r="AL74" s="20">
        <f t="shared" si="58"/>
        <v>551.067775468881</v>
      </c>
      <c r="AM74" s="59">
        <f t="shared" si="59"/>
        <v>836.99212617073431</v>
      </c>
      <c r="AN74" s="59">
        <f ca="1">AVERAGE(OFFSET($AM$3,0,0,'Données projet'!$E$10+1,1))-AVERAGE(OFFSET($H$3,0,0,'Données projet'!$E$10+1,1))</f>
        <v>448.65237942538027</v>
      </c>
      <c r="AO74" s="59">
        <f t="shared" si="90"/>
        <v>283.56749129825107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68.520362154361109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68.520362154361109</v>
      </c>
      <c r="AY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9.4</v>
      </c>
      <c r="BD74" s="12">
        <f>IF('Données projet'!$A$88&gt;35,BD73+BC74-BL73,IF(A74&lt;'Données projet'!$A$88,$BA$205^A74,IF(A74='Données projet'!$A$88,'Données projet'!$B$88,BD73+BC74-BL73)))</f>
        <v>297.39999999999992</v>
      </c>
      <c r="BE74" s="13">
        <f>BD74*VLOOKUP('Données projet'!$B$11,Paramètres!$A$1:$I$89,3,0)*VLOOKUP('Données projet'!$B$11,Paramètres!$A$1:$I$89,5,0)</f>
        <v>255.16919999999996</v>
      </c>
      <c r="BF74" s="13">
        <f t="shared" si="91"/>
        <v>61.691525331424884</v>
      </c>
      <c r="BG74" s="20">
        <f t="shared" si="61"/>
        <v>551.86576328556498</v>
      </c>
      <c r="BH74" s="59">
        <f t="shared" si="62"/>
        <v>837.79011398741841</v>
      </c>
      <c r="BI74" s="59">
        <f ca="1">AVERAGE(OFFSET($BH$3,0,0,'Données projet'!$E$11+1,1))-AVERAGE(OFFSET($H$3,0,0,'Données projet'!$E$11+1,1))</f>
        <v>456.76871853389395</v>
      </c>
      <c r="BJ74" s="59">
        <f t="shared" si="92"/>
        <v>262.12425810289176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80.086950954275366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80.086950954275366</v>
      </c>
      <c r="BT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255.00000000000006</v>
      </c>
      <c r="BZ74" s="13">
        <f>BY74*VLOOKUP('Données projet'!$B$12,Paramètres!$A$1:$I$89,3,0)*VLOOKUP('Données projet'!$B$12,Paramètres!$A$1:$I$89,5,0)</f>
        <v>186.96600000000004</v>
      </c>
      <c r="CA74" s="13">
        <f t="shared" si="93"/>
        <v>46.868551400324648</v>
      </c>
      <c r="CB74" s="20">
        <f t="shared" si="64"/>
        <v>407.26184368889881</v>
      </c>
      <c r="CC74" s="59">
        <f t="shared" si="65"/>
        <v>693.18619439075223</v>
      </c>
      <c r="CD74" s="59">
        <f ca="1">AVERAGE(OFFSET($CC$3,0,0,'Données projet'!$E$12+1,1))-AVERAGE(OFFSET($H$3,0,0,'Données projet'!$E$12+1,1))</f>
        <v>242.65851607945316</v>
      </c>
      <c r="CE74" s="59">
        <f t="shared" si="94"/>
        <v>218.9349999985487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249.0000000000002</v>
      </c>
      <c r="CU74" s="17">
        <f>CT74*VLOOKUP('Données projet'!$B$13,Paramètres!$A$1:$I$89,3,0)*VLOOKUP('Données projet'!$B$13,Paramètres!$A$1:$I$89,5,0)</f>
        <v>217.52640000000019</v>
      </c>
      <c r="CV74" s="13">
        <f t="shared" si="95"/>
        <v>53.576907690651304</v>
      </c>
      <c r="CW74" s="20">
        <f t="shared" si="67"/>
        <v>472.17159422788467</v>
      </c>
      <c r="CX74" s="59">
        <f t="shared" si="68"/>
        <v>758.09594492973804</v>
      </c>
      <c r="CY74" s="59">
        <f ca="1">AVERAGE(OFFSET($CX$3,0,0,'Données projet'!$E$13+1,1))-AVERAGE(OFFSET($H$3,0,0,'Données projet'!$E$13+1,1))</f>
        <v>326.9460696675867</v>
      </c>
      <c r="CZ74" s="59">
        <f t="shared" si="96"/>
        <v>393.4020374592568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61.22609313915062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61.22609313915062</v>
      </c>
      <c r="DJ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9</v>
      </c>
      <c r="DO74" s="12">
        <f>IF('Données projet'!$A$166&gt;35,DO73+DN74-DW73,IF(A74&lt;'Données projet'!$A$166,$DL$205^A74,IF(A74='Données projet'!$A$166,'Données projet'!$B$166,DO73+DN74-DW73)))</f>
        <v>304.00000000000017</v>
      </c>
      <c r="DP74" s="17">
        <f>DO74*VLOOKUP('Données projet'!$B$14,Paramètres!$A$1:$I$89,3,0)*VLOOKUP('Données projet'!$B$14,Paramètres!$A$1:$I$89,5,0)</f>
        <v>237.12000000000015</v>
      </c>
      <c r="DQ74" s="13">
        <f t="shared" si="97"/>
        <v>57.819449746919268</v>
      </c>
      <c r="DR74" s="20">
        <f t="shared" si="70"/>
        <v>513.68620830921793</v>
      </c>
      <c r="DS74" s="59">
        <f t="shared" si="71"/>
        <v>799.61055901107125</v>
      </c>
      <c r="DT74" s="59">
        <f ca="1">AVERAGE(OFFSET($DS$3,0,0,'Données projet'!$E$14+1,1))-AVERAGE(OFFSET($H$3,0,0,'Données projet'!$E$14+1,1))</f>
        <v>364.34528546733799</v>
      </c>
      <c r="DU74" s="59">
        <f t="shared" si="98"/>
        <v>346.5839763411152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72.529978249783099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72.529978249783099</v>
      </c>
      <c r="EE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206.06975999999997</v>
      </c>
      <c r="EL74" s="13">
        <f t="shared" si="99"/>
        <v>51.075787295320026</v>
      </c>
      <c r="EM74" s="20">
        <f t="shared" si="73"/>
        <v>447.86182820601562</v>
      </c>
      <c r="EN74" s="59">
        <f t="shared" si="74"/>
        <v>733.78617890786904</v>
      </c>
      <c r="EO74" s="59">
        <f ca="1">AVERAGE(OFFSET($EN$3,0,0,'Données projet'!$E$15+1,1))-AVERAGE(OFFSET($H$3,0,0,'Données projet'!$E$15+1,1))</f>
        <v>310.38232870602445</v>
      </c>
      <c r="EP74" s="59">
        <f t="shared" si="100"/>
        <v>303.45934457265537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43.302719947629122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43.302719947629122</v>
      </c>
      <c r="EZ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5.8</v>
      </c>
      <c r="FE74" s="12">
        <f>IF('Données projet'!$A$218&gt;35,FE73+FD74-FM73,IF(A74&lt;'Données projet'!$A$218,$FB$205^A74,IF(A74='Données projet'!$A$218,'Données projet'!$B$218,FE73+FD74-FM73)))</f>
        <v>240.7999999999999</v>
      </c>
      <c r="FF74" s="17">
        <f>FE74*VLOOKUP('Données projet'!$B$16,Paramètres!$A$1:$I$89,3,0)*VLOOKUP('Données projet'!$B$16,Paramètres!$A$1:$I$89,5,0)</f>
        <v>229.14527999999993</v>
      </c>
      <c r="FG74" s="13">
        <f t="shared" si="101"/>
        <v>56.097831057350788</v>
      </c>
      <c r="FH74" s="20">
        <f t="shared" si="76"/>
        <v>496.79841842488571</v>
      </c>
      <c r="FI74" s="59">
        <f t="shared" si="77"/>
        <v>782.72276912673908</v>
      </c>
      <c r="FJ74" s="59">
        <f ca="1">AVERAGE(OFFSET($FI$3,0,0,'Données projet'!$E$16+1,1))-AVERAGE(OFFSET($H$3,0,0,'Données projet'!$E$16+1,1))</f>
        <v>457.706832425622</v>
      </c>
      <c r="FK74" s="59">
        <f t="shared" si="102"/>
        <v>474.61768219844873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75.337832923647582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75.337832923647582</v>
      </c>
      <c r="FU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4.2</v>
      </c>
      <c r="FZ74" s="12">
        <f>IF('Données projet'!$A$244&gt;35,FZ73+FY74-GH73,IF(A74&lt;'Données projet'!$A$244,$FW$205^A74,IF(A74='Données projet'!$A$244,'Données projet'!$B$244,FZ73+FY74-GH73)))</f>
        <v>307.19999999999993</v>
      </c>
      <c r="GA74" s="17">
        <f>FZ74*VLOOKUP('Données projet'!$B$17,Paramètres!$A$1:$I$89,3,0)*VLOOKUP('Données projet'!$B$17,Paramètres!$A$1:$I$89,5,0)</f>
        <v>297.12383999999997</v>
      </c>
      <c r="GB74" s="13">
        <f t="shared" si="103"/>
        <v>70.573172225675918</v>
      </c>
      <c r="GC74" s="20">
        <f t="shared" si="79"/>
        <v>640.40562962638558</v>
      </c>
      <c r="GD74" s="59">
        <f t="shared" si="80"/>
        <v>926.32998032823889</v>
      </c>
      <c r="GE74" s="59">
        <f ca="1">AVERAGE(OFFSET($GD$3,0,0,'Données projet'!$E$17+1,1))-AVERAGE(OFFSET($H$3,0,0,'Données projet'!$E$17+1,1))</f>
        <v>428.11167311086814</v>
      </c>
      <c r="GF74" s="59">
        <f t="shared" si="104"/>
        <v>415.69449942923609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50.656012014207661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50.656012014207661</v>
      </c>
      <c r="GP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1.1368683772161603E-13</v>
      </c>
      <c r="GV74" s="17">
        <f>GU74*VLOOKUP('Données projet'!$B$18,Paramètres!$A$1:$I$89,3,0)*VLOOKUP('Données projet'!$B$18,Paramètres!$A$1:$I$89,5,0)</f>
        <v>6.5087988332379613E-14</v>
      </c>
      <c r="GW74" s="13">
        <f t="shared" si="105"/>
        <v>1.0279249680474958E-12</v>
      </c>
      <c r="GX74" s="20">
        <f t="shared" si="82"/>
        <v>1.9036642323616162E-12</v>
      </c>
      <c r="GY74" s="59">
        <f t="shared" si="83"/>
        <v>285.92435070185525</v>
      </c>
      <c r="GZ74" s="59">
        <f ca="1">AVERAGE(OFFSET($GY$3,0,0,'Données projet'!$E$18+1,1))-AVERAGE(OFFSET($H$3,0,0,'Données projet'!$E$18+1,1))</f>
        <v>249.88816678272056</v>
      </c>
      <c r="HA74" s="59">
        <f t="shared" si="106"/>
        <v>432.10802787437319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36.87358944852916</v>
      </c>
      <c r="HH74" s="21">
        <f>EXP(-LN(2)/25)*HH73+(1-EXP(-LN(2)/25))/(LN(2)/25)*Calculateur!HC74*Calculateur!HE74*VLOOKUP('Données projet'!$B$18,Paramètres!$A$1:$I$89,3,0)*0.475*44/12</f>
        <v>6.9029466256934624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43.776536074222619</v>
      </c>
    </row>
    <row r="75" spans="1:218" x14ac:dyDescent="0.3">
      <c r="A75" s="10">
        <f t="shared" si="85"/>
        <v>72</v>
      </c>
      <c r="B75" s="71">
        <f>'Scénario référence'!$B$16*5+'Scénario référence'!$B$17*0+'Scénario référence'!$B$18*5</f>
        <v>1.4000000000000001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5.1333333333333337</v>
      </c>
      <c r="H75" s="65">
        <f t="shared" si="56"/>
        <v>236.13333333333335</v>
      </c>
      <c r="I75" s="6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4.2</v>
      </c>
      <c r="N75" s="13">
        <f>IF('Données projet'!$A$36&gt;35,N74+M75-V74,IF(A75&lt;'Données projet'!$A$36,$K$205^A75,IF(A75='Données projet'!$A$36,'Données projet'!$B$36,N74+M75-V74)))</f>
        <v>311.39999999999992</v>
      </c>
      <c r="O75" s="13">
        <f>N75*VLOOKUP('Données projet'!$B$9,Paramètres!$A$1:$I$89,3,0)*VLOOKUP('Données projet'!$B$9,Paramètres!$A$1:$I$89,5,0)</f>
        <v>247.74983999999995</v>
      </c>
      <c r="P75" s="13">
        <f t="shared" si="87"/>
        <v>60.103849700617872</v>
      </c>
      <c r="Q75" s="20">
        <f t="shared" si="54"/>
        <v>536.17850956190932</v>
      </c>
      <c r="R75" s="59">
        <f t="shared" si="55"/>
        <v>822.23138954841534</v>
      </c>
      <c r="S75" s="59">
        <f ca="1">AVERAGE(OFFSET($R$3,0,0,'Données projet'!$E$9+1,1))-AVERAGE(OFFSET($H$3,0,0,'Données projet'!$E$9+1,1))</f>
        <v>360.06385535620069</v>
      </c>
      <c r="T75" s="59">
        <f t="shared" si="88"/>
        <v>350.82516032456408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50.351920490624948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50.351920490624948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261.66816</v>
      </c>
      <c r="AK75" s="13">
        <f t="shared" si="89"/>
        <v>63.077829793082856</v>
      </c>
      <c r="AL75" s="20">
        <f t="shared" si="58"/>
        <v>565.5992655562859</v>
      </c>
      <c r="AM75" s="59">
        <f t="shared" si="59"/>
        <v>851.65214554279191</v>
      </c>
      <c r="AN75" s="59">
        <f ca="1">AVERAGE(OFFSET($AM$3,0,0,'Données projet'!$E$10+1,1))-AVERAGE(OFFSET($H$3,0,0,'Données projet'!$E$10+1,1))</f>
        <v>448.65237942538027</v>
      </c>
      <c r="AO75" s="59">
        <f t="shared" si="90"/>
        <v>283.56749129825107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67.176719645808262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67.176719645808262</v>
      </c>
      <c r="AY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9.4</v>
      </c>
      <c r="BD75" s="12">
        <f>IF('Données projet'!$A$88&gt;35,BD74+BC75-BL74,IF(A75&lt;'Données projet'!$A$88,$BA$205^A75,IF(A75='Données projet'!$A$88,'Données projet'!$B$88,BD74+BC75-BL74)))</f>
        <v>306.7999999999999</v>
      </c>
      <c r="BE75" s="13">
        <f>BD75*VLOOKUP('Données projet'!$B$11,Paramètres!$A$1:$I$89,3,0)*VLOOKUP('Données projet'!$B$11,Paramètres!$A$1:$I$89,5,0)</f>
        <v>263.23439999999994</v>
      </c>
      <c r="BF75" s="13">
        <f t="shared" si="91"/>
        <v>63.411324464279403</v>
      </c>
      <c r="BG75" s="20">
        <f t="shared" si="61"/>
        <v>568.90797010861979</v>
      </c>
      <c r="BH75" s="59">
        <f t="shared" si="62"/>
        <v>854.96085009512581</v>
      </c>
      <c r="BI75" s="59">
        <f ca="1">AVERAGE(OFFSET($BH$3,0,0,'Données projet'!$E$11+1,1))-AVERAGE(OFFSET($H$3,0,0,'Données projet'!$E$11+1,1))</f>
        <v>456.76871853389395</v>
      </c>
      <c r="BJ75" s="59">
        <f t="shared" si="92"/>
        <v>262.12425810289176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78.516494694278748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78.516494694278748</v>
      </c>
      <c r="BT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255.00000000000006</v>
      </c>
      <c r="BZ75" s="13">
        <f>BY75*VLOOKUP('Données projet'!$B$12,Paramètres!$A$1:$I$89,3,0)*VLOOKUP('Données projet'!$B$12,Paramètres!$A$1:$I$89,5,0)</f>
        <v>186.96600000000004</v>
      </c>
      <c r="CA75" s="13">
        <f t="shared" si="93"/>
        <v>46.868551400324648</v>
      </c>
      <c r="CB75" s="20">
        <f t="shared" si="64"/>
        <v>407.26184368889881</v>
      </c>
      <c r="CC75" s="59">
        <f t="shared" si="65"/>
        <v>693.31472367540482</v>
      </c>
      <c r="CD75" s="59">
        <f ca="1">AVERAGE(OFFSET($CC$3,0,0,'Données projet'!$E$12+1,1))-AVERAGE(OFFSET($H$3,0,0,'Données projet'!$E$12+1,1))</f>
        <v>242.65851607945316</v>
      </c>
      <c r="CE75" s="59">
        <f t="shared" si="94"/>
        <v>218.9349999985487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249.0000000000002</v>
      </c>
      <c r="CU75" s="17">
        <f>CT75*VLOOKUP('Données projet'!$B$13,Paramètres!$A$1:$I$89,3,0)*VLOOKUP('Données projet'!$B$13,Paramètres!$A$1:$I$89,5,0)</f>
        <v>217.52640000000019</v>
      </c>
      <c r="CV75" s="13">
        <f t="shared" si="95"/>
        <v>53.576907690651304</v>
      </c>
      <c r="CW75" s="20">
        <f t="shared" si="67"/>
        <v>472.17159422788467</v>
      </c>
      <c r="CX75" s="59">
        <f t="shared" si="68"/>
        <v>758.22447421439063</v>
      </c>
      <c r="CY75" s="59">
        <f ca="1">AVERAGE(OFFSET($CX$3,0,0,'Données projet'!$E$13+1,1))-AVERAGE(OFFSET($H$3,0,0,'Données projet'!$E$13+1,1))</f>
        <v>326.9460696675867</v>
      </c>
      <c r="CZ75" s="59">
        <f t="shared" si="96"/>
        <v>393.4020374592568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60.025486796921257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60.025486796921257</v>
      </c>
      <c r="DJ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9</v>
      </c>
      <c r="DO75" s="12">
        <f>IF('Données projet'!$A$166&gt;35,DO74+DN75-DW74,IF(A75&lt;'Données projet'!$A$166,$DL$205^A75,IF(A75='Données projet'!$A$166,'Données projet'!$B$166,DO74+DN75-DW74)))</f>
        <v>313.00000000000017</v>
      </c>
      <c r="DP75" s="17">
        <f>DO75*VLOOKUP('Données projet'!$B$14,Paramètres!$A$1:$I$89,3,0)*VLOOKUP('Données projet'!$B$14,Paramètres!$A$1:$I$89,5,0)</f>
        <v>244.14000000000013</v>
      </c>
      <c r="DQ75" s="13">
        <f t="shared" si="97"/>
        <v>59.329383078866108</v>
      </c>
      <c r="DR75" s="20">
        <f t="shared" si="70"/>
        <v>528.54250886235877</v>
      </c>
      <c r="DS75" s="59">
        <f t="shared" si="71"/>
        <v>814.59538884886479</v>
      </c>
      <c r="DT75" s="59">
        <f ca="1">AVERAGE(OFFSET($DS$3,0,0,'Données projet'!$E$14+1,1))-AVERAGE(OFFSET($H$3,0,0,'Données projet'!$E$14+1,1))</f>
        <v>364.34528546733799</v>
      </c>
      <c r="DU75" s="59">
        <f t="shared" si="98"/>
        <v>346.5839763411152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71.107709615223357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71.107709615223357</v>
      </c>
      <c r="EE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208.88711999999995</v>
      </c>
      <c r="EL75" s="13">
        <f t="shared" si="99"/>
        <v>51.692318263308358</v>
      </c>
      <c r="EM75" s="20">
        <f t="shared" si="73"/>
        <v>453.84252164192861</v>
      </c>
      <c r="EN75" s="59">
        <f t="shared" si="74"/>
        <v>739.89540162843457</v>
      </c>
      <c r="EO75" s="59">
        <f ca="1">AVERAGE(OFFSET($EN$3,0,0,'Données projet'!$E$15+1,1))-AVERAGE(OFFSET($H$3,0,0,'Données projet'!$E$15+1,1))</f>
        <v>310.38232870602445</v>
      </c>
      <c r="EP75" s="59">
        <f t="shared" si="100"/>
        <v>303.45934457265537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42.453580021507307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42.453580021507307</v>
      </c>
      <c r="EZ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5.8</v>
      </c>
      <c r="FE75" s="12">
        <f>IF('Données projet'!$A$218&gt;35,FE74+FD75-FM74,IF(A75&lt;'Données projet'!$A$218,$FB$205^A75,IF(A75='Données projet'!$A$218,'Données projet'!$B$218,FE74+FD75-FM74)))</f>
        <v>246.59999999999991</v>
      </c>
      <c r="FF75" s="17">
        <f>FE75*VLOOKUP('Données projet'!$B$16,Paramètres!$A$1:$I$89,3,0)*VLOOKUP('Données projet'!$B$16,Paramètres!$A$1:$I$89,5,0)</f>
        <v>234.66455999999991</v>
      </c>
      <c r="FG75" s="13">
        <f t="shared" si="101"/>
        <v>57.290086878049593</v>
      </c>
      <c r="FH75" s="20">
        <f t="shared" si="76"/>
        <v>508.48767664593629</v>
      </c>
      <c r="FI75" s="59">
        <f t="shared" si="77"/>
        <v>794.5405566324423</v>
      </c>
      <c r="FJ75" s="59">
        <f ca="1">AVERAGE(OFFSET($FI$3,0,0,'Données projet'!$E$16+1,1))-AVERAGE(OFFSET($H$3,0,0,'Données projet'!$E$16+1,1))</f>
        <v>457.706832425622</v>
      </c>
      <c r="FK75" s="59">
        <f t="shared" si="102"/>
        <v>474.61768219844873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73.860503971555602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73.860503971555602</v>
      </c>
      <c r="FU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4.2</v>
      </c>
      <c r="FZ75" s="12">
        <f>IF('Données projet'!$A$244&gt;35,FZ74+FY75-GH74,IF(A75&lt;'Données projet'!$A$244,$FW$205^A75,IF(A75='Données projet'!$A$244,'Données projet'!$B$244,FZ74+FY75-GH74)))</f>
        <v>311.39999999999992</v>
      </c>
      <c r="GA75" s="17">
        <f>FZ75*VLOOKUP('Données projet'!$B$17,Paramètres!$A$1:$I$89,3,0)*VLOOKUP('Données projet'!$B$17,Paramètres!$A$1:$I$89,5,0)</f>
        <v>301.18607999999995</v>
      </c>
      <c r="GB75" s="13">
        <f t="shared" si="103"/>
        <v>71.425054271756295</v>
      </c>
      <c r="GC75" s="20">
        <f t="shared" si="79"/>
        <v>648.96439218997534</v>
      </c>
      <c r="GD75" s="59">
        <f t="shared" si="80"/>
        <v>935.01727217648136</v>
      </c>
      <c r="GE75" s="59">
        <f ca="1">AVERAGE(OFFSET($GD$3,0,0,'Données projet'!$E$17+1,1))-AVERAGE(OFFSET($H$3,0,0,'Données projet'!$E$17+1,1))</f>
        <v>428.11167311086814</v>
      </c>
      <c r="GF75" s="59">
        <f t="shared" si="104"/>
        <v>415.69449942923609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49.662678515725538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49.662678515725538</v>
      </c>
      <c r="GP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1.1368683772161603E-13</v>
      </c>
      <c r="GV75" s="17">
        <f>GU75*VLOOKUP('Données projet'!$B$18,Paramètres!$A$1:$I$89,3,0)*VLOOKUP('Données projet'!$B$18,Paramètres!$A$1:$I$89,5,0)</f>
        <v>6.5087988332379613E-14</v>
      </c>
      <c r="GW75" s="13">
        <f t="shared" si="105"/>
        <v>1.0279249680474958E-12</v>
      </c>
      <c r="GX75" s="20">
        <f t="shared" si="82"/>
        <v>1.9036642323616162E-12</v>
      </c>
      <c r="GY75" s="59">
        <f t="shared" si="83"/>
        <v>286.05287998650783</v>
      </c>
      <c r="GZ75" s="59">
        <f ca="1">AVERAGE(OFFSET($GY$3,0,0,'Données projet'!$E$18+1,1))-AVERAGE(OFFSET($H$3,0,0,'Données projet'!$E$18+1,1))</f>
        <v>249.88816678272056</v>
      </c>
      <c r="HA75" s="59">
        <f t="shared" si="106"/>
        <v>432.10802787437319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36.150520850112301</v>
      </c>
      <c r="HH75" s="21">
        <f>EXP(-LN(2)/25)*HH74+(1-EXP(-LN(2)/25))/(LN(2)/25)*Calculateur!HC75*Calculateur!HE75*VLOOKUP('Données projet'!$B$18,Paramètres!$A$1:$I$89,3,0)*0.475*44/12</f>
        <v>6.7141851872036886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42.86470603731599</v>
      </c>
    </row>
    <row r="76" spans="1:218" x14ac:dyDescent="0.3">
      <c r="A76" s="10">
        <f t="shared" si="85"/>
        <v>73</v>
      </c>
      <c r="B76" s="71">
        <f>'Scénario référence'!$B$16*5+'Scénario référence'!$B$17*0+'Scénario référence'!$B$18*5</f>
        <v>1.4000000000000001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5.1333333333333337</v>
      </c>
      <c r="H76" s="65">
        <f t="shared" si="56"/>
        <v>236.13333333333335</v>
      </c>
      <c r="I76" s="6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4.2</v>
      </c>
      <c r="N76" s="13">
        <f>IF('Données projet'!$A$36&gt;35,N75+M76-V75,IF(A76&lt;'Données projet'!$A$36,$K$205^A76,IF(A76='Données projet'!$A$36,'Données projet'!$B$36,N75+M76-V75)))</f>
        <v>315.59999999999991</v>
      </c>
      <c r="O76" s="13">
        <f>N76*VLOOKUP('Données projet'!$B$9,Paramètres!$A$1:$I$89,3,0)*VLOOKUP('Données projet'!$B$9,Paramètres!$A$1:$I$89,5,0)</f>
        <v>251.09135999999995</v>
      </c>
      <c r="P76" s="13">
        <f t="shared" si="87"/>
        <v>60.81957989149403</v>
      </c>
      <c r="Q76" s="20">
        <f t="shared" si="54"/>
        <v>543.24488697768527</v>
      </c>
      <c r="R76" s="59">
        <f t="shared" si="55"/>
        <v>829.42406655310333</v>
      </c>
      <c r="S76" s="59">
        <f ca="1">AVERAGE(OFFSET($R$3,0,0,'Données projet'!$E$9+1,1))-AVERAGE(OFFSET($H$3,0,0,'Données projet'!$E$9+1,1))</f>
        <v>360.06385535620069</v>
      </c>
      <c r="T76" s="59">
        <f t="shared" si="88"/>
        <v>350.82516032456408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49.364550041442769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49.364550041442769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268.54464000000002</v>
      </c>
      <c r="AK76" s="13">
        <f t="shared" si="89"/>
        <v>64.54030807605065</v>
      </c>
      <c r="AL76" s="20">
        <f t="shared" si="58"/>
        <v>580.12295123245474</v>
      </c>
      <c r="AM76" s="59">
        <f t="shared" si="59"/>
        <v>866.3021308078728</v>
      </c>
      <c r="AN76" s="59">
        <f ca="1">AVERAGE(OFFSET($AM$3,0,0,'Données projet'!$E$10+1,1))-AVERAGE(OFFSET($H$3,0,0,'Données projet'!$E$10+1,1))</f>
        <v>448.65237942538027</v>
      </c>
      <c r="AO76" s="59">
        <f t="shared" si="90"/>
        <v>283.56749129825107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65.859425147307121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65.859425147307121</v>
      </c>
      <c r="AY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9.4</v>
      </c>
      <c r="BD76" s="12">
        <f>IF('Données projet'!$A$88&gt;35,BD75+BC76-BL75,IF(A76&lt;'Données projet'!$A$88,$BA$205^A76,IF(A76='Données projet'!$A$88,'Données projet'!$B$88,BD75+BC76-BL75)))</f>
        <v>316.19999999999987</v>
      </c>
      <c r="BE76" s="13">
        <f>BD76*VLOOKUP('Données projet'!$B$11,Paramètres!$A$1:$I$89,3,0)*VLOOKUP('Données projet'!$B$11,Paramètres!$A$1:$I$89,5,0)</f>
        <v>271.29959999999994</v>
      </c>
      <c r="BF76" s="13">
        <f t="shared" si="91"/>
        <v>65.125000081857877</v>
      </c>
      <c r="BG76" s="20">
        <f t="shared" si="61"/>
        <v>585.93951180923568</v>
      </c>
      <c r="BH76" s="59">
        <f t="shared" si="62"/>
        <v>872.11869138465386</v>
      </c>
      <c r="BI76" s="59">
        <f ca="1">AVERAGE(OFFSET($BH$3,0,0,'Données projet'!$E$11+1,1))-AVERAGE(OFFSET($H$3,0,0,'Données projet'!$E$11+1,1))</f>
        <v>456.76871853389395</v>
      </c>
      <c r="BJ76" s="59">
        <f t="shared" si="92"/>
        <v>262.12425810289176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76.976834123656928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76.976834123656928</v>
      </c>
      <c r="BT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255.00000000000006</v>
      </c>
      <c r="BZ76" s="13">
        <f>BY76*VLOOKUP('Données projet'!$B$12,Paramètres!$A$1:$I$89,3,0)*VLOOKUP('Données projet'!$B$12,Paramètres!$A$1:$I$89,5,0)</f>
        <v>186.96600000000004</v>
      </c>
      <c r="CA76" s="13">
        <f t="shared" si="93"/>
        <v>46.868551400324648</v>
      </c>
      <c r="CB76" s="20">
        <f t="shared" si="64"/>
        <v>407.26184368889881</v>
      </c>
      <c r="CC76" s="59">
        <f t="shared" si="65"/>
        <v>693.44102326431698</v>
      </c>
      <c r="CD76" s="59">
        <f ca="1">AVERAGE(OFFSET($CC$3,0,0,'Données projet'!$E$12+1,1))-AVERAGE(OFFSET($H$3,0,0,'Données projet'!$E$12+1,1))</f>
        <v>242.65851607945316</v>
      </c>
      <c r="CE76" s="59">
        <f t="shared" si="94"/>
        <v>218.9349999985487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249.0000000000002</v>
      </c>
      <c r="CU76" s="17">
        <f>CT76*VLOOKUP('Données projet'!$B$13,Paramètres!$A$1:$I$89,3,0)*VLOOKUP('Données projet'!$B$13,Paramètres!$A$1:$I$89,5,0)</f>
        <v>217.52640000000019</v>
      </c>
      <c r="CV76" s="13">
        <f t="shared" si="95"/>
        <v>53.576907690651304</v>
      </c>
      <c r="CW76" s="20">
        <f t="shared" si="67"/>
        <v>472.17159422788467</v>
      </c>
      <c r="CX76" s="59">
        <f t="shared" si="68"/>
        <v>758.35077380330279</v>
      </c>
      <c r="CY76" s="59">
        <f ca="1">AVERAGE(OFFSET($CX$3,0,0,'Données projet'!$E$13+1,1))-AVERAGE(OFFSET($H$3,0,0,'Données projet'!$E$13+1,1))</f>
        <v>326.9460696675867</v>
      </c>
      <c r="CZ76" s="59">
        <f t="shared" si="96"/>
        <v>393.4020374592568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58.848423612765451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58.848423612765451</v>
      </c>
      <c r="DJ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9</v>
      </c>
      <c r="DO76" s="12">
        <f>IF('Données projet'!$A$166&gt;35,DO75+DN76-DW75,IF(A76&lt;'Données projet'!$A$166,$DL$205^A76,IF(A76='Données projet'!$A$166,'Données projet'!$B$166,DO75+DN76-DW75)))</f>
        <v>322.00000000000017</v>
      </c>
      <c r="DP76" s="17">
        <f>DO76*VLOOKUP('Données projet'!$B$14,Paramètres!$A$1:$I$89,3,0)*VLOOKUP('Données projet'!$B$14,Paramètres!$A$1:$I$89,5,0)</f>
        <v>251.16000000000014</v>
      </c>
      <c r="DQ76" s="13">
        <f t="shared" si="97"/>
        <v>60.834270430141594</v>
      </c>
      <c r="DR76" s="20">
        <f t="shared" si="70"/>
        <v>543.39002099916354</v>
      </c>
      <c r="DS76" s="59">
        <f t="shared" si="71"/>
        <v>829.5692005745816</v>
      </c>
      <c r="DT76" s="59">
        <f ca="1">AVERAGE(OFFSET($DS$3,0,0,'Données projet'!$E$14+1,1))-AVERAGE(OFFSET($H$3,0,0,'Données projet'!$E$14+1,1))</f>
        <v>364.34528546733799</v>
      </c>
      <c r="DU76" s="59">
        <f t="shared" si="98"/>
        <v>346.5839763411152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69.713330801089114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69.713330801089114</v>
      </c>
      <c r="EE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211.70447999999996</v>
      </c>
      <c r="EL76" s="13">
        <f t="shared" si="99"/>
        <v>52.307882041697276</v>
      </c>
      <c r="EM76" s="20">
        <f t="shared" si="73"/>
        <v>459.82153055595603</v>
      </c>
      <c r="EN76" s="59">
        <f t="shared" si="74"/>
        <v>746.00071013137415</v>
      </c>
      <c r="EO76" s="59">
        <f ca="1">AVERAGE(OFFSET($EN$3,0,0,'Données projet'!$E$15+1,1))-AVERAGE(OFFSET($H$3,0,0,'Données projet'!$E$15+1,1))</f>
        <v>310.38232870602445</v>
      </c>
      <c r="EP76" s="59">
        <f t="shared" si="100"/>
        <v>303.45934457265537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41.621091211412526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41.621091211412526</v>
      </c>
      <c r="EZ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5.8</v>
      </c>
      <c r="FE76" s="12">
        <f>IF('Données projet'!$A$218&gt;35,FE75+FD76-FM75,IF(A76&lt;'Données projet'!$A$218,$FB$205^A76,IF(A76='Données projet'!$A$218,'Données projet'!$B$218,FE75+FD76-FM75)))</f>
        <v>252.39999999999992</v>
      </c>
      <c r="FF76" s="17">
        <f>FE76*VLOOKUP('Données projet'!$B$16,Paramètres!$A$1:$I$89,3,0)*VLOOKUP('Données projet'!$B$16,Paramètres!$A$1:$I$89,5,0)</f>
        <v>240.18383999999992</v>
      </c>
      <c r="FG76" s="13">
        <f t="shared" si="101"/>
        <v>58.479082790905672</v>
      </c>
      <c r="FH76" s="20">
        <f t="shared" si="76"/>
        <v>520.1712571941606</v>
      </c>
      <c r="FI76" s="59">
        <f t="shared" si="77"/>
        <v>806.35043676957866</v>
      </c>
      <c r="FJ76" s="59">
        <f ca="1">AVERAGE(OFFSET($FI$3,0,0,'Données projet'!$E$16+1,1))-AVERAGE(OFFSET($H$3,0,0,'Données projet'!$E$16+1,1))</f>
        <v>457.706832425622</v>
      </c>
      <c r="FK76" s="59">
        <f t="shared" si="102"/>
        <v>474.61768219844873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72.412144539132456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72.412144539132456</v>
      </c>
      <c r="FU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4.2</v>
      </c>
      <c r="FZ76" s="12">
        <f>IF('Données projet'!$A$244&gt;35,FZ75+FY76-GH75,IF(A76&lt;'Données projet'!$A$244,$FW$205^A76,IF(A76='Données projet'!$A$244,'Données projet'!$B$244,FZ75+FY76-GH75)))</f>
        <v>315.59999999999991</v>
      </c>
      <c r="GA76" s="17">
        <f>FZ76*VLOOKUP('Données projet'!$B$17,Paramètres!$A$1:$I$89,3,0)*VLOOKUP('Données projet'!$B$17,Paramètres!$A$1:$I$89,5,0)</f>
        <v>305.24831999999992</v>
      </c>
      <c r="GB76" s="13">
        <f t="shared" si="103"/>
        <v>72.275599918697424</v>
      </c>
      <c r="GC76" s="20">
        <f t="shared" si="79"/>
        <v>657.5208271917312</v>
      </c>
      <c r="GD76" s="59">
        <f t="shared" si="80"/>
        <v>943.70000676714926</v>
      </c>
      <c r="GE76" s="59">
        <f ca="1">AVERAGE(OFFSET($GD$3,0,0,'Données projet'!$E$17+1,1))-AVERAGE(OFFSET($H$3,0,0,'Données projet'!$E$17+1,1))</f>
        <v>428.11167311086814</v>
      </c>
      <c r="GF76" s="59">
        <f t="shared" si="104"/>
        <v>415.69449942923609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48.688823681275046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48.688823681275046</v>
      </c>
      <c r="GP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1.1368683772161603E-13</v>
      </c>
      <c r="GV76" s="17">
        <f>GU76*VLOOKUP('Données projet'!$B$18,Paramètres!$A$1:$I$89,3,0)*VLOOKUP('Données projet'!$B$18,Paramètres!$A$1:$I$89,5,0)</f>
        <v>6.5087988332379613E-14</v>
      </c>
      <c r="GW76" s="13">
        <f t="shared" si="105"/>
        <v>1.0279249680474958E-12</v>
      </c>
      <c r="GX76" s="20">
        <f t="shared" si="82"/>
        <v>1.9036642323616162E-12</v>
      </c>
      <c r="GY76" s="59">
        <f t="shared" si="83"/>
        <v>286.17917957541999</v>
      </c>
      <c r="GZ76" s="59">
        <f ca="1">AVERAGE(OFFSET($GY$3,0,0,'Données projet'!$E$18+1,1))-AVERAGE(OFFSET($H$3,0,0,'Données projet'!$E$18+1,1))</f>
        <v>249.88816678272056</v>
      </c>
      <c r="HA76" s="59">
        <f t="shared" si="106"/>
        <v>432.10802787437319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35.441631185882095</v>
      </c>
      <c r="HH76" s="21">
        <f>EXP(-LN(2)/25)*HH75+(1-EXP(-LN(2)/25))/(LN(2)/25)*Calculateur!HC76*Calculateur!HE76*VLOOKUP('Données projet'!$B$18,Paramètres!$A$1:$I$89,3,0)*0.475*44/12</f>
        <v>6.5305854401759502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41.972216626058042</v>
      </c>
    </row>
    <row r="77" spans="1:218" x14ac:dyDescent="0.3">
      <c r="A77" s="10">
        <f t="shared" si="85"/>
        <v>74</v>
      </c>
      <c r="B77" s="71">
        <f>'Scénario référence'!$B$16*5+'Scénario référence'!$B$17*0+'Scénario référence'!$B$18*5</f>
        <v>1.4000000000000001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5.1333333333333337</v>
      </c>
      <c r="H77" s="65">
        <f t="shared" si="56"/>
        <v>236.13333333333335</v>
      </c>
      <c r="I77" s="6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4.2</v>
      </c>
      <c r="N77" s="13">
        <f>IF('Données projet'!$A$36&gt;35,N76+M77-V76,IF(A77&lt;'Données projet'!$A$36,$K$205^A77,IF(A77='Données projet'!$A$36,'Données projet'!$B$36,N76+M77-V76)))</f>
        <v>319.7999999999999</v>
      </c>
      <c r="O77" s="13">
        <f>N77*VLOOKUP('Données projet'!$B$9,Paramètres!$A$1:$I$89,3,0)*VLOOKUP('Données projet'!$B$9,Paramètres!$A$1:$I$89,5,0)</f>
        <v>254.43287999999995</v>
      </c>
      <c r="P77" s="13">
        <f t="shared" si="87"/>
        <v>61.534202204620392</v>
      </c>
      <c r="Q77" s="20">
        <f t="shared" si="54"/>
        <v>550.30933483971376</v>
      </c>
      <c r="R77" s="59">
        <f t="shared" si="55"/>
        <v>836.6126229885399</v>
      </c>
      <c r="S77" s="59">
        <f ca="1">AVERAGE(OFFSET($R$3,0,0,'Données projet'!$E$9+1,1))-AVERAGE(OFFSET($H$3,0,0,'Données projet'!$E$9+1,1))</f>
        <v>360.06385535620069</v>
      </c>
      <c r="T77" s="59">
        <f t="shared" si="88"/>
        <v>350.82516032456408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48.396541324532542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48.396541324532542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275.42112000000003</v>
      </c>
      <c r="AK77" s="13">
        <f t="shared" si="89"/>
        <v>65.998433293601067</v>
      </c>
      <c r="AL77" s="20">
        <f t="shared" si="58"/>
        <v>594.63905531968851</v>
      </c>
      <c r="AM77" s="59">
        <f t="shared" si="59"/>
        <v>880.94234346851476</v>
      </c>
      <c r="AN77" s="59">
        <f ca="1">AVERAGE(OFFSET($AM$3,0,0,'Données projet'!$E$10+1,1))-AVERAGE(OFFSET($H$3,0,0,'Données projet'!$E$10+1,1))</f>
        <v>448.65237942538027</v>
      </c>
      <c r="AO77" s="59">
        <f t="shared" si="90"/>
        <v>283.56749129825107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64.56796199045128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64.56796199045128</v>
      </c>
      <c r="AY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9.4</v>
      </c>
      <c r="BD77" s="12">
        <f>IF('Données projet'!$A$88&gt;35,BD76+BC77-BL76,IF(A77&lt;'Données projet'!$A$88,$BA$205^A77,IF(A77='Données projet'!$A$88,'Données projet'!$B$88,BD76+BC77-BL76)))</f>
        <v>325.59999999999985</v>
      </c>
      <c r="BE77" s="13">
        <f>BD77*VLOOKUP('Données projet'!$B$11,Paramètres!$A$1:$I$89,3,0)*VLOOKUP('Données projet'!$B$11,Paramètres!$A$1:$I$89,5,0)</f>
        <v>279.36479999999989</v>
      </c>
      <c r="BF77" s="13">
        <f t="shared" si="91"/>
        <v>66.832755122992182</v>
      </c>
      <c r="BG77" s="20">
        <f t="shared" si="61"/>
        <v>602.96074183921121</v>
      </c>
      <c r="BH77" s="59">
        <f t="shared" si="62"/>
        <v>889.26402998803746</v>
      </c>
      <c r="BI77" s="59">
        <f ca="1">AVERAGE(OFFSET($BH$3,0,0,'Données projet'!$E$11+1,1))-AVERAGE(OFFSET($H$3,0,0,'Données projet'!$E$11+1,1))</f>
        <v>456.76871853389395</v>
      </c>
      <c r="BJ77" s="59">
        <f t="shared" si="92"/>
        <v>262.12425810289176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75.467365357724788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75.467365357724788</v>
      </c>
      <c r="BT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255.00000000000006</v>
      </c>
      <c r="BZ77" s="13">
        <f>BY77*VLOOKUP('Données projet'!$B$12,Paramètres!$A$1:$I$89,3,0)*VLOOKUP('Données projet'!$B$12,Paramètres!$A$1:$I$89,5,0)</f>
        <v>186.96600000000004</v>
      </c>
      <c r="CA77" s="13">
        <f t="shared" si="93"/>
        <v>46.868551400324648</v>
      </c>
      <c r="CB77" s="20">
        <f t="shared" si="64"/>
        <v>407.26184368889881</v>
      </c>
      <c r="CC77" s="59">
        <f t="shared" si="65"/>
        <v>693.56513183772495</v>
      </c>
      <c r="CD77" s="59">
        <f ca="1">AVERAGE(OFFSET($CC$3,0,0,'Données projet'!$E$12+1,1))-AVERAGE(OFFSET($H$3,0,0,'Données projet'!$E$12+1,1))</f>
        <v>242.65851607945316</v>
      </c>
      <c r="CE77" s="59">
        <f t="shared" si="94"/>
        <v>218.9349999985487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249.0000000000002</v>
      </c>
      <c r="CU77" s="17">
        <f>CT77*VLOOKUP('Données projet'!$B$13,Paramètres!$A$1:$I$89,3,0)*VLOOKUP('Données projet'!$B$13,Paramètres!$A$1:$I$89,5,0)</f>
        <v>217.52640000000019</v>
      </c>
      <c r="CV77" s="13">
        <f t="shared" si="95"/>
        <v>53.576907690651304</v>
      </c>
      <c r="CW77" s="20">
        <f t="shared" si="67"/>
        <v>472.17159422788467</v>
      </c>
      <c r="CX77" s="59">
        <f t="shared" si="68"/>
        <v>758.47488237671087</v>
      </c>
      <c r="CY77" s="59">
        <f ca="1">AVERAGE(OFFSET($CX$3,0,0,'Données projet'!$E$13+1,1))-AVERAGE(OFFSET($H$3,0,0,'Données projet'!$E$13+1,1))</f>
        <v>326.9460696675867</v>
      </c>
      <c r="CZ77" s="59">
        <f t="shared" si="96"/>
        <v>393.4020374592568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57.694441919713285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57.694441919713285</v>
      </c>
      <c r="DJ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9</v>
      </c>
      <c r="DO77" s="12">
        <f>IF('Données projet'!$A$166&gt;35,DO76+DN77-DW76,IF(A77&lt;'Données projet'!$A$166,$DL$205^A77,IF(A77='Données projet'!$A$166,'Données projet'!$B$166,DO76+DN77-DW76)))</f>
        <v>331.00000000000017</v>
      </c>
      <c r="DP77" s="17">
        <f>DO77*VLOOKUP('Données projet'!$B$14,Paramètres!$A$1:$I$89,3,0)*VLOOKUP('Données projet'!$B$14,Paramètres!$A$1:$I$89,5,0)</f>
        <v>258.18000000000012</v>
      </c>
      <c r="DQ77" s="13">
        <f t="shared" si="97"/>
        <v>62.334269039770149</v>
      </c>
      <c r="DR77" s="20">
        <f t="shared" si="70"/>
        <v>558.22901857759996</v>
      </c>
      <c r="DS77" s="59">
        <f t="shared" si="71"/>
        <v>844.53230672642621</v>
      </c>
      <c r="DT77" s="59">
        <f ca="1">AVERAGE(OFFSET($DS$3,0,0,'Données projet'!$E$14+1,1))-AVERAGE(OFFSET($H$3,0,0,'Données projet'!$E$14+1,1))</f>
        <v>364.34528546733799</v>
      </c>
      <c r="DU77" s="59">
        <f t="shared" si="98"/>
        <v>346.5839763411152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68.346294905012954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68.346294905012954</v>
      </c>
      <c r="EE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214.52183999999994</v>
      </c>
      <c r="EL77" s="13">
        <f t="shared" si="99"/>
        <v>52.922492989784509</v>
      </c>
      <c r="EM77" s="20">
        <f t="shared" si="73"/>
        <v>465.79887995720793</v>
      </c>
      <c r="EN77" s="59">
        <f t="shared" si="74"/>
        <v>752.10216810603413</v>
      </c>
      <c r="EO77" s="59">
        <f ca="1">AVERAGE(OFFSET($EN$3,0,0,'Données projet'!$E$15+1,1))-AVERAGE(OFFSET($H$3,0,0,'Données projet'!$E$15+1,1))</f>
        <v>310.38232870602445</v>
      </c>
      <c r="EP77" s="59">
        <f t="shared" si="100"/>
        <v>303.45934457265537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40.804926999115672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40.804926999115672</v>
      </c>
      <c r="EZ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5.8</v>
      </c>
      <c r="FE77" s="12">
        <f>IF('Données projet'!$A$218&gt;35,FE76+FD77-FM76,IF(A77&lt;'Données projet'!$A$218,$FB$205^A77,IF(A77='Données projet'!$A$218,'Données projet'!$B$218,FE76+FD77-FM76)))</f>
        <v>258.19999999999993</v>
      </c>
      <c r="FF77" s="17">
        <f>FE77*VLOOKUP('Données projet'!$B$16,Paramètres!$A$1:$I$89,3,0)*VLOOKUP('Données projet'!$B$16,Paramètres!$A$1:$I$89,5,0)</f>
        <v>245.70311999999993</v>
      </c>
      <c r="FG77" s="13">
        <f t="shared" si="101"/>
        <v>59.664902329356607</v>
      </c>
      <c r="FH77" s="20">
        <f t="shared" si="76"/>
        <v>531.84930555696269</v>
      </c>
      <c r="FI77" s="59">
        <f t="shared" si="77"/>
        <v>818.15259370578883</v>
      </c>
      <c r="FJ77" s="59">
        <f ca="1">AVERAGE(OFFSET($FI$3,0,0,'Données projet'!$E$16+1,1))-AVERAGE(OFFSET($H$3,0,0,'Données projet'!$E$16+1,1))</f>
        <v>457.706832425622</v>
      </c>
      <c r="FK77" s="59">
        <f t="shared" si="102"/>
        <v>474.61768219844873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70.992186551767105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70.992186551767105</v>
      </c>
      <c r="FU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4.2</v>
      </c>
      <c r="FZ77" s="12">
        <f>IF('Données projet'!$A$244&gt;35,FZ76+FY77-GH76,IF(A77&lt;'Données projet'!$A$244,$FW$205^A77,IF(A77='Données projet'!$A$244,'Données projet'!$B$244,FZ76+FY77-GH76)))</f>
        <v>319.7999999999999</v>
      </c>
      <c r="GA77" s="17">
        <f>FZ77*VLOOKUP('Données projet'!$B$17,Paramètres!$A$1:$I$89,3,0)*VLOOKUP('Données projet'!$B$17,Paramètres!$A$1:$I$89,5,0)</f>
        <v>309.3105599999999</v>
      </c>
      <c r="GB77" s="13">
        <f t="shared" si="103"/>
        <v>73.124829007235121</v>
      </c>
      <c r="GC77" s="20">
        <f t="shared" si="79"/>
        <v>666.07496918760103</v>
      </c>
      <c r="GD77" s="59">
        <f t="shared" si="80"/>
        <v>952.37825733642717</v>
      </c>
      <c r="GE77" s="59">
        <f ca="1">AVERAGE(OFFSET($GD$3,0,0,'Données projet'!$E$17+1,1))-AVERAGE(OFFSET($H$3,0,0,'Données projet'!$E$17+1,1))</f>
        <v>428.11167311086814</v>
      </c>
      <c r="GF77" s="59">
        <f t="shared" si="104"/>
        <v>415.69449942923609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47.734065546135326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47.734065546135326</v>
      </c>
      <c r="GP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1.1368683772161603E-13</v>
      </c>
      <c r="GV77" s="17">
        <f>GU77*VLOOKUP('Données projet'!$B$18,Paramètres!$A$1:$I$89,3,0)*VLOOKUP('Données projet'!$B$18,Paramètres!$A$1:$I$89,5,0)</f>
        <v>6.5087988332379613E-14</v>
      </c>
      <c r="GW77" s="13">
        <f t="shared" si="105"/>
        <v>1.0279249680474958E-12</v>
      </c>
      <c r="GX77" s="20">
        <f t="shared" si="82"/>
        <v>1.9036642323616162E-12</v>
      </c>
      <c r="GY77" s="59">
        <f t="shared" si="83"/>
        <v>286.30328814882807</v>
      </c>
      <c r="GZ77" s="59">
        <f ca="1">AVERAGE(OFFSET($GY$3,0,0,'Données projet'!$E$18+1,1))-AVERAGE(OFFSET($H$3,0,0,'Données projet'!$E$18+1,1))</f>
        <v>249.88816678272056</v>
      </c>
      <c r="HA77" s="59">
        <f t="shared" si="106"/>
        <v>432.10802787437319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34.746642415587445</v>
      </c>
      <c r="HH77" s="21">
        <f>EXP(-LN(2)/25)*HH76+(1-EXP(-LN(2)/25))/(LN(2)/25)*Calculateur!HC77*Calculateur!HE77*VLOOKUP('Données projet'!$B$18,Paramètres!$A$1:$I$89,3,0)*0.475*44/12</f>
        <v>6.3520062378857762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41.098648653473219</v>
      </c>
    </row>
    <row r="78" spans="1:218" x14ac:dyDescent="0.3">
      <c r="A78" s="10">
        <f t="shared" si="85"/>
        <v>75</v>
      </c>
      <c r="B78" s="71">
        <f>'Scénario référence'!$B$16*5+'Scénario référence'!$B$17*0+'Scénario référence'!$B$18*5</f>
        <v>1.4000000000000001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5.1333333333333337</v>
      </c>
      <c r="H78" s="65">
        <f t="shared" si="56"/>
        <v>236.13333333333335</v>
      </c>
      <c r="I78" s="6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324</v>
      </c>
      <c r="L78" s="12">
        <f>VLOOKUP(A78,'Données projet'!$A$35:$I$55,9,0)</f>
        <v>4.2</v>
      </c>
      <c r="M78" s="12">
        <f t="array" ref="M78">INDEX(L:L,MIN(IF(ISNUMBER(L78:L274),ROW(L78:L274),"")))</f>
        <v>4.2</v>
      </c>
      <c r="N78" s="13">
        <f>IF('Données projet'!$A$36&gt;35,N77+M78-V77,IF(A78&lt;'Données projet'!$A$36,$K$205^A78,IF(A78='Données projet'!$A$36,'Données projet'!$B$36,N77+M78-V77)))</f>
        <v>323.99999999999989</v>
      </c>
      <c r="O78" s="13">
        <f>N78*VLOOKUP('Données projet'!$B$9,Paramètres!$A$1:$I$89,3,0)*VLOOKUP('Données projet'!$B$9,Paramètres!$A$1:$I$89,5,0)</f>
        <v>257.77439999999996</v>
      </c>
      <c r="P78" s="13">
        <f t="shared" si="87"/>
        <v>62.247732872134293</v>
      </c>
      <c r="Q78" s="20">
        <f t="shared" si="54"/>
        <v>557.37188141896718</v>
      </c>
      <c r="R78" s="59">
        <f t="shared" si="55"/>
        <v>843.79712513491813</v>
      </c>
      <c r="S78" s="59">
        <f ca="1">AVERAGE(OFFSET($R$3,0,0,'Données projet'!$E$9+1,1))-AVERAGE(OFFSET($H$3,0,0,'Données projet'!$E$9+1,1))</f>
        <v>360.06385535620069</v>
      </c>
      <c r="T78" s="59">
        <f t="shared" si="88"/>
        <v>350.82516032456408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12</v>
      </c>
      <c r="W78" s="16">
        <f>IF(ISNA(VLOOKUP(A78,'Données projet'!$A$35:$I$55,5,0)),0%,VLOOKUP(A78,'Données projet'!$A$35:$I$55,5,0)*VLOOKUP('Données projet'!$B$9,Paramètres!$A$1:$I$89,7,0))</f>
        <v>0.53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53.04121247609671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53.04121247609671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282.29760000000005</v>
      </c>
      <c r="AK78" s="13">
        <f t="shared" si="89"/>
        <v>67.452326629470178</v>
      </c>
      <c r="AL78" s="20">
        <f t="shared" si="58"/>
        <v>609.14778887966054</v>
      </c>
      <c r="AM78" s="59">
        <f t="shared" si="59"/>
        <v>895.57303259561149</v>
      </c>
      <c r="AN78" s="59">
        <f ca="1">AVERAGE(OFFSET($AM$3,0,0,'Données projet'!$E$10+1,1))-AVERAGE(OFFSET($H$3,0,0,'Données projet'!$E$10+1,1))</f>
        <v>448.65237942538027</v>
      </c>
      <c r="AO78" s="59">
        <f t="shared" si="90"/>
        <v>283.56749129825107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75.344588015179653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75.344588015179653</v>
      </c>
      <c r="AY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335</v>
      </c>
      <c r="BB78" s="12">
        <f>VLOOKUP(A78,'Données projet'!$A$87:$I$107,9,0)</f>
        <v>9.4</v>
      </c>
      <c r="BC78" s="12">
        <f t="array" ref="BC78">INDEX(BB:BB,MIN(IF(ISNUMBER(BB78:BB274),ROW(BB78:BB274),"")))</f>
        <v>9.4</v>
      </c>
      <c r="BD78" s="12">
        <f>IF('Données projet'!$A$88&gt;35,BD77+BC78-BL77,IF(A78&lt;'Données projet'!$A$88,$BA$205^A78,IF(A78='Données projet'!$A$88,'Données projet'!$B$88,BD77+BC78-BL77)))</f>
        <v>334.99999999999983</v>
      </c>
      <c r="BE78" s="13">
        <f>BD78*VLOOKUP('Données projet'!$B$11,Paramètres!$A$1:$I$89,3,0)*VLOOKUP('Données projet'!$B$11,Paramètres!$A$1:$I$89,5,0)</f>
        <v>287.42999999999989</v>
      </c>
      <c r="BF78" s="13">
        <f t="shared" si="91"/>
        <v>68.534780142555746</v>
      </c>
      <c r="BG78" s="20">
        <f t="shared" si="61"/>
        <v>619.97199208161771</v>
      </c>
      <c r="BH78" s="59">
        <f t="shared" si="62"/>
        <v>906.39723579756867</v>
      </c>
      <c r="BI78" s="59">
        <f ca="1">AVERAGE(OFFSET($BH$3,0,0,'Données projet'!$E$11+1,1))-AVERAGE(OFFSET($H$3,0,0,'Données projet'!$E$11+1,1))</f>
        <v>456.76871853389395</v>
      </c>
      <c r="BJ78" s="59">
        <f t="shared" si="92"/>
        <v>262.12425810289176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88.063141164494326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88.063141164494326</v>
      </c>
      <c r="BT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255.00000000000006</v>
      </c>
      <c r="BZ78" s="13">
        <f>BY78*VLOOKUP('Données projet'!$B$12,Paramètres!$A$1:$I$89,3,0)*VLOOKUP('Données projet'!$B$12,Paramètres!$A$1:$I$89,5,0)</f>
        <v>186.96600000000004</v>
      </c>
      <c r="CA78" s="13">
        <f t="shared" si="93"/>
        <v>46.868551400324648</v>
      </c>
      <c r="CB78" s="20">
        <f t="shared" si="64"/>
        <v>407.26184368889881</v>
      </c>
      <c r="CC78" s="59">
        <f t="shared" si="65"/>
        <v>693.68708740484976</v>
      </c>
      <c r="CD78" s="59">
        <f ca="1">AVERAGE(OFFSET($CC$3,0,0,'Données projet'!$E$12+1,1))-AVERAGE(OFFSET($H$3,0,0,'Données projet'!$E$12+1,1))</f>
        <v>242.65851607945316</v>
      </c>
      <c r="CE78" s="59">
        <f t="shared" si="94"/>
        <v>218.9349999985487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249.0000000000002</v>
      </c>
      <c r="CU78" s="17">
        <f>CT78*VLOOKUP('Données projet'!$B$13,Paramètres!$A$1:$I$89,3,0)*VLOOKUP('Données projet'!$B$13,Paramètres!$A$1:$I$89,5,0)</f>
        <v>217.52640000000019</v>
      </c>
      <c r="CV78" s="13">
        <f t="shared" si="95"/>
        <v>53.576907690651304</v>
      </c>
      <c r="CW78" s="20">
        <f t="shared" si="67"/>
        <v>472.17159422788467</v>
      </c>
      <c r="CX78" s="59">
        <f t="shared" si="68"/>
        <v>758.59683794383568</v>
      </c>
      <c r="CY78" s="59">
        <f ca="1">AVERAGE(OFFSET($CX$3,0,0,'Données projet'!$E$13+1,1))-AVERAGE(OFFSET($H$3,0,0,'Données projet'!$E$13+1,1))</f>
        <v>326.9460696675867</v>
      </c>
      <c r="CZ78" s="59">
        <f t="shared" si="96"/>
        <v>393.4020374592568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56.56308910380254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56.56308910380254</v>
      </c>
      <c r="DJ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340</v>
      </c>
      <c r="DM78" s="12">
        <f>VLOOKUP(A78,'Données projet'!$A$165:$I$185,9,0)</f>
        <v>9</v>
      </c>
      <c r="DN78" s="12">
        <f t="array" ref="DN78">INDEX(DM:DM,MIN(IF(ISNUMBER(DM78:DM274),ROW(DM78:DM274),"")))</f>
        <v>9</v>
      </c>
      <c r="DO78" s="12">
        <f>IF('Données projet'!$A$166&gt;35,DO77+DN78-DW77,IF(A78&lt;'Données projet'!$A$166,$DL$205^A78,IF(A78='Données projet'!$A$166,'Données projet'!$B$166,DO77+DN78-DW77)))</f>
        <v>340.00000000000017</v>
      </c>
      <c r="DP78" s="17">
        <f>DO78*VLOOKUP('Données projet'!$B$14,Paramètres!$A$1:$I$89,3,0)*VLOOKUP('Données projet'!$B$14,Paramètres!$A$1:$I$89,5,0)</f>
        <v>265.20000000000016</v>
      </c>
      <c r="DQ78" s="13">
        <f t="shared" si="97"/>
        <v>63.829527109298382</v>
      </c>
      <c r="DR78" s="20">
        <f t="shared" si="70"/>
        <v>573.05975971536157</v>
      </c>
      <c r="DS78" s="59">
        <f t="shared" si="71"/>
        <v>859.48500343131252</v>
      </c>
      <c r="DT78" s="59">
        <f ca="1">AVERAGE(OFFSET($DS$3,0,0,'Données projet'!$E$14+1,1))-AVERAGE(OFFSET($H$3,0,0,'Données projet'!$E$14+1,1))</f>
        <v>364.34528546733799</v>
      </c>
      <c r="DU78" s="59">
        <f t="shared" si="98"/>
        <v>346.5839763411152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31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78.50008347320518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78.50008347320518</v>
      </c>
      <c r="EE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217.33919999999992</v>
      </c>
      <c r="EL78" s="13">
        <f t="shared" si="99"/>
        <v>53.536165068020416</v>
      </c>
      <c r="EM78" s="20">
        <f t="shared" si="73"/>
        <v>471.77459416013545</v>
      </c>
      <c r="EN78" s="59">
        <f t="shared" si="74"/>
        <v>758.19983787608635</v>
      </c>
      <c r="EO78" s="59">
        <f ca="1">AVERAGE(OFFSET($EN$3,0,0,'Données projet'!$E$15+1,1))-AVERAGE(OFFSET($H$3,0,0,'Données projet'!$E$15+1,1))</f>
        <v>310.38232870602445</v>
      </c>
      <c r="EP78" s="59">
        <f t="shared" si="100"/>
        <v>303.45934457265537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44.721022283767816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44.721022283767816</v>
      </c>
      <c r="EZ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264</v>
      </c>
      <c r="FC78" s="12">
        <f>VLOOKUP(A78,'Données projet'!$A$217:$I$237,9,0)</f>
        <v>5.8</v>
      </c>
      <c r="FD78" s="12">
        <f t="array" ref="FD78">INDEX(FC:FC,MIN(IF(ISNUMBER(FC78:FC274),ROW(FC78:FC274),"")))</f>
        <v>5.8</v>
      </c>
      <c r="FE78" s="12">
        <f>IF('Données projet'!$A$218&gt;35,FE77+FD78-FM77,IF(A78&lt;'Données projet'!$A$218,$FB$205^A78,IF(A78='Données projet'!$A$218,'Données projet'!$B$218,FE77+FD78-FM77)))</f>
        <v>263.99999999999994</v>
      </c>
      <c r="FF78" s="17">
        <f>FE78*VLOOKUP('Données projet'!$B$16,Paramètres!$A$1:$I$89,3,0)*VLOOKUP('Données projet'!$B$16,Paramètres!$A$1:$I$89,5,0)</f>
        <v>251.22239999999996</v>
      </c>
      <c r="FG78" s="13">
        <f t="shared" si="101"/>
        <v>60.847625059749809</v>
      </c>
      <c r="FH78" s="20">
        <f t="shared" si="76"/>
        <v>543.52196031239748</v>
      </c>
      <c r="FI78" s="59">
        <f t="shared" si="77"/>
        <v>829.94720402834844</v>
      </c>
      <c r="FJ78" s="59">
        <f ca="1">AVERAGE(OFFSET($FI$3,0,0,'Données projet'!$E$16+1,1))-AVERAGE(OFFSET($H$3,0,0,'Données projet'!$E$16+1,1))</f>
        <v>457.706832425622</v>
      </c>
      <c r="FK78" s="59">
        <f t="shared" si="102"/>
        <v>474.61768219844873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27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81.813393843274014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81.813393843274014</v>
      </c>
      <c r="FU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324</v>
      </c>
      <c r="FX78" s="12">
        <f>VLOOKUP(A78,'Données projet'!$A$243:$I$263,9,0)</f>
        <v>4.2</v>
      </c>
      <c r="FY78" s="12">
        <f t="array" ref="FY78">INDEX(FX:FX,MIN(IF(ISNUMBER(FX78:FX274),ROW(FX78:FX274),"")))</f>
        <v>4.2</v>
      </c>
      <c r="FZ78" s="12">
        <f>IF('Données projet'!$A$244&gt;35,FZ77+FY78-GH77,IF(A78&lt;'Données projet'!$A$244,$FW$205^A78,IF(A78='Données projet'!$A$244,'Données projet'!$B$244,FZ77+FY78-GH77)))</f>
        <v>323.99999999999989</v>
      </c>
      <c r="GA78" s="17">
        <f>FZ78*VLOOKUP('Données projet'!$B$17,Paramètres!$A$1:$I$89,3,0)*VLOOKUP('Données projet'!$B$17,Paramètres!$A$1:$I$89,5,0)</f>
        <v>313.37279999999993</v>
      </c>
      <c r="GB78" s="13">
        <f t="shared" si="103"/>
        <v>73.972760827003654</v>
      </c>
      <c r="GC78" s="20">
        <f t="shared" si="79"/>
        <v>674.62685177369792</v>
      </c>
      <c r="GD78" s="59">
        <f t="shared" si="80"/>
        <v>961.05209548964888</v>
      </c>
      <c r="GE78" s="59">
        <f ca="1">AVERAGE(OFFSET($GD$3,0,0,'Données projet'!$E$17+1,1))-AVERAGE(OFFSET($H$3,0,0,'Données projet'!$E$17+1,1))</f>
        <v>428.11167311086814</v>
      </c>
      <c r="GF78" s="59">
        <f t="shared" si="104"/>
        <v>415.69449942923609</v>
      </c>
      <c r="GG78" s="15">
        <f>IF(ISNA(VLOOKUP(A78,'Données projet'!$A$243:$I$263,3,0)),0,VLOOKUP(A78,'Données projet'!$A$243:$I$263,3,0))</f>
        <v>13</v>
      </c>
      <c r="GH78" s="15">
        <f>IF(ISNA(VLOOKUP(A78,'Données projet'!$A$243:$I$263,4,0)),0,VLOOKUP(A78,'Données projet'!$A$243:$I$263,4,0))</f>
        <v>12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52.315158143275568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52.315158143275568</v>
      </c>
      <c r="GP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1.1368683772161603E-13</v>
      </c>
      <c r="GV78" s="17">
        <f>GU78*VLOOKUP('Données projet'!$B$18,Paramètres!$A$1:$I$89,3,0)*VLOOKUP('Données projet'!$B$18,Paramètres!$A$1:$I$89,5,0)</f>
        <v>6.5087988332379613E-14</v>
      </c>
      <c r="GW78" s="13">
        <f t="shared" si="105"/>
        <v>1.0279249680474958E-12</v>
      </c>
      <c r="GX78" s="20">
        <f t="shared" si="82"/>
        <v>1.9036642323616162E-12</v>
      </c>
      <c r="GY78" s="59">
        <f t="shared" si="83"/>
        <v>286.42524371595283</v>
      </c>
      <c r="GZ78" s="59">
        <f ca="1">AVERAGE(OFFSET($GY$3,0,0,'Données projet'!$E$18+1,1))-AVERAGE(OFFSET($H$3,0,0,'Données projet'!$E$18+1,1))</f>
        <v>249.88816678272056</v>
      </c>
      <c r="HA78" s="59">
        <f t="shared" si="106"/>
        <v>432.10802787437319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34.065281951176978</v>
      </c>
      <c r="HH78" s="21">
        <f>EXP(-LN(2)/25)*HH77+(1-EXP(-LN(2)/25))/(LN(2)/25)*Calculateur!HC78*Calculateur!HE78*VLOOKUP('Données projet'!$B$18,Paramètres!$A$1:$I$89,3,0)*0.475*44/12</f>
        <v>6.1783102932732996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40.243592244450276</v>
      </c>
    </row>
    <row r="79" spans="1:218" x14ac:dyDescent="0.3">
      <c r="A79" s="10">
        <f t="shared" si="85"/>
        <v>76</v>
      </c>
      <c r="B79" s="71">
        <f>'Scénario référence'!$B$16*5+'Scénario référence'!$B$17*0+'Scénario référence'!$B$18*5</f>
        <v>1.4000000000000001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5.1333333333333337</v>
      </c>
      <c r="H79" s="65">
        <f t="shared" si="56"/>
        <v>236.13333333333335</v>
      </c>
      <c r="I79" s="6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3.6</v>
      </c>
      <c r="N79" s="13">
        <f>IF('Données projet'!$A$36&gt;35,N78+M79-V78,IF(A79&lt;'Données projet'!$A$36,$K$205^A79,IF(A79='Données projet'!$A$36,'Données projet'!$B$36,N78+M79-V78)))</f>
        <v>315.59999999999991</v>
      </c>
      <c r="O79" s="13">
        <f>N79*VLOOKUP('Données projet'!$B$9,Paramètres!$A$1:$I$89,3,0)*VLOOKUP('Données projet'!$B$9,Paramètres!$A$1:$I$89,5,0)</f>
        <v>251.09135999999995</v>
      </c>
      <c r="P79" s="13">
        <f t="shared" si="87"/>
        <v>60.81957989149403</v>
      </c>
      <c r="Q79" s="20">
        <f t="shared" si="54"/>
        <v>543.24488697768527</v>
      </c>
      <c r="R79" s="59">
        <f t="shared" si="55"/>
        <v>829.78997060432312</v>
      </c>
      <c r="S79" s="59">
        <f ca="1">AVERAGE(OFFSET($R$3,0,0,'Données projet'!$E$9+1,1))-AVERAGE(OFFSET($H$3,0,0,'Données projet'!$E$9+1,1))</f>
        <v>360.06385535620069</v>
      </c>
      <c r="T79" s="59">
        <f t="shared" si="88"/>
        <v>350.82516032456408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52.001106651385577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52.001106651385577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263.47776000000005</v>
      </c>
      <c r="AK79" s="13">
        <f t="shared" si="89"/>
        <v>63.46312159763346</v>
      </c>
      <c r="AL79" s="20">
        <f t="shared" si="58"/>
        <v>569.42203544921165</v>
      </c>
      <c r="AM79" s="59">
        <f t="shared" si="59"/>
        <v>855.9671190758495</v>
      </c>
      <c r="AN79" s="59">
        <f ca="1">AVERAGE(OFFSET($AM$3,0,0,'Données projet'!$E$10+1,1))-AVERAGE(OFFSET($H$3,0,0,'Données projet'!$E$10+1,1))</f>
        <v>448.65237942538027</v>
      </c>
      <c r="AO79" s="59">
        <f t="shared" si="90"/>
        <v>283.56749129825107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73.867126599862928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73.867126599862928</v>
      </c>
      <c r="AY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8.8000000000000007</v>
      </c>
      <c r="BD79" s="12">
        <f>IF('Données projet'!$A$88&gt;35,BD78+BC79-BL78,IF(A79&lt;'Données projet'!$A$88,$BA$205^A79,IF(A79='Données projet'!$A$88,'Données projet'!$B$88,BD78+BC79-BL78)))</f>
        <v>315.79999999999984</v>
      </c>
      <c r="BE79" s="13">
        <f>BD79*VLOOKUP('Données projet'!$B$11,Paramètres!$A$1:$I$89,3,0)*VLOOKUP('Données projet'!$B$11,Paramètres!$A$1:$I$89,5,0)</f>
        <v>270.95639999999986</v>
      </c>
      <c r="BF79" s="13">
        <f t="shared" si="91"/>
        <v>65.052199716598722</v>
      </c>
      <c r="BG79" s="20">
        <f t="shared" si="61"/>
        <v>585.21497783974257</v>
      </c>
      <c r="BH79" s="59">
        <f t="shared" si="62"/>
        <v>871.76006146638042</v>
      </c>
      <c r="BI79" s="59">
        <f ca="1">AVERAGE(OFFSET($BH$3,0,0,'Données projet'!$E$11+1,1))-AVERAGE(OFFSET($H$3,0,0,'Données projet'!$E$11+1,1))</f>
        <v>456.76871853389395</v>
      </c>
      <c r="BJ79" s="59">
        <f t="shared" si="92"/>
        <v>262.12425810289176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86.33627667947097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86.33627667947097</v>
      </c>
      <c r="BT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255.00000000000006</v>
      </c>
      <c r="BZ79" s="13">
        <f>BY79*VLOOKUP('Données projet'!$B$12,Paramètres!$A$1:$I$89,3,0)*VLOOKUP('Données projet'!$B$12,Paramètres!$A$1:$I$89,5,0)</f>
        <v>186.96600000000004</v>
      </c>
      <c r="CA79" s="13">
        <f t="shared" si="93"/>
        <v>46.868551400324648</v>
      </c>
      <c r="CB79" s="20">
        <f t="shared" si="64"/>
        <v>407.26184368889881</v>
      </c>
      <c r="CC79" s="59">
        <f t="shared" si="65"/>
        <v>693.80692731553654</v>
      </c>
      <c r="CD79" s="59">
        <f ca="1">AVERAGE(OFFSET($CC$3,0,0,'Données projet'!$E$12+1,1))-AVERAGE(OFFSET($H$3,0,0,'Données projet'!$E$12+1,1))</f>
        <v>242.65851607945316</v>
      </c>
      <c r="CE79" s="59">
        <f t="shared" si="94"/>
        <v>218.9349999985487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249.0000000000002</v>
      </c>
      <c r="CU79" s="17">
        <f>CT79*VLOOKUP('Données projet'!$B$13,Paramètres!$A$1:$I$89,3,0)*VLOOKUP('Données projet'!$B$13,Paramètres!$A$1:$I$89,5,0)</f>
        <v>217.52640000000019</v>
      </c>
      <c r="CV79" s="13">
        <f t="shared" si="95"/>
        <v>53.576907690651304</v>
      </c>
      <c r="CW79" s="20">
        <f t="shared" si="67"/>
        <v>472.17159422788467</v>
      </c>
      <c r="CX79" s="59">
        <f t="shared" si="68"/>
        <v>758.71667785452246</v>
      </c>
      <c r="CY79" s="59">
        <f ca="1">AVERAGE(OFFSET($CX$3,0,0,'Données projet'!$E$13+1,1))-AVERAGE(OFFSET($H$3,0,0,'Données projet'!$E$13+1,1))</f>
        <v>326.9460696675867</v>
      </c>
      <c r="CZ79" s="59">
        <f t="shared" si="96"/>
        <v>393.4020374592568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55.453921426554729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55.453921426554729</v>
      </c>
      <c r="DJ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</v>
      </c>
      <c r="DO79" s="12">
        <f>IF('Données projet'!$A$166&gt;35,DO78+DN79-DW78,IF(A79&lt;'Données projet'!$A$166,$DL$205^A79,IF(A79='Données projet'!$A$166,'Données projet'!$B$166,DO78+DN79-DW78)))</f>
        <v>317.00000000000017</v>
      </c>
      <c r="DP79" s="17">
        <f>DO79*VLOOKUP('Données projet'!$B$14,Paramètres!$A$1:$I$89,3,0)*VLOOKUP('Données projet'!$B$14,Paramètres!$A$1:$I$89,5,0)</f>
        <v>247.26000000000013</v>
      </c>
      <c r="DQ79" s="13">
        <f t="shared" si="97"/>
        <v>59.998835297287229</v>
      </c>
      <c r="DR79" s="20">
        <f t="shared" si="70"/>
        <v>535.14247147610877</v>
      </c>
      <c r="DS79" s="59">
        <f t="shared" si="71"/>
        <v>821.6875551027465</v>
      </c>
      <c r="DT79" s="59">
        <f ca="1">AVERAGE(OFFSET($DS$3,0,0,'Données projet'!$E$14+1,1))-AVERAGE(OFFSET($H$3,0,0,'Données projet'!$E$14+1,1))</f>
        <v>364.34528546733799</v>
      </c>
      <c r="DU79" s="59">
        <f t="shared" si="98"/>
        <v>346.5839763411152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76.960744716618763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76.960744716618763</v>
      </c>
      <c r="EE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211.70447999999996</v>
      </c>
      <c r="EL79" s="13">
        <f t="shared" si="99"/>
        <v>52.307882041697276</v>
      </c>
      <c r="EM79" s="20">
        <f t="shared" si="73"/>
        <v>459.82153055595603</v>
      </c>
      <c r="EN79" s="59">
        <f t="shared" si="74"/>
        <v>746.36661418259382</v>
      </c>
      <c r="EO79" s="59">
        <f ca="1">AVERAGE(OFFSET($EN$3,0,0,'Données projet'!$E$15+1,1))-AVERAGE(OFFSET($H$3,0,0,'Données projet'!$E$15+1,1))</f>
        <v>310.38232870602445</v>
      </c>
      <c r="EP79" s="59">
        <f t="shared" si="100"/>
        <v>303.45934457265537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43.844070313913328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43.844070313913328</v>
      </c>
      <c r="EZ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5.6</v>
      </c>
      <c r="FE79" s="12">
        <f>IF('Données projet'!$A$218&gt;35,FE78+FD79-FM78,IF(A79&lt;'Données projet'!$A$218,$FB$205^A79,IF(A79='Données projet'!$A$218,'Données projet'!$B$218,FE78+FD79-FM78)))</f>
        <v>242.59999999999997</v>
      </c>
      <c r="FF79" s="17">
        <f>FE79*VLOOKUP('Données projet'!$B$16,Paramètres!$A$1:$I$89,3,0)*VLOOKUP('Données projet'!$B$16,Paramètres!$A$1:$I$89,5,0)</f>
        <v>230.85816</v>
      </c>
      <c r="FG79" s="13">
        <f t="shared" si="101"/>
        <v>56.468195549322559</v>
      </c>
      <c r="FH79" s="20">
        <f t="shared" si="76"/>
        <v>500.42673591507014</v>
      </c>
      <c r="FI79" s="59">
        <f t="shared" si="77"/>
        <v>786.97181954170787</v>
      </c>
      <c r="FJ79" s="59">
        <f ca="1">AVERAGE(OFFSET($FI$3,0,0,'Données projet'!$E$16+1,1))-AVERAGE(OFFSET($H$3,0,0,'Données projet'!$E$16+1,1))</f>
        <v>457.706832425622</v>
      </c>
      <c r="FK79" s="59">
        <f t="shared" si="102"/>
        <v>474.61768219844873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80.209083091250321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80.209083091250321</v>
      </c>
      <c r="FU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3.6</v>
      </c>
      <c r="FZ79" s="12">
        <f>IF('Données projet'!$A$244&gt;35,FZ78+FY79-GH78,IF(A79&lt;'Données projet'!$A$244,$FW$205^A79,IF(A79='Données projet'!$A$244,'Données projet'!$B$244,FZ78+FY79-GH78)))</f>
        <v>315.59999999999991</v>
      </c>
      <c r="GA79" s="17">
        <f>FZ79*VLOOKUP('Données projet'!$B$17,Paramètres!$A$1:$I$89,3,0)*VLOOKUP('Données projet'!$B$17,Paramètres!$A$1:$I$89,5,0)</f>
        <v>305.24831999999992</v>
      </c>
      <c r="GB79" s="13">
        <f t="shared" si="103"/>
        <v>72.275599918697424</v>
      </c>
      <c r="GC79" s="20">
        <f t="shared" si="79"/>
        <v>657.5208271917312</v>
      </c>
      <c r="GD79" s="59">
        <f t="shared" si="80"/>
        <v>944.06591081836905</v>
      </c>
      <c r="GE79" s="59">
        <f ca="1">AVERAGE(OFFSET($GD$3,0,0,'Données projet'!$E$17+1,1))-AVERAGE(OFFSET($H$3,0,0,'Données projet'!$E$17+1,1))</f>
        <v>428.11167311086814</v>
      </c>
      <c r="GF79" s="59">
        <f t="shared" si="104"/>
        <v>415.69449942923609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51.289289801181638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51.289289801181638</v>
      </c>
      <c r="GP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1.1368683772161603E-13</v>
      </c>
      <c r="GV79" s="17">
        <f>GU79*VLOOKUP('Données projet'!$B$18,Paramètres!$A$1:$I$89,3,0)*VLOOKUP('Données projet'!$B$18,Paramètres!$A$1:$I$89,5,0)</f>
        <v>6.5087988332379613E-14</v>
      </c>
      <c r="GW79" s="13">
        <f t="shared" si="105"/>
        <v>1.0279249680474958E-12</v>
      </c>
      <c r="GX79" s="20">
        <f t="shared" si="82"/>
        <v>1.9036642323616162E-12</v>
      </c>
      <c r="GY79" s="59">
        <f t="shared" si="83"/>
        <v>286.54508362663967</v>
      </c>
      <c r="GZ79" s="59">
        <f ca="1">AVERAGE(OFFSET($GY$3,0,0,'Données projet'!$E$18+1,1))-AVERAGE(OFFSET($H$3,0,0,'Données projet'!$E$18+1,1))</f>
        <v>249.88816678272056</v>
      </c>
      <c r="HA79" s="59">
        <f t="shared" si="106"/>
        <v>432.10802787437319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33.39728254988475</v>
      </c>
      <c r="HH79" s="21">
        <f>EXP(-LN(2)/25)*HH78+(1-EXP(-LN(2)/25))/(LN(2)/25)*Calculateur!HC79*Calculateur!HE79*VLOOKUP('Données projet'!$B$18,Paramètres!$A$1:$I$89,3,0)*0.475*44/12</f>
        <v>6.0093640734005236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39.406646623285276</v>
      </c>
    </row>
    <row r="80" spans="1:218" x14ac:dyDescent="0.3">
      <c r="A80" s="10">
        <f t="shared" si="85"/>
        <v>77</v>
      </c>
      <c r="B80" s="71">
        <f>'Scénario référence'!$B$16*5+'Scénario référence'!$B$17*0+'Scénario référence'!$B$18*5</f>
        <v>1.4000000000000001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5.1333333333333337</v>
      </c>
      <c r="H80" s="65">
        <f t="shared" si="56"/>
        <v>236.13333333333335</v>
      </c>
      <c r="I80" s="6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3.6</v>
      </c>
      <c r="N80" s="13">
        <f>IF('Données projet'!$A$36&gt;35,N79+M80-V79,IF(A80&lt;'Données projet'!$A$36,$K$205^A80,IF(A80='Données projet'!$A$36,'Données projet'!$B$36,N79+M80-V79)))</f>
        <v>319.19999999999993</v>
      </c>
      <c r="O80" s="13">
        <f>N80*VLOOKUP('Données projet'!$B$9,Paramètres!$A$1:$I$89,3,0)*VLOOKUP('Données projet'!$B$9,Paramètres!$A$1:$I$89,5,0)</f>
        <v>253.95551999999998</v>
      </c>
      <c r="P80" s="13">
        <f t="shared" si="87"/>
        <v>61.432180511879253</v>
      </c>
      <c r="Q80" s="20">
        <f t="shared" si="54"/>
        <v>549.30024505818972</v>
      </c>
      <c r="R80" s="59">
        <f t="shared" si="55"/>
        <v>835.96308964098603</v>
      </c>
      <c r="S80" s="59">
        <f ca="1">AVERAGE(OFFSET($R$3,0,0,'Données projet'!$E$9+1,1))-AVERAGE(OFFSET($H$3,0,0,'Données projet'!$E$9+1,1))</f>
        <v>360.06385535620069</v>
      </c>
      <c r="T80" s="59">
        <f t="shared" si="88"/>
        <v>350.82516032456408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50.981396667495119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50.981396667495119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269.99232000000001</v>
      </c>
      <c r="AK80" s="13">
        <f t="shared" si="89"/>
        <v>64.847639395310296</v>
      </c>
      <c r="AL80" s="20">
        <f t="shared" si="58"/>
        <v>583.17959594683214</v>
      </c>
      <c r="AM80" s="59">
        <f t="shared" si="59"/>
        <v>869.84244052962845</v>
      </c>
      <c r="AN80" s="59">
        <f ca="1">AVERAGE(OFFSET($AM$3,0,0,'Données projet'!$E$10+1,1))-AVERAGE(OFFSET($H$3,0,0,'Données projet'!$E$10+1,1))</f>
        <v>448.65237942538027</v>
      </c>
      <c r="AO80" s="59">
        <f t="shared" si="90"/>
        <v>283.56749129825107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72.418637301738073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72.418637301738073</v>
      </c>
      <c r="AY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8.8000000000000007</v>
      </c>
      <c r="BD80" s="12">
        <f>IF('Données projet'!$A$88&gt;35,BD79+BC80-BL79,IF(A80&lt;'Données projet'!$A$88,$BA$205^A80,IF(A80='Données projet'!$A$88,'Données projet'!$B$88,BD79+BC80-BL79)))</f>
        <v>324.59999999999985</v>
      </c>
      <c r="BE80" s="13">
        <f>BD80*VLOOKUP('Données projet'!$B$11,Paramètres!$A$1:$I$89,3,0)*VLOOKUP('Données projet'!$B$11,Paramètres!$A$1:$I$89,5,0)</f>
        <v>278.50679999999994</v>
      </c>
      <c r="BF80" s="13">
        <f t="shared" si="91"/>
        <v>66.651354661909949</v>
      </c>
      <c r="BG80" s="20">
        <f t="shared" si="61"/>
        <v>601.15045270282633</v>
      </c>
      <c r="BH80" s="59">
        <f t="shared" si="62"/>
        <v>887.81329728562264</v>
      </c>
      <c r="BI80" s="59">
        <f ca="1">AVERAGE(OFFSET($BH$3,0,0,'Données projet'!$E$11+1,1))-AVERAGE(OFFSET($H$3,0,0,'Données projet'!$E$11+1,1))</f>
        <v>456.76871853389395</v>
      </c>
      <c r="BJ80" s="59">
        <f t="shared" si="92"/>
        <v>262.12425810289176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84.643274953715576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84.643274953715576</v>
      </c>
      <c r="BT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255.00000000000006</v>
      </c>
      <c r="BZ80" s="13">
        <f>BY80*VLOOKUP('Données projet'!$B$12,Paramètres!$A$1:$I$89,3,0)*VLOOKUP('Données projet'!$B$12,Paramètres!$A$1:$I$89,5,0)</f>
        <v>186.96600000000004</v>
      </c>
      <c r="CA80" s="13">
        <f t="shared" si="93"/>
        <v>46.868551400324648</v>
      </c>
      <c r="CB80" s="20">
        <f t="shared" si="64"/>
        <v>407.26184368889881</v>
      </c>
      <c r="CC80" s="59">
        <f t="shared" si="65"/>
        <v>693.924688271695</v>
      </c>
      <c r="CD80" s="59">
        <f ca="1">AVERAGE(OFFSET($CC$3,0,0,'Données projet'!$E$12+1,1))-AVERAGE(OFFSET($H$3,0,0,'Données projet'!$E$12+1,1))</f>
        <v>242.65851607945316</v>
      </c>
      <c r="CE80" s="59">
        <f t="shared" si="94"/>
        <v>218.9349999985487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249.0000000000002</v>
      </c>
      <c r="CU80" s="17">
        <f>CT80*VLOOKUP('Données projet'!$B$13,Paramètres!$A$1:$I$89,3,0)*VLOOKUP('Données projet'!$B$13,Paramètres!$A$1:$I$89,5,0)</f>
        <v>217.52640000000019</v>
      </c>
      <c r="CV80" s="13">
        <f t="shared" si="95"/>
        <v>53.576907690651304</v>
      </c>
      <c r="CW80" s="20">
        <f t="shared" si="67"/>
        <v>472.17159422788467</v>
      </c>
      <c r="CX80" s="59">
        <f t="shared" si="68"/>
        <v>758.83443881068092</v>
      </c>
      <c r="CY80" s="59">
        <f ca="1">AVERAGE(OFFSET($CX$3,0,0,'Données projet'!$E$13+1,1))-AVERAGE(OFFSET($H$3,0,0,'Données projet'!$E$13+1,1))</f>
        <v>326.9460696675867</v>
      </c>
      <c r="CZ80" s="59">
        <f t="shared" si="96"/>
        <v>393.4020374592568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54.366503850932261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54.366503850932261</v>
      </c>
      <c r="DJ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</v>
      </c>
      <c r="DO80" s="12">
        <f>IF('Données projet'!$A$166&gt;35,DO79+DN80-DW79,IF(A80&lt;'Données projet'!$A$166,$DL$205^A80,IF(A80='Données projet'!$A$166,'Données projet'!$B$166,DO79+DN80-DW79)))</f>
        <v>325.00000000000017</v>
      </c>
      <c r="DP80" s="17">
        <f>DO80*VLOOKUP('Données projet'!$B$14,Paramètres!$A$1:$I$89,3,0)*VLOOKUP('Données projet'!$B$14,Paramètres!$A$1:$I$89,5,0)</f>
        <v>253.50000000000014</v>
      </c>
      <c r="DQ80" s="13">
        <f t="shared" si="97"/>
        <v>61.334805663162555</v>
      </c>
      <c r="DR80" s="20">
        <f t="shared" si="70"/>
        <v>548.33728653000833</v>
      </c>
      <c r="DS80" s="59">
        <f t="shared" si="71"/>
        <v>835.00013111280464</v>
      </c>
      <c r="DT80" s="59">
        <f ca="1">AVERAGE(OFFSET($DS$3,0,0,'Données projet'!$E$14+1,1))-AVERAGE(OFFSET($H$3,0,0,'Données projet'!$E$14+1,1))</f>
        <v>364.34528546733799</v>
      </c>
      <c r="DU80" s="59">
        <f t="shared" si="98"/>
        <v>346.5839763411152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75.45159145414506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75.45159145414506</v>
      </c>
      <c r="EE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214.11935999999997</v>
      </c>
      <c r="EL80" s="13">
        <f t="shared" si="99"/>
        <v>52.834749228990397</v>
      </c>
      <c r="EM80" s="20">
        <f t="shared" si="73"/>
        <v>464.94507357382491</v>
      </c>
      <c r="EN80" s="59">
        <f t="shared" si="74"/>
        <v>751.60791815662117</v>
      </c>
      <c r="EO80" s="59">
        <f ca="1">AVERAGE(OFFSET($EN$3,0,0,'Données projet'!$E$15+1,1))-AVERAGE(OFFSET($H$3,0,0,'Données projet'!$E$15+1,1))</f>
        <v>310.38232870602445</v>
      </c>
      <c r="EP80" s="59">
        <f t="shared" si="100"/>
        <v>303.45934457265537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42.984314837299799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42.984314837299799</v>
      </c>
      <c r="EZ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5.6</v>
      </c>
      <c r="FE80" s="12">
        <f>IF('Données projet'!$A$218&gt;35,FE79+FD80-FM79,IF(A80&lt;'Données projet'!$A$218,$FB$205^A80,IF(A80='Données projet'!$A$218,'Données projet'!$B$218,FE79+FD80-FM79)))</f>
        <v>248.19999999999996</v>
      </c>
      <c r="FF80" s="17">
        <f>FE80*VLOOKUP('Données projet'!$B$16,Paramètres!$A$1:$I$89,3,0)*VLOOKUP('Données projet'!$B$16,Paramètres!$A$1:$I$89,5,0)</f>
        <v>236.18711999999994</v>
      </c>
      <c r="FG80" s="13">
        <f t="shared" si="101"/>
        <v>57.61840772987285</v>
      </c>
      <c r="FH80" s="20">
        <f t="shared" si="76"/>
        <v>511.71129412952837</v>
      </c>
      <c r="FI80" s="59">
        <f t="shared" si="77"/>
        <v>798.37413871232457</v>
      </c>
      <c r="FJ80" s="59">
        <f ca="1">AVERAGE(OFFSET($FI$3,0,0,'Données projet'!$E$16+1,1))-AVERAGE(OFFSET($H$3,0,0,'Données projet'!$E$16+1,1))</f>
        <v>457.706832425622</v>
      </c>
      <c r="FK80" s="59">
        <f t="shared" si="102"/>
        <v>474.61768219844873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78.63623189454087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78.63623189454087</v>
      </c>
      <c r="FU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3.6</v>
      </c>
      <c r="FZ80" s="12">
        <f>IF('Données projet'!$A$244&gt;35,FZ79+FY80-GH79,IF(A80&lt;'Données projet'!$A$244,$FW$205^A80,IF(A80='Données projet'!$A$244,'Données projet'!$B$244,FZ79+FY80-GH79)))</f>
        <v>319.19999999999993</v>
      </c>
      <c r="GA80" s="17">
        <f>FZ80*VLOOKUP('Données projet'!$B$17,Paramètres!$A$1:$I$89,3,0)*VLOOKUP('Données projet'!$B$17,Paramètres!$A$1:$I$89,5,0)</f>
        <v>308.73023999999998</v>
      </c>
      <c r="GB80" s="13">
        <f t="shared" si="103"/>
        <v>73.003590434710517</v>
      </c>
      <c r="GC80" s="20">
        <f t="shared" si="79"/>
        <v>664.85308800712085</v>
      </c>
      <c r="GD80" s="59">
        <f t="shared" si="80"/>
        <v>951.51593258991716</v>
      </c>
      <c r="GE80" s="59">
        <f ca="1">AVERAGE(OFFSET($GD$3,0,0,'Données projet'!$E$17+1,1))-AVERAGE(OFFSET($H$3,0,0,'Données projet'!$E$17+1,1))</f>
        <v>428.11167311086814</v>
      </c>
      <c r="GF80" s="59">
        <f t="shared" si="104"/>
        <v>415.69449942923609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50.283538111558265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50.283538111558265</v>
      </c>
      <c r="GP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1.1368683772161603E-13</v>
      </c>
      <c r="GV80" s="17">
        <f>GU80*VLOOKUP('Données projet'!$B$18,Paramètres!$A$1:$I$89,3,0)*VLOOKUP('Données projet'!$B$18,Paramètres!$A$1:$I$89,5,0)</f>
        <v>6.5087988332379613E-14</v>
      </c>
      <c r="GW80" s="13">
        <f t="shared" si="105"/>
        <v>1.0279249680474958E-12</v>
      </c>
      <c r="GX80" s="20">
        <f t="shared" si="82"/>
        <v>1.9036642323616162E-12</v>
      </c>
      <c r="GY80" s="59">
        <f t="shared" si="83"/>
        <v>286.66284458279813</v>
      </c>
      <c r="GZ80" s="59">
        <f ca="1">AVERAGE(OFFSET($GY$3,0,0,'Données projet'!$E$18+1,1))-AVERAGE(OFFSET($H$3,0,0,'Données projet'!$E$18+1,1))</f>
        <v>249.88816678272056</v>
      </c>
      <c r="HA80" s="59">
        <f t="shared" si="106"/>
        <v>432.10802787437319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32.742382209412462</v>
      </c>
      <c r="HH80" s="21">
        <f>EXP(-LN(2)/25)*HH79+(1-EXP(-LN(2)/25))/(LN(2)/25)*Calculateur!HC80*Calculateur!HE80*VLOOKUP('Données projet'!$B$18,Paramètres!$A$1:$I$89,3,0)*0.475*44/12</f>
        <v>5.8450376967946642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38.587419906207124</v>
      </c>
    </row>
    <row r="81" spans="1:218" x14ac:dyDescent="0.3">
      <c r="A81" s="10">
        <f t="shared" si="85"/>
        <v>78</v>
      </c>
      <c r="B81" s="71">
        <f>'Scénario référence'!$B$16*5+'Scénario référence'!$B$17*0+'Scénario référence'!$B$18*5</f>
        <v>1.4000000000000001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5.1333333333333337</v>
      </c>
      <c r="H81" s="65">
        <f t="shared" si="56"/>
        <v>236.13333333333335</v>
      </c>
      <c r="I81" s="6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3.6</v>
      </c>
      <c r="N81" s="13">
        <f>IF('Données projet'!$A$36&gt;35,N80+M81-V80,IF(A81&lt;'Données projet'!$A$36,$K$205^A81,IF(A81='Données projet'!$A$36,'Données projet'!$B$36,N80+M81-V80)))</f>
        <v>322.79999999999995</v>
      </c>
      <c r="O81" s="13">
        <f>N81*VLOOKUP('Données projet'!$B$9,Paramètres!$A$1:$I$89,3,0)*VLOOKUP('Données projet'!$B$9,Paramètres!$A$1:$I$89,5,0)</f>
        <v>256.81968000000001</v>
      </c>
      <c r="P81" s="13">
        <f t="shared" si="87"/>
        <v>62.043977430851903</v>
      </c>
      <c r="Q81" s="20">
        <f t="shared" si="54"/>
        <v>555.35420335873368</v>
      </c>
      <c r="R81" s="59">
        <f t="shared" si="55"/>
        <v>842.13276600837298</v>
      </c>
      <c r="S81" s="59">
        <f ca="1">AVERAGE(OFFSET($R$3,0,0,'Données projet'!$E$9+1,1))-AVERAGE(OFFSET($H$3,0,0,'Données projet'!$E$9+1,1))</f>
        <v>360.06385535620069</v>
      </c>
      <c r="T81" s="59">
        <f t="shared" si="88"/>
        <v>350.82516032456408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49.981682574427076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49.981682574427076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276.50687999999997</v>
      </c>
      <c r="AK81" s="13">
        <f t="shared" si="89"/>
        <v>66.228273722513677</v>
      </c>
      <c r="AL81" s="20">
        <f t="shared" si="58"/>
        <v>596.93039273337797</v>
      </c>
      <c r="AM81" s="59">
        <f t="shared" si="59"/>
        <v>883.70895538301727</v>
      </c>
      <c r="AN81" s="59">
        <f ca="1">AVERAGE(OFFSET($AM$3,0,0,'Données projet'!$E$10+1,1))-AVERAGE(OFFSET($H$3,0,0,'Données projet'!$E$10+1,1))</f>
        <v>448.65237942538027</v>
      </c>
      <c r="AO81" s="59">
        <f t="shared" si="90"/>
        <v>283.56749129825107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70.998551995258225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70.998551995258225</v>
      </c>
      <c r="AY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8.8000000000000007</v>
      </c>
      <c r="BD81" s="12">
        <f>IF('Données projet'!$A$88&gt;35,BD80+BC81-BL80,IF(A81&lt;'Données projet'!$A$88,$BA$205^A81,IF(A81='Données projet'!$A$88,'Données projet'!$B$88,BD80+BC81-BL80)))</f>
        <v>333.39999999999986</v>
      </c>
      <c r="BE81" s="13">
        <f>BD81*VLOOKUP('Données projet'!$B$11,Paramètres!$A$1:$I$89,3,0)*VLOOKUP('Données projet'!$B$11,Paramètres!$A$1:$I$89,5,0)</f>
        <v>286.05719999999991</v>
      </c>
      <c r="BF81" s="13">
        <f t="shared" si="91"/>
        <v>68.24547055517067</v>
      </c>
      <c r="BG81" s="20">
        <f t="shared" si="61"/>
        <v>617.07715121692206</v>
      </c>
      <c r="BH81" s="59">
        <f t="shared" si="62"/>
        <v>903.85571386656136</v>
      </c>
      <c r="BI81" s="59">
        <f ca="1">AVERAGE(OFFSET($BH$3,0,0,'Données projet'!$E$11+1,1))-AVERAGE(OFFSET($H$3,0,0,'Données projet'!$E$11+1,1))</f>
        <v>456.76871853389395</v>
      </c>
      <c r="BJ81" s="59">
        <f t="shared" si="92"/>
        <v>262.12425810289176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82.983471959173158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82.983471959173158</v>
      </c>
      <c r="BT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255.00000000000006</v>
      </c>
      <c r="BZ81" s="13">
        <f>BY81*VLOOKUP('Données projet'!$B$12,Paramètres!$A$1:$I$89,3,0)*VLOOKUP('Données projet'!$B$12,Paramètres!$A$1:$I$89,5,0)</f>
        <v>186.96600000000004</v>
      </c>
      <c r="CA81" s="13">
        <f t="shared" si="93"/>
        <v>46.868551400324648</v>
      </c>
      <c r="CB81" s="20">
        <f t="shared" si="64"/>
        <v>407.26184368889881</v>
      </c>
      <c r="CC81" s="59">
        <f t="shared" si="65"/>
        <v>694.04040633853811</v>
      </c>
      <c r="CD81" s="59">
        <f ca="1">AVERAGE(OFFSET($CC$3,0,0,'Données projet'!$E$12+1,1))-AVERAGE(OFFSET($H$3,0,0,'Données projet'!$E$12+1,1))</f>
        <v>242.65851607945316</v>
      </c>
      <c r="CE81" s="59">
        <f t="shared" si="94"/>
        <v>218.9349999985487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249.0000000000002</v>
      </c>
      <c r="CU81" s="17">
        <f>CT81*VLOOKUP('Données projet'!$B$13,Paramètres!$A$1:$I$89,3,0)*VLOOKUP('Données projet'!$B$13,Paramètres!$A$1:$I$89,5,0)</f>
        <v>217.52640000000019</v>
      </c>
      <c r="CV81" s="13">
        <f t="shared" si="95"/>
        <v>53.576907690651304</v>
      </c>
      <c r="CW81" s="20">
        <f t="shared" si="67"/>
        <v>472.17159422788467</v>
      </c>
      <c r="CX81" s="59">
        <f t="shared" si="68"/>
        <v>758.95015687752402</v>
      </c>
      <c r="CY81" s="59">
        <f ca="1">AVERAGE(OFFSET($CX$3,0,0,'Données projet'!$E$13+1,1))-AVERAGE(OFFSET($H$3,0,0,'Données projet'!$E$13+1,1))</f>
        <v>326.9460696675867</v>
      </c>
      <c r="CZ81" s="59">
        <f t="shared" si="96"/>
        <v>393.4020374592568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53.300409870708521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53.300409870708521</v>
      </c>
      <c r="DJ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</v>
      </c>
      <c r="DO81" s="12">
        <f>IF('Données projet'!$A$166&gt;35,DO80+DN81-DW80,IF(A81&lt;'Données projet'!$A$166,$DL$205^A81,IF(A81='Données projet'!$A$166,'Données projet'!$B$166,DO80+DN81-DW80)))</f>
        <v>333.00000000000017</v>
      </c>
      <c r="DP81" s="17">
        <f>DO81*VLOOKUP('Données projet'!$B$14,Paramètres!$A$1:$I$89,3,0)*VLOOKUP('Données projet'!$B$14,Paramètres!$A$1:$I$89,5,0)</f>
        <v>259.74000000000012</v>
      </c>
      <c r="DQ81" s="13">
        <f t="shared" si="97"/>
        <v>62.666953236268782</v>
      </c>
      <c r="DR81" s="20">
        <f t="shared" si="70"/>
        <v>561.52544355316832</v>
      </c>
      <c r="DS81" s="59">
        <f t="shared" si="71"/>
        <v>848.30400620280761</v>
      </c>
      <c r="DT81" s="59">
        <f ca="1">AVERAGE(OFFSET($DS$3,0,0,'Données projet'!$E$14+1,1))-AVERAGE(OFFSET($H$3,0,0,'Données projet'!$E$14+1,1))</f>
        <v>364.34528546733799</v>
      </c>
      <c r="DU81" s="59">
        <f t="shared" si="98"/>
        <v>346.5839763411152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73.972031766655874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73.972031766655874</v>
      </c>
      <c r="EE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216.53423999999995</v>
      </c>
      <c r="EL81" s="13">
        <f t="shared" si="99"/>
        <v>53.360925192852498</v>
      </c>
      <c r="EM81" s="20">
        <f t="shared" si="73"/>
        <v>470.06741271088464</v>
      </c>
      <c r="EN81" s="59">
        <f t="shared" si="74"/>
        <v>756.84597536052388</v>
      </c>
      <c r="EO81" s="59">
        <f ca="1">AVERAGE(OFFSET($EN$3,0,0,'Données projet'!$E$15+1,1))-AVERAGE(OFFSET($H$3,0,0,'Données projet'!$E$15+1,1))</f>
        <v>310.38232870602445</v>
      </c>
      <c r="EP81" s="59">
        <f t="shared" si="100"/>
        <v>303.45934457265537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42.141418641183606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42.141418641183606</v>
      </c>
      <c r="EZ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5.6</v>
      </c>
      <c r="FE81" s="12">
        <f>IF('Données projet'!$A$218&gt;35,FE80+FD81-FM80,IF(A81&lt;'Données projet'!$A$218,$FB$205^A81,IF(A81='Données projet'!$A$218,'Données projet'!$B$218,FE80+FD81-FM80)))</f>
        <v>253.79999999999995</v>
      </c>
      <c r="FF81" s="17">
        <f>FE81*VLOOKUP('Données projet'!$B$16,Paramètres!$A$1:$I$89,3,0)*VLOOKUP('Données projet'!$B$16,Paramètres!$A$1:$I$89,5,0)</f>
        <v>241.51607999999993</v>
      </c>
      <c r="FG81" s="13">
        <f t="shared" si="101"/>
        <v>58.765602836317846</v>
      </c>
      <c r="FH81" s="20">
        <f t="shared" si="76"/>
        <v>522.99059760658679</v>
      </c>
      <c r="FI81" s="59">
        <f t="shared" si="77"/>
        <v>809.76916025622609</v>
      </c>
      <c r="FJ81" s="59">
        <f ca="1">AVERAGE(OFFSET($FI$3,0,0,'Données projet'!$E$16+1,1))-AVERAGE(OFFSET($H$3,0,0,'Données projet'!$E$16+1,1))</f>
        <v>457.706832425622</v>
      </c>
      <c r="FK81" s="59">
        <f t="shared" si="102"/>
        <v>474.61768219844873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77.094223350454385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77.094223350454385</v>
      </c>
      <c r="FU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3.6</v>
      </c>
      <c r="FZ81" s="12">
        <f>IF('Données projet'!$A$244&gt;35,FZ80+FY81-GH80,IF(A81&lt;'Données projet'!$A$244,$FW$205^A81,IF(A81='Données projet'!$A$244,'Données projet'!$B$244,FZ80+FY81-GH80)))</f>
        <v>322.79999999999995</v>
      </c>
      <c r="GA81" s="17">
        <f>FZ81*VLOOKUP('Données projet'!$B$17,Paramètres!$A$1:$I$89,3,0)*VLOOKUP('Données projet'!$B$17,Paramètres!$A$1:$I$89,5,0)</f>
        <v>312.21215999999998</v>
      </c>
      <c r="GB81" s="13">
        <f t="shared" si="103"/>
        <v>73.730625863532069</v>
      </c>
      <c r="GC81" s="20">
        <f t="shared" si="79"/>
        <v>672.18368537898493</v>
      </c>
      <c r="GD81" s="59">
        <f t="shared" si="80"/>
        <v>958.96224802862423</v>
      </c>
      <c r="GE81" s="59">
        <f ca="1">AVERAGE(OFFSET($GD$3,0,0,'Données projet'!$E$17+1,1))-AVERAGE(OFFSET($H$3,0,0,'Données projet'!$E$17+1,1))</f>
        <v>428.11167311086814</v>
      </c>
      <c r="GF81" s="59">
        <f t="shared" si="104"/>
        <v>415.69449942923609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49.297508599120448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49.297508599120448</v>
      </c>
      <c r="GP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1.1368683772161603E-13</v>
      </c>
      <c r="GV81" s="17">
        <f>GU81*VLOOKUP('Données projet'!$B$18,Paramètres!$A$1:$I$89,3,0)*VLOOKUP('Données projet'!$B$18,Paramètres!$A$1:$I$89,5,0)</f>
        <v>6.5087988332379613E-14</v>
      </c>
      <c r="GW81" s="13">
        <f t="shared" si="105"/>
        <v>1.0279249680474958E-12</v>
      </c>
      <c r="GX81" s="20">
        <f t="shared" si="82"/>
        <v>1.9036642323616162E-12</v>
      </c>
      <c r="GY81" s="59">
        <f t="shared" si="83"/>
        <v>286.77856264964117</v>
      </c>
      <c r="GZ81" s="59">
        <f ca="1">AVERAGE(OFFSET($GY$3,0,0,'Données projet'!$E$18+1,1))-AVERAGE(OFFSET($H$3,0,0,'Données projet'!$E$18+1,1))</f>
        <v>249.88816678272056</v>
      </c>
      <c r="HA81" s="59">
        <f t="shared" si="106"/>
        <v>432.10802787437319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32.100324065167072</v>
      </c>
      <c r="HH81" s="21">
        <f>EXP(-LN(2)/25)*HH80+(1-EXP(-LN(2)/25))/(LN(2)/25)*Calculateur!HC81*Calculateur!HE81*VLOOKUP('Données projet'!$B$18,Paramètres!$A$1:$I$89,3,0)*0.475*44/12</f>
        <v>5.6852048335986405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37.785528898765712</v>
      </c>
    </row>
    <row r="82" spans="1:218" x14ac:dyDescent="0.3">
      <c r="A82" s="10">
        <f t="shared" si="85"/>
        <v>79</v>
      </c>
      <c r="B82" s="71">
        <f>'Scénario référence'!$B$16*5+'Scénario référence'!$B$17*0+'Scénario référence'!$B$18*5</f>
        <v>1.4000000000000001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5.1333333333333337</v>
      </c>
      <c r="H82" s="65">
        <f t="shared" si="56"/>
        <v>236.13333333333335</v>
      </c>
      <c r="I82" s="6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3.6</v>
      </c>
      <c r="N82" s="13">
        <f>IF('Données projet'!$A$36&gt;35,N81+M82-V81,IF(A82&lt;'Données projet'!$A$36,$K$205^A82,IF(A82='Données projet'!$A$36,'Données projet'!$B$36,N81+M82-V81)))</f>
        <v>326.39999999999998</v>
      </c>
      <c r="O82" s="13">
        <f>N82*VLOOKUP('Données projet'!$B$9,Paramètres!$A$1:$I$89,3,0)*VLOOKUP('Données projet'!$B$9,Paramètres!$A$1:$I$89,5,0)</f>
        <v>259.68384000000003</v>
      </c>
      <c r="P82" s="13">
        <f t="shared" si="87"/>
        <v>62.654980648867358</v>
      </c>
      <c r="Q82" s="20">
        <f t="shared" si="54"/>
        <v>561.40677929677736</v>
      </c>
      <c r="R82" s="59">
        <f t="shared" si="55"/>
        <v>848.29905256350685</v>
      </c>
      <c r="S82" s="59">
        <f ca="1">AVERAGE(OFFSET($R$3,0,0,'Données projet'!$E$9+1,1))-AVERAGE(OFFSET($H$3,0,0,'Données projet'!$E$9+1,1))</f>
        <v>360.06385535620069</v>
      </c>
      <c r="T82" s="59">
        <f t="shared" si="88"/>
        <v>350.82516032456408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49.00157226495871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49.00157226495871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283.02144000000004</v>
      </c>
      <c r="AK82" s="13">
        <f t="shared" si="89"/>
        <v>67.605126603830598</v>
      </c>
      <c r="AL82" s="20">
        <f t="shared" si="58"/>
        <v>610.67460350167164</v>
      </c>
      <c r="AM82" s="59">
        <f t="shared" si="59"/>
        <v>897.56687676840124</v>
      </c>
      <c r="AN82" s="59">
        <f ca="1">AVERAGE(OFFSET($AM$3,0,0,'Données projet'!$E$10+1,1))-AVERAGE(OFFSET($H$3,0,0,'Données projet'!$E$10+1,1))</f>
        <v>448.65237942538027</v>
      </c>
      <c r="AO82" s="59">
        <f t="shared" si="90"/>
        <v>283.56749129825107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69.606313695471925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69.606313695471925</v>
      </c>
      <c r="AY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8.8000000000000007</v>
      </c>
      <c r="BD82" s="12">
        <f>IF('Données projet'!$A$88&gt;35,BD81+BC82-BL81,IF(A82&lt;'Données projet'!$A$88,$BA$205^A82,IF(A82='Données projet'!$A$88,'Données projet'!$B$88,BD81+BC82-BL81)))</f>
        <v>342.19999999999987</v>
      </c>
      <c r="BE82" s="13">
        <f>BD82*VLOOKUP('Données projet'!$B$11,Paramètres!$A$1:$I$89,3,0)*VLOOKUP('Données projet'!$B$11,Paramètres!$A$1:$I$89,5,0)</f>
        <v>293.60759999999993</v>
      </c>
      <c r="BF82" s="13">
        <f t="shared" si="91"/>
        <v>69.834695689453682</v>
      </c>
      <c r="BG82" s="20">
        <f t="shared" si="61"/>
        <v>632.99533165913169</v>
      </c>
      <c r="BH82" s="59">
        <f t="shared" si="62"/>
        <v>919.8876049258613</v>
      </c>
      <c r="BI82" s="59">
        <f ca="1">AVERAGE(OFFSET($BH$3,0,0,'Données projet'!$E$11+1,1))-AVERAGE(OFFSET($H$3,0,0,'Données projet'!$E$11+1,1))</f>
        <v>456.76871853389395</v>
      </c>
      <c r="BJ82" s="59">
        <f t="shared" si="92"/>
        <v>262.12425810289176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81.356216688973859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81.356216688973859</v>
      </c>
      <c r="BT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255.00000000000006</v>
      </c>
      <c r="BZ82" s="13">
        <f>BY82*VLOOKUP('Données projet'!$B$12,Paramètres!$A$1:$I$89,3,0)*VLOOKUP('Données projet'!$B$12,Paramètres!$A$1:$I$89,5,0)</f>
        <v>186.96600000000004</v>
      </c>
      <c r="CA82" s="13">
        <f t="shared" si="93"/>
        <v>46.868551400324648</v>
      </c>
      <c r="CB82" s="20">
        <f t="shared" si="64"/>
        <v>407.26184368889881</v>
      </c>
      <c r="CC82" s="59">
        <f t="shared" si="65"/>
        <v>694.1541169556283</v>
      </c>
      <c r="CD82" s="59">
        <f ca="1">AVERAGE(OFFSET($CC$3,0,0,'Données projet'!$E$12+1,1))-AVERAGE(OFFSET($H$3,0,0,'Données projet'!$E$12+1,1))</f>
        <v>242.65851607945316</v>
      </c>
      <c r="CE82" s="59">
        <f t="shared" si="94"/>
        <v>218.9349999985487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249.0000000000002</v>
      </c>
      <c r="CU82" s="17">
        <f>CT82*VLOOKUP('Données projet'!$B$13,Paramètres!$A$1:$I$89,3,0)*VLOOKUP('Données projet'!$B$13,Paramètres!$A$1:$I$89,5,0)</f>
        <v>217.52640000000019</v>
      </c>
      <c r="CV82" s="13">
        <f t="shared" si="95"/>
        <v>53.576907690651304</v>
      </c>
      <c r="CW82" s="20">
        <f t="shared" si="67"/>
        <v>472.17159422788467</v>
      </c>
      <c r="CX82" s="59">
        <f t="shared" si="68"/>
        <v>759.06386749461421</v>
      </c>
      <c r="CY82" s="59">
        <f ca="1">AVERAGE(OFFSET($CX$3,0,0,'Données projet'!$E$13+1,1))-AVERAGE(OFFSET($H$3,0,0,'Données projet'!$E$13+1,1))</f>
        <v>326.9460696675867</v>
      </c>
      <c r="CZ82" s="59">
        <f t="shared" si="96"/>
        <v>393.4020374592568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52.255221343183848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52.255221343183848</v>
      </c>
      <c r="DJ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</v>
      </c>
      <c r="DO82" s="12">
        <f>IF('Données projet'!$A$166&gt;35,DO81+DN82-DW81,IF(A82&lt;'Données projet'!$A$166,$DL$205^A82,IF(A82='Données projet'!$A$166,'Données projet'!$B$166,DO81+DN82-DW81)))</f>
        <v>341.00000000000017</v>
      </c>
      <c r="DP82" s="17">
        <f>DO82*VLOOKUP('Données projet'!$B$14,Paramètres!$A$1:$I$89,3,0)*VLOOKUP('Données projet'!$B$14,Paramètres!$A$1:$I$89,5,0)</f>
        <v>265.98000000000013</v>
      </c>
      <c r="DQ82" s="13">
        <f t="shared" si="97"/>
        <v>63.995380422211646</v>
      </c>
      <c r="DR82" s="20">
        <f t="shared" si="70"/>
        <v>574.7071209020188</v>
      </c>
      <c r="DS82" s="59">
        <f t="shared" si="71"/>
        <v>861.5993941687484</v>
      </c>
      <c r="DT82" s="59">
        <f ca="1">AVERAGE(OFFSET($DS$3,0,0,'Données projet'!$E$14+1,1))-AVERAGE(OFFSET($H$3,0,0,'Données projet'!$E$14+1,1))</f>
        <v>364.34528546733799</v>
      </c>
      <c r="DU82" s="59">
        <f t="shared" si="98"/>
        <v>346.5839763411152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72.521485342196044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72.521485342196044</v>
      </c>
      <c r="EE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218.94911999999997</v>
      </c>
      <c r="EL82" s="13">
        <f t="shared" si="99"/>
        <v>53.886418534175576</v>
      </c>
      <c r="EM82" s="20">
        <f t="shared" si="73"/>
        <v>475.18856294702238</v>
      </c>
      <c r="EN82" s="59">
        <f t="shared" si="74"/>
        <v>762.08083621375192</v>
      </c>
      <c r="EO82" s="59">
        <f ca="1">AVERAGE(OFFSET($EN$3,0,0,'Données projet'!$E$15+1,1))-AVERAGE(OFFSET($H$3,0,0,'Données projet'!$E$15+1,1))</f>
        <v>310.38232870602445</v>
      </c>
      <c r="EP82" s="59">
        <f t="shared" si="100"/>
        <v>303.45934457265537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41.315051125357336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41.315051125357336</v>
      </c>
      <c r="EZ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5.6</v>
      </c>
      <c r="FE82" s="12">
        <f>IF('Données projet'!$A$218&gt;35,FE81+FD82-FM81,IF(A82&lt;'Données projet'!$A$218,$FB$205^A82,IF(A82='Données projet'!$A$218,'Données projet'!$B$218,FE81+FD82-FM81)))</f>
        <v>259.39999999999998</v>
      </c>
      <c r="FF82" s="17">
        <f>FE82*VLOOKUP('Données projet'!$B$16,Paramètres!$A$1:$I$89,3,0)*VLOOKUP('Données projet'!$B$16,Paramètres!$A$1:$I$89,5,0)</f>
        <v>246.84503999999998</v>
      </c>
      <c r="FG82" s="13">
        <f t="shared" si="101"/>
        <v>59.909855104873429</v>
      </c>
      <c r="FH82" s="20">
        <f t="shared" si="76"/>
        <v>534.26477564098775</v>
      </c>
      <c r="FI82" s="59">
        <f t="shared" si="77"/>
        <v>821.15704890771735</v>
      </c>
      <c r="FJ82" s="59">
        <f ca="1">AVERAGE(OFFSET($FI$3,0,0,'Données projet'!$E$16+1,1))-AVERAGE(OFFSET($H$3,0,0,'Données projet'!$E$16+1,1))</f>
        <v>457.706832425622</v>
      </c>
      <c r="FK82" s="59">
        <f t="shared" si="102"/>
        <v>474.61768219844873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75.582452653385104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75.582452653385104</v>
      </c>
      <c r="FU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3.6</v>
      </c>
      <c r="FZ82" s="12">
        <f>IF('Données projet'!$A$244&gt;35,FZ81+FY82-GH81,IF(A82&lt;'Données projet'!$A$244,$FW$205^A82,IF(A82='Données projet'!$A$244,'Données projet'!$B$244,FZ81+FY82-GH81)))</f>
        <v>326.39999999999998</v>
      </c>
      <c r="GA82" s="17">
        <f>FZ82*VLOOKUP('Données projet'!$B$17,Paramètres!$A$1:$I$89,3,0)*VLOOKUP('Données projet'!$B$17,Paramètres!$A$1:$I$89,5,0)</f>
        <v>315.69407999999999</v>
      </c>
      <c r="GB82" s="13">
        <f t="shared" si="103"/>
        <v>74.456718089310456</v>
      </c>
      <c r="GC82" s="20">
        <f t="shared" si="79"/>
        <v>679.51264000554897</v>
      </c>
      <c r="GD82" s="59">
        <f t="shared" si="80"/>
        <v>966.40491327227846</v>
      </c>
      <c r="GE82" s="59">
        <f ca="1">AVERAGE(OFFSET($GD$3,0,0,'Données projet'!$E$17+1,1))-AVERAGE(OFFSET($H$3,0,0,'Données projet'!$E$17+1,1))</f>
        <v>428.11167311086814</v>
      </c>
      <c r="GF82" s="59">
        <f t="shared" si="104"/>
        <v>415.69449942923609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48.330814524002925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48.330814524002925</v>
      </c>
      <c r="GP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1.1368683772161603E-13</v>
      </c>
      <c r="GV82" s="17">
        <f>GU82*VLOOKUP('Données projet'!$B$18,Paramètres!$A$1:$I$89,3,0)*VLOOKUP('Données projet'!$B$18,Paramètres!$A$1:$I$89,5,0)</f>
        <v>6.5087988332379613E-14</v>
      </c>
      <c r="GW82" s="13">
        <f t="shared" si="105"/>
        <v>1.0279249680474958E-12</v>
      </c>
      <c r="GX82" s="20">
        <f t="shared" si="82"/>
        <v>1.9036642323616162E-12</v>
      </c>
      <c r="GY82" s="59">
        <f t="shared" si="83"/>
        <v>286.89227326673142</v>
      </c>
      <c r="GZ82" s="59">
        <f ca="1">AVERAGE(OFFSET($GY$3,0,0,'Données projet'!$E$18+1,1))-AVERAGE(OFFSET($H$3,0,0,'Données projet'!$E$18+1,1))</f>
        <v>249.88816678272056</v>
      </c>
      <c r="HA82" s="59">
        <f t="shared" si="106"/>
        <v>432.10802787437319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31.470856289513534</v>
      </c>
      <c r="HH82" s="21">
        <f>EXP(-LN(2)/25)*HH81+(1-EXP(-LN(2)/25))/(LN(2)/25)*Calculateur!HC82*Calculateur!HE82*VLOOKUP('Données projet'!$B$18,Paramètres!$A$1:$I$89,3,0)*0.475*44/12</f>
        <v>5.529742608451957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37.000598897965489</v>
      </c>
    </row>
    <row r="83" spans="1:218" x14ac:dyDescent="0.3">
      <c r="A83" s="10">
        <f t="shared" si="85"/>
        <v>80</v>
      </c>
      <c r="B83" s="71">
        <f>'Scénario référence'!$B$16*5+'Scénario référence'!$B$17*0+'Scénario référence'!$B$18*5</f>
        <v>1.4000000000000001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5.1333333333333337</v>
      </c>
      <c r="H83" s="65">
        <f t="shared" si="56"/>
        <v>236.13333333333335</v>
      </c>
      <c r="I83" s="6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330</v>
      </c>
      <c r="L83" s="12">
        <f>VLOOKUP(A83,'Données projet'!$A$35:$I$55,9,0)</f>
        <v>3.6</v>
      </c>
      <c r="M83" s="12">
        <f t="array" ref="M83">INDEX(L:L,MIN(IF(ISNUMBER(L83:L279),ROW(L83:L279),"")))</f>
        <v>3.6</v>
      </c>
      <c r="N83" s="13">
        <f>IF('Données projet'!$A$36&gt;35,N82+M83-V82,IF(A83&lt;'Données projet'!$A$36,$K$205^A83,IF(A83='Données projet'!$A$36,'Données projet'!$B$36,N82+M83-V82)))</f>
        <v>330</v>
      </c>
      <c r="O83" s="13">
        <f>N83*VLOOKUP('Données projet'!$B$9,Paramètres!$A$1:$I$89,3,0)*VLOOKUP('Données projet'!$B$9,Paramètres!$A$1:$I$89,5,0)</f>
        <v>262.548</v>
      </c>
      <c r="P83" s="13">
        <f t="shared" si="87"/>
        <v>63.265199933079444</v>
      </c>
      <c r="Q83" s="20">
        <f t="shared" si="54"/>
        <v>567.45798988344666</v>
      </c>
      <c r="R83" s="59">
        <f t="shared" si="55"/>
        <v>854.46200114227872</v>
      </c>
      <c r="S83" s="59">
        <f ca="1">AVERAGE(OFFSET($R$3,0,0,'Données projet'!$E$9+1,1))-AVERAGE(OFFSET($H$3,0,0,'Données projet'!$E$9+1,1))</f>
        <v>360.06385535620069</v>
      </c>
      <c r="T83" s="59">
        <f t="shared" si="88"/>
        <v>350.82516032456408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11</v>
      </c>
      <c r="W83" s="16">
        <f>IF(ISNA(VLOOKUP(A83,'Données projet'!$A$35:$I$55,5,0)),0%,VLOOKUP(A83,'Données projet'!$A$35:$I$55,5,0)*VLOOKUP('Données projet'!$B$9,Paramètres!$A$1:$I$89,7,0))</f>
        <v>0.53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53.168237644816656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53.168237644816656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289.536</v>
      </c>
      <c r="AK83" s="13">
        <f t="shared" si="89"/>
        <v>68.97829509904436</v>
      </c>
      <c r="AL83" s="20">
        <f t="shared" si="58"/>
        <v>624.41239729750225</v>
      </c>
      <c r="AM83" s="59">
        <f t="shared" si="59"/>
        <v>911.41640855633432</v>
      </c>
      <c r="AN83" s="59">
        <f ca="1">AVERAGE(OFFSET($AM$3,0,0,'Données projet'!$E$10+1,1))-AVERAGE(OFFSET($H$3,0,0,'Données projet'!$E$10+1,1))</f>
        <v>448.65237942538027</v>
      </c>
      <c r="AO83" s="59">
        <f t="shared" si="90"/>
        <v>283.56749129825107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80.28414071635595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80.28414071635595</v>
      </c>
      <c r="AY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351</v>
      </c>
      <c r="BB83" s="12">
        <f>VLOOKUP(A83,'Données projet'!$A$87:$I$107,9,0)</f>
        <v>8.8000000000000007</v>
      </c>
      <c r="BC83" s="12">
        <f t="array" ref="BC83">INDEX(BB:BB,MIN(IF(ISNUMBER(BB83:BB279),ROW(BB83:BB279),"")))</f>
        <v>8.8000000000000007</v>
      </c>
      <c r="BD83" s="12">
        <f>IF('Données projet'!$A$88&gt;35,BD82+BC83-BL82,IF(A83&lt;'Données projet'!$A$88,$BA$205^A83,IF(A83='Données projet'!$A$88,'Données projet'!$B$88,BD82+BC83-BL82)))</f>
        <v>350.99999999999989</v>
      </c>
      <c r="BE83" s="13">
        <f>BD83*VLOOKUP('Données projet'!$B$11,Paramètres!$A$1:$I$89,3,0)*VLOOKUP('Données projet'!$B$11,Paramètres!$A$1:$I$89,5,0)</f>
        <v>301.15799999999996</v>
      </c>
      <c r="BF83" s="13">
        <f t="shared" si="91"/>
        <v>71.419170296330975</v>
      </c>
      <c r="BG83" s="20">
        <f t="shared" si="61"/>
        <v>648.90523826610968</v>
      </c>
      <c r="BH83" s="59">
        <f t="shared" si="62"/>
        <v>935.90924952494174</v>
      </c>
      <c r="BI83" s="59">
        <f ca="1">AVERAGE(OFFSET($BH$3,0,0,'Données projet'!$E$11+1,1))-AVERAGE(OFFSET($H$3,0,0,'Données projet'!$E$11+1,1))</f>
        <v>456.76871853389395</v>
      </c>
      <c r="BJ83" s="59">
        <f t="shared" si="92"/>
        <v>262.12425810289176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93.836515712982248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93.836515712982248</v>
      </c>
      <c r="BT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255.00000000000006</v>
      </c>
      <c r="BZ83" s="13">
        <f>BY83*VLOOKUP('Données projet'!$B$12,Paramètres!$A$1:$I$89,3,0)*VLOOKUP('Données projet'!$B$12,Paramètres!$A$1:$I$89,5,0)</f>
        <v>186.96600000000004</v>
      </c>
      <c r="CA83" s="13">
        <f t="shared" si="93"/>
        <v>46.868551400324648</v>
      </c>
      <c r="CB83" s="20">
        <f t="shared" si="64"/>
        <v>407.26184368889881</v>
      </c>
      <c r="CC83" s="59">
        <f t="shared" si="65"/>
        <v>694.26585494773099</v>
      </c>
      <c r="CD83" s="59">
        <f ca="1">AVERAGE(OFFSET($CC$3,0,0,'Données projet'!$E$12+1,1))-AVERAGE(OFFSET($H$3,0,0,'Données projet'!$E$12+1,1))</f>
        <v>242.65851607945316</v>
      </c>
      <c r="CE83" s="59">
        <f t="shared" si="94"/>
        <v>218.9349999985487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249.0000000000002</v>
      </c>
      <c r="CU83" s="17">
        <f>CT83*VLOOKUP('Données projet'!$B$13,Paramètres!$A$1:$I$89,3,0)*VLOOKUP('Données projet'!$B$13,Paramètres!$A$1:$I$89,5,0)</f>
        <v>217.52640000000019</v>
      </c>
      <c r="CV83" s="13">
        <f t="shared" si="95"/>
        <v>53.576907690651304</v>
      </c>
      <c r="CW83" s="20">
        <f t="shared" si="67"/>
        <v>472.17159422788467</v>
      </c>
      <c r="CX83" s="59">
        <f t="shared" si="68"/>
        <v>759.17560548671679</v>
      </c>
      <c r="CY83" s="59">
        <f ca="1">AVERAGE(OFFSET($CX$3,0,0,'Données projet'!$E$13+1,1))-AVERAGE(OFFSET($H$3,0,0,'Données projet'!$E$13+1,1))</f>
        <v>326.9460696675867</v>
      </c>
      <c r="CZ83" s="59">
        <f t="shared" si="96"/>
        <v>393.4020374592568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51.230528325181879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51.230528325181879</v>
      </c>
      <c r="DJ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349</v>
      </c>
      <c r="DM83" s="12">
        <f>VLOOKUP(A83,'Données projet'!$A$165:$I$185,9,0)</f>
        <v>8</v>
      </c>
      <c r="DN83" s="12">
        <f t="array" ref="DN83">INDEX(DM:DM,MIN(IF(ISNUMBER(DM83:DM279),ROW(DM83:DM279),"")))</f>
        <v>8</v>
      </c>
      <c r="DO83" s="12">
        <f>IF('Données projet'!$A$166&gt;35,DO82+DN83-DW82,IF(A83&lt;'Données projet'!$A$166,$DL$205^A83,IF(A83='Données projet'!$A$166,'Données projet'!$B$166,DO82+DN83-DW82)))</f>
        <v>349.00000000000017</v>
      </c>
      <c r="DP83" s="17">
        <f>DO83*VLOOKUP('Données projet'!$B$14,Paramètres!$A$1:$I$89,3,0)*VLOOKUP('Données projet'!$B$14,Paramètres!$A$1:$I$89,5,0)</f>
        <v>272.22000000000014</v>
      </c>
      <c r="DQ83" s="13">
        <f t="shared" si="97"/>
        <v>65.320184547527205</v>
      </c>
      <c r="DR83" s="20">
        <f t="shared" si="70"/>
        <v>587.88248808694345</v>
      </c>
      <c r="DS83" s="59">
        <f t="shared" si="71"/>
        <v>874.88649934577552</v>
      </c>
      <c r="DT83" s="59">
        <f ca="1">AVERAGE(OFFSET($DS$3,0,0,'Données projet'!$E$14+1,1))-AVERAGE(OFFSET($H$3,0,0,'Données projet'!$E$14+1,1))</f>
        <v>364.34528546733799</v>
      </c>
      <c r="DU83" s="59">
        <f t="shared" si="98"/>
        <v>346.5839763411152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71.099383248373925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71.099383248373925</v>
      </c>
      <c r="EE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221.364</v>
      </c>
      <c r="EL83" s="13">
        <f t="shared" si="99"/>
        <v>54.411237653200793</v>
      </c>
      <c r="EM83" s="20">
        <f t="shared" si="73"/>
        <v>480.30853891265809</v>
      </c>
      <c r="EN83" s="59">
        <f t="shared" si="74"/>
        <v>767.31255017149022</v>
      </c>
      <c r="EO83" s="59">
        <f ca="1">AVERAGE(OFFSET($EN$3,0,0,'Données projet'!$E$15+1,1))-AVERAGE(OFFSET($H$3,0,0,'Données projet'!$E$15+1,1))</f>
        <v>310.38232870602445</v>
      </c>
      <c r="EP83" s="59">
        <f t="shared" si="100"/>
        <v>303.45934457265537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44.828121935825806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44.828121935825806</v>
      </c>
      <c r="EZ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265</v>
      </c>
      <c r="FC83" s="12">
        <f>VLOOKUP(A83,'Données projet'!$A$217:$I$237,9,0)</f>
        <v>5.6</v>
      </c>
      <c r="FD83" s="12">
        <f t="array" ref="FD83">INDEX(FC:FC,MIN(IF(ISNUMBER(FC83:FC279),ROW(FC83:FC279),"")))</f>
        <v>5.6</v>
      </c>
      <c r="FE83" s="12">
        <f>IF('Données projet'!$A$218&gt;35,FE82+FD83-FM82,IF(A83&lt;'Données projet'!$A$218,$FB$205^A83,IF(A83='Données projet'!$A$218,'Données projet'!$B$218,FE82+FD83-FM82)))</f>
        <v>265</v>
      </c>
      <c r="FF83" s="17">
        <f>FE83*VLOOKUP('Données projet'!$B$16,Paramètres!$A$1:$I$89,3,0)*VLOOKUP('Données projet'!$B$16,Paramètres!$A$1:$I$89,5,0)</f>
        <v>252.17400000000001</v>
      </c>
      <c r="FG83" s="13">
        <f t="shared" si="101"/>
        <v>61.051235383411935</v>
      </c>
      <c r="FH83" s="20">
        <f t="shared" si="76"/>
        <v>545.53395162610911</v>
      </c>
      <c r="FI83" s="59">
        <f t="shared" si="77"/>
        <v>832.53796288494118</v>
      </c>
      <c r="FJ83" s="59">
        <f ca="1">AVERAGE(OFFSET($FI$3,0,0,'Données projet'!$E$16+1,1))-AVERAGE(OFFSET($H$3,0,0,'Données projet'!$E$16+1,1))</f>
        <v>457.706832425622</v>
      </c>
      <c r="FK83" s="59">
        <f t="shared" si="102"/>
        <v>474.61768219844873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26</v>
      </c>
      <c r="FN83" s="16">
        <f>IF(ISNA(VLOOKUP(A83,'Données projet'!$A$217:$I$237,5,0)),0%,VLOOKUP(A83,'Données projet'!$A$217:$I$237,5,0)*VLOOKUP('Données projet'!$B$16,Paramètres!$A$1:$I$89,7,0))</f>
        <v>0.43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85.861302412764815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85.861302412764815</v>
      </c>
      <c r="FU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330</v>
      </c>
      <c r="FX83" s="12">
        <f>VLOOKUP(A83,'Données projet'!$A$243:$I$263,9,0)</f>
        <v>3.6</v>
      </c>
      <c r="FY83" s="12">
        <f t="array" ref="FY83">INDEX(FX:FX,MIN(IF(ISNUMBER(FX83:FX279),ROW(FX83:FX279),"")))</f>
        <v>3.6</v>
      </c>
      <c r="FZ83" s="12">
        <f>IF('Données projet'!$A$244&gt;35,FZ82+FY83-GH82,IF(A83&lt;'Données projet'!$A$244,$FW$205^A83,IF(A83='Données projet'!$A$244,'Données projet'!$B$244,FZ82+FY83-GH82)))</f>
        <v>330</v>
      </c>
      <c r="GA83" s="17">
        <f>FZ83*VLOOKUP('Données projet'!$B$17,Paramètres!$A$1:$I$89,3,0)*VLOOKUP('Données projet'!$B$17,Paramètres!$A$1:$I$89,5,0)</f>
        <v>319.17599999999999</v>
      </c>
      <c r="GB83" s="13">
        <f t="shared" si="103"/>
        <v>75.181878718947672</v>
      </c>
      <c r="GC83" s="20">
        <f t="shared" si="79"/>
        <v>686.83997210216705</v>
      </c>
      <c r="GD83" s="59">
        <f t="shared" si="80"/>
        <v>973.84398336099912</v>
      </c>
      <c r="GE83" s="59">
        <f ca="1">AVERAGE(OFFSET($GD$3,0,0,'Données projet'!$E$17+1,1))-AVERAGE(OFFSET($H$3,0,0,'Données projet'!$E$17+1,1))</f>
        <v>428.11167311086814</v>
      </c>
      <c r="GF83" s="59">
        <f t="shared" si="104"/>
        <v>415.69449942923609</v>
      </c>
      <c r="GG83" s="15">
        <f>IF(ISNA(VLOOKUP(A83,'Données projet'!$A$243:$I$263,3,0)),0,VLOOKUP(A83,'Données projet'!$A$243:$I$263,3,0))</f>
        <v>14</v>
      </c>
      <c r="GH83" s="15">
        <f>IF(ISNA(VLOOKUP(A83,'Données projet'!$A$243:$I$263,4,0)),0,VLOOKUP(A83,'Données projet'!$A$243:$I$263,4,0))</f>
        <v>11</v>
      </c>
      <c r="GI83" s="16">
        <f>IF(ISNA(VLOOKUP(A83,'Données projet'!$A$243:$I$263,5,0)),0%,VLOOKUP(A83,'Données projet'!$A$243:$I$263,5,0)*VLOOKUP('Données projet'!$B$17,Paramètres!$A$1:$I$89,7,0))</f>
        <v>0.43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52.440444528701889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52.440444528701889</v>
      </c>
      <c r="GP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1.1368683772161603E-13</v>
      </c>
      <c r="GV83" s="17">
        <f>GU83*VLOOKUP('Données projet'!$B$18,Paramètres!$A$1:$I$89,3,0)*VLOOKUP('Données projet'!$B$18,Paramètres!$A$1:$I$89,5,0)</f>
        <v>6.5087988332379613E-14</v>
      </c>
      <c r="GW83" s="13">
        <f t="shared" si="105"/>
        <v>1.0279249680474958E-12</v>
      </c>
      <c r="GX83" s="20">
        <f t="shared" si="82"/>
        <v>1.9036642323616162E-12</v>
      </c>
      <c r="GY83" s="59">
        <f t="shared" si="83"/>
        <v>287.004011258834</v>
      </c>
      <c r="GZ83" s="59">
        <f ca="1">AVERAGE(OFFSET($GY$3,0,0,'Données projet'!$E$18+1,1))-AVERAGE(OFFSET($H$3,0,0,'Données projet'!$E$18+1,1))</f>
        <v>249.88816678272056</v>
      </c>
      <c r="HA83" s="59">
        <f t="shared" si="106"/>
        <v>432.10802787437319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30.85373199300313</v>
      </c>
      <c r="HH83" s="21">
        <f>EXP(-LN(2)/25)*HH82+(1-EXP(-LN(2)/25))/(LN(2)/25)*Calculateur!HC83*Calculateur!HE83*VLOOKUP('Données projet'!$B$18,Paramètres!$A$1:$I$89,3,0)*0.475*44/12</f>
        <v>5.3785315060273131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36.232263499030445</v>
      </c>
    </row>
    <row r="84" spans="1:218" x14ac:dyDescent="0.3">
      <c r="A84" s="10">
        <f t="shared" si="85"/>
        <v>81</v>
      </c>
      <c r="B84" s="71">
        <f>'Scénario référence'!$B$16*5+'Scénario référence'!$B$17*0+'Scénario référence'!$B$18*5</f>
        <v>1.4000000000000001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5.1333333333333337</v>
      </c>
      <c r="H84" s="65">
        <f t="shared" si="56"/>
        <v>236.13333333333335</v>
      </c>
      <c r="I84" s="6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319</v>
      </c>
      <c r="O84" s="13">
        <f>N84*VLOOKUP('Données projet'!$B$9,Paramètres!$A$1:$I$89,3,0)*VLOOKUP('Données projet'!$B$9,Paramètres!$A$1:$I$89,5,0)</f>
        <v>253.79640000000001</v>
      </c>
      <c r="P84" s="13">
        <f t="shared" si="87"/>
        <v>61.39816832228076</v>
      </c>
      <c r="Q84" s="20">
        <f t="shared" si="54"/>
        <v>548.96387316130563</v>
      </c>
      <c r="R84" s="59">
        <f t="shared" si="55"/>
        <v>836.07768400788609</v>
      </c>
      <c r="S84" s="59">
        <f ca="1">AVERAGE(OFFSET($R$3,0,0,'Données projet'!$E$9+1,1))-AVERAGE(OFFSET($H$3,0,0,'Données projet'!$E$9+1,1))</f>
        <v>360.06385535620069</v>
      </c>
      <c r="T84" s="59">
        <f t="shared" si="88"/>
        <v>350.82516032456408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52.125640934024624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52.125640934024624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270.35424</v>
      </c>
      <c r="AK84" s="13">
        <f t="shared" si="89"/>
        <v>64.924442218534367</v>
      </c>
      <c r="AL84" s="20">
        <f t="shared" si="58"/>
        <v>583.94370486394735</v>
      </c>
      <c r="AM84" s="59">
        <f t="shared" si="59"/>
        <v>871.0575157105277</v>
      </c>
      <c r="AN84" s="59">
        <f ca="1">AVERAGE(OFFSET($AM$3,0,0,'Données projet'!$E$10+1,1))-AVERAGE(OFFSET($H$3,0,0,'Données projet'!$E$10+1,1))</f>
        <v>448.65237942538027</v>
      </c>
      <c r="AO84" s="59">
        <f t="shared" si="90"/>
        <v>283.56749129825107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78.709817685398804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78.709817685398804</v>
      </c>
      <c r="AY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8.4</v>
      </c>
      <c r="BD84" s="12">
        <f>IF('Données projet'!$A$88&gt;35,BD83+BC84-BL83,IF(A84&lt;'Données projet'!$A$88,$BA$205^A84,IF(A84='Données projet'!$A$88,'Données projet'!$B$88,BD83+BC84-BL83)))</f>
        <v>331.39999999999986</v>
      </c>
      <c r="BE84" s="13">
        <f>BD84*VLOOKUP('Données projet'!$B$11,Paramètres!$A$1:$I$89,3,0)*VLOOKUP('Données projet'!$B$11,Paramètres!$A$1:$I$89,5,0)</f>
        <v>284.34119999999996</v>
      </c>
      <c r="BF84" s="13">
        <f t="shared" si="91"/>
        <v>67.883606139618351</v>
      </c>
      <c r="BG84" s="20">
        <f t="shared" si="61"/>
        <v>613.4582040265019</v>
      </c>
      <c r="BH84" s="59">
        <f t="shared" si="62"/>
        <v>900.57201487308225</v>
      </c>
      <c r="BI84" s="59">
        <f ca="1">AVERAGE(OFFSET($BH$3,0,0,'Données projet'!$E$11+1,1))-AVERAGE(OFFSET($H$3,0,0,'Données projet'!$E$11+1,1))</f>
        <v>456.76871853389395</v>
      </c>
      <c r="BJ84" s="59">
        <f t="shared" si="92"/>
        <v>262.12425810289176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91.996438874473796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91.996438874473796</v>
      </c>
      <c r="BT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255.00000000000006</v>
      </c>
      <c r="BZ84" s="13">
        <f>BY84*VLOOKUP('Données projet'!$B$12,Paramètres!$A$1:$I$89,3,0)*VLOOKUP('Données projet'!$B$12,Paramètres!$A$1:$I$89,5,0)</f>
        <v>186.96600000000004</v>
      </c>
      <c r="CA84" s="13">
        <f t="shared" si="93"/>
        <v>46.868551400324648</v>
      </c>
      <c r="CB84" s="20">
        <f t="shared" si="64"/>
        <v>407.26184368889881</v>
      </c>
      <c r="CC84" s="59">
        <f t="shared" si="65"/>
        <v>694.37565453547927</v>
      </c>
      <c r="CD84" s="59">
        <f ca="1">AVERAGE(OFFSET($CC$3,0,0,'Données projet'!$E$12+1,1))-AVERAGE(OFFSET($H$3,0,0,'Données projet'!$E$12+1,1))</f>
        <v>242.65851607945316</v>
      </c>
      <c r="CE84" s="59">
        <f t="shared" si="94"/>
        <v>218.9349999985487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249.0000000000002</v>
      </c>
      <c r="CU84" s="17">
        <f>CT84*VLOOKUP('Données projet'!$B$13,Paramètres!$A$1:$I$89,3,0)*VLOOKUP('Données projet'!$B$13,Paramètres!$A$1:$I$89,5,0)</f>
        <v>217.52640000000019</v>
      </c>
      <c r="CV84" s="13">
        <f t="shared" si="95"/>
        <v>53.576907690651304</v>
      </c>
      <c r="CW84" s="20">
        <f t="shared" si="67"/>
        <v>472.17159422788467</v>
      </c>
      <c r="CX84" s="59">
        <f t="shared" si="68"/>
        <v>759.28540507446507</v>
      </c>
      <c r="CY84" s="59">
        <f ca="1">AVERAGE(OFFSET($CX$3,0,0,'Données projet'!$E$13+1,1))-AVERAGE(OFFSET($H$3,0,0,'Données projet'!$E$13+1,1))</f>
        <v>326.9460696675867</v>
      </c>
      <c r="CZ84" s="59">
        <f t="shared" si="96"/>
        <v>393.4020374592568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50.225928912261899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50.225928912261899</v>
      </c>
      <c r="DJ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349.00000000000017</v>
      </c>
      <c r="DP84" s="17">
        <f>DO84*VLOOKUP('Données projet'!$B$14,Paramètres!$A$1:$I$89,3,0)*VLOOKUP('Données projet'!$B$14,Paramètres!$A$1:$I$89,5,0)</f>
        <v>272.22000000000014</v>
      </c>
      <c r="DQ84" s="13">
        <f t="shared" si="97"/>
        <v>65.320184547527205</v>
      </c>
      <c r="DR84" s="20">
        <f t="shared" si="70"/>
        <v>587.88248808694345</v>
      </c>
      <c r="DS84" s="59">
        <f t="shared" si="71"/>
        <v>874.9962989335238</v>
      </c>
      <c r="DT84" s="59">
        <f ca="1">AVERAGE(OFFSET($DS$3,0,0,'Données projet'!$E$14+1,1))-AVERAGE(OFFSET($H$3,0,0,'Données projet'!$E$14+1,1))</f>
        <v>364.34528546733799</v>
      </c>
      <c r="DU84" s="59">
        <f t="shared" si="98"/>
        <v>346.5839763411152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69.705167709215019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69.705167709215019</v>
      </c>
      <c r="EE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213.98519999999999</v>
      </c>
      <c r="EL84" s="13">
        <f t="shared" si="99"/>
        <v>52.805497044008654</v>
      </c>
      <c r="EM84" s="20">
        <f t="shared" si="73"/>
        <v>464.66046401831505</v>
      </c>
      <c r="EN84" s="59">
        <f t="shared" si="74"/>
        <v>751.77427486489546</v>
      </c>
      <c r="EO84" s="59">
        <f ca="1">AVERAGE(OFFSET($EN$3,0,0,'Données projet'!$E$15+1,1))-AVERAGE(OFFSET($H$3,0,0,'Données projet'!$E$15+1,1))</f>
        <v>310.38232870602445</v>
      </c>
      <c r="EP84" s="59">
        <f t="shared" si="100"/>
        <v>303.45934457265537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43.949069807118796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43.949069807118796</v>
      </c>
      <c r="EZ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5.4</v>
      </c>
      <c r="FE84" s="12">
        <f>IF('Données projet'!$A$218&gt;35,FE83+FD84-FM83,IF(A84&lt;'Données projet'!$A$218,$FB$205^A84,IF(A84='Données projet'!$A$218,'Données projet'!$B$218,FE83+FD84-FM83)))</f>
        <v>244.39999999999998</v>
      </c>
      <c r="FF84" s="17">
        <f>FE84*VLOOKUP('Données projet'!$B$16,Paramètres!$A$1:$I$89,3,0)*VLOOKUP('Données projet'!$B$16,Paramètres!$A$1:$I$89,5,0)</f>
        <v>232.57103999999998</v>
      </c>
      <c r="FG84" s="13">
        <f t="shared" si="101"/>
        <v>56.838240313256655</v>
      </c>
      <c r="FH84" s="20">
        <f t="shared" si="76"/>
        <v>504.05449654558862</v>
      </c>
      <c r="FI84" s="59">
        <f t="shared" si="77"/>
        <v>791.16830739216903</v>
      </c>
      <c r="FJ84" s="59">
        <f ca="1">AVERAGE(OFFSET($FI$3,0,0,'Données projet'!$E$16+1,1))-AVERAGE(OFFSET($H$3,0,0,'Données projet'!$E$16+1,1))</f>
        <v>457.706832425622</v>
      </c>
      <c r="FK84" s="59">
        <f t="shared" si="102"/>
        <v>474.61768219844873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84.177614642673845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84.177614642673845</v>
      </c>
      <c r="FU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319</v>
      </c>
      <c r="GA84" s="17">
        <f>FZ84*VLOOKUP('Données projet'!$B$17,Paramètres!$A$1:$I$89,3,0)*VLOOKUP('Données projet'!$B$17,Paramètres!$A$1:$I$89,5,0)</f>
        <v>308.53680000000003</v>
      </c>
      <c r="GB84" s="13">
        <f t="shared" si="103"/>
        <v>72.963171684496103</v>
      </c>
      <c r="GC84" s="20">
        <f t="shared" si="79"/>
        <v>664.4457840171641</v>
      </c>
      <c r="GD84" s="59">
        <f t="shared" si="80"/>
        <v>951.55959486374445</v>
      </c>
      <c r="GE84" s="59">
        <f ca="1">AVERAGE(OFFSET($GD$3,0,0,'Données projet'!$E$17+1,1))-AVERAGE(OFFSET($H$3,0,0,'Données projet'!$E$17+1,1))</f>
        <v>428.11167311086814</v>
      </c>
      <c r="GF84" s="59">
        <f t="shared" si="104"/>
        <v>415.69449942923609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51.412119397006897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51.412119397006897</v>
      </c>
      <c r="GP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1.1368683772161603E-13</v>
      </c>
      <c r="GV84" s="17">
        <f>GU84*VLOOKUP('Données projet'!$B$18,Paramètres!$A$1:$I$89,3,0)*VLOOKUP('Données projet'!$B$18,Paramètres!$A$1:$I$89,5,0)</f>
        <v>6.5087988332379613E-14</v>
      </c>
      <c r="GW84" s="13">
        <f t="shared" si="105"/>
        <v>1.0279249680474958E-12</v>
      </c>
      <c r="GX84" s="20">
        <f t="shared" si="82"/>
        <v>1.9036642323616162E-12</v>
      </c>
      <c r="GY84" s="59">
        <f t="shared" si="83"/>
        <v>287.11381084658228</v>
      </c>
      <c r="GZ84" s="59">
        <f ca="1">AVERAGE(OFFSET($GY$3,0,0,'Données projet'!$E$18+1,1))-AVERAGE(OFFSET($H$3,0,0,'Données projet'!$E$18+1,1))</f>
        <v>249.88816678272056</v>
      </c>
      <c r="HA84" s="59">
        <f t="shared" si="106"/>
        <v>432.10802787437319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30.248709127538639</v>
      </c>
      <c r="HH84" s="21">
        <f>EXP(-LN(2)/25)*HH83+(1-EXP(-LN(2)/25))/(LN(2)/25)*Calculateur!HC84*Calculateur!HE84*VLOOKUP('Données projet'!$B$18,Paramètres!$A$1:$I$89,3,0)*0.475*44/12</f>
        <v>5.2314552791503175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35.480164406688957</v>
      </c>
    </row>
    <row r="85" spans="1:218" x14ac:dyDescent="0.3">
      <c r="A85" s="10">
        <f t="shared" si="85"/>
        <v>82</v>
      </c>
      <c r="B85" s="71">
        <f>'Scénario référence'!$B$16*5+'Scénario référence'!$B$17*0+'Scénario référence'!$B$18*5</f>
        <v>1.4000000000000001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5.1333333333333337</v>
      </c>
      <c r="H85" s="65">
        <f t="shared" si="56"/>
        <v>236.13333333333335</v>
      </c>
      <c r="I85" s="6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319</v>
      </c>
      <c r="O85" s="13">
        <f>N85*VLOOKUP('Données projet'!$B$9,Paramètres!$A$1:$I$89,3,0)*VLOOKUP('Données projet'!$B$9,Paramètres!$A$1:$I$89,5,0)</f>
        <v>253.79640000000001</v>
      </c>
      <c r="P85" s="13">
        <f t="shared" si="87"/>
        <v>61.39816832228076</v>
      </c>
      <c r="Q85" s="20">
        <f t="shared" si="54"/>
        <v>548.96387316130563</v>
      </c>
      <c r="R85" s="59">
        <f t="shared" si="55"/>
        <v>836.185578818262</v>
      </c>
      <c r="S85" s="59">
        <f ca="1">AVERAGE(OFFSET($R$3,0,0,'Données projet'!$E$9+1,1))-AVERAGE(OFFSET($H$3,0,0,'Données projet'!$E$9+1,1))</f>
        <v>360.06385535620069</v>
      </c>
      <c r="T85" s="59">
        <f t="shared" si="88"/>
        <v>350.82516032456408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51.103488908810021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51.103488908810021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276.50687999999997</v>
      </c>
      <c r="AK85" s="13">
        <f t="shared" si="89"/>
        <v>66.228273722513677</v>
      </c>
      <c r="AL85" s="20">
        <f t="shared" si="58"/>
        <v>596.93039273337797</v>
      </c>
      <c r="AM85" s="59">
        <f t="shared" si="59"/>
        <v>884.15209839033434</v>
      </c>
      <c r="AN85" s="59">
        <f ca="1">AVERAGE(OFFSET($AM$3,0,0,'Données projet'!$E$10+1,1))-AVERAGE(OFFSET($H$3,0,0,'Données projet'!$E$10+1,1))</f>
        <v>448.65237942538027</v>
      </c>
      <c r="AO85" s="59">
        <f t="shared" si="90"/>
        <v>283.56749129825107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77.166366168836504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77.166366168836504</v>
      </c>
      <c r="AY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8.4</v>
      </c>
      <c r="BD85" s="12">
        <f>IF('Données projet'!$A$88&gt;35,BD84+BC85-BL84,IF(A85&lt;'Données projet'!$A$88,$BA$205^A85,IF(A85='Données projet'!$A$88,'Données projet'!$B$88,BD84+BC85-BL84)))</f>
        <v>339.79999999999984</v>
      </c>
      <c r="BE85" s="13">
        <f>BD85*VLOOKUP('Données projet'!$B$11,Paramètres!$A$1:$I$89,3,0)*VLOOKUP('Données projet'!$B$11,Paramètres!$A$1:$I$89,5,0)</f>
        <v>291.5483999999999</v>
      </c>
      <c r="BF85" s="13">
        <f t="shared" si="91"/>
        <v>69.40174753959208</v>
      </c>
      <c r="BG85" s="20">
        <f t="shared" si="61"/>
        <v>628.65484029812262</v>
      </c>
      <c r="BH85" s="59">
        <f t="shared" si="62"/>
        <v>915.876545955079</v>
      </c>
      <c r="BI85" s="59">
        <f ca="1">AVERAGE(OFFSET($BH$3,0,0,'Données projet'!$E$11+1,1))-AVERAGE(OFFSET($H$3,0,0,'Données projet'!$E$11+1,1))</f>
        <v>456.76871853389395</v>
      </c>
      <c r="BJ85" s="59">
        <f t="shared" si="92"/>
        <v>262.12425810289176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90.192444820432456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90.192444820432456</v>
      </c>
      <c r="BT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255.00000000000006</v>
      </c>
      <c r="BZ85" s="13">
        <f>BY85*VLOOKUP('Données projet'!$B$12,Paramètres!$A$1:$I$89,3,0)*VLOOKUP('Données projet'!$B$12,Paramètres!$A$1:$I$89,5,0)</f>
        <v>186.96600000000004</v>
      </c>
      <c r="CA85" s="13">
        <f t="shared" si="93"/>
        <v>46.868551400324648</v>
      </c>
      <c r="CB85" s="20">
        <f t="shared" si="64"/>
        <v>407.26184368889881</v>
      </c>
      <c r="CC85" s="59">
        <f t="shared" si="65"/>
        <v>694.48354934585518</v>
      </c>
      <c r="CD85" s="59">
        <f ca="1">AVERAGE(OFFSET($CC$3,0,0,'Données projet'!$E$12+1,1))-AVERAGE(OFFSET($H$3,0,0,'Données projet'!$E$12+1,1))</f>
        <v>242.65851607945316</v>
      </c>
      <c r="CE85" s="59">
        <f t="shared" si="94"/>
        <v>218.9349999985487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249.0000000000002</v>
      </c>
      <c r="CU85" s="17">
        <f>CT85*VLOOKUP('Données projet'!$B$13,Paramètres!$A$1:$I$89,3,0)*VLOOKUP('Données projet'!$B$13,Paramètres!$A$1:$I$89,5,0)</f>
        <v>217.52640000000019</v>
      </c>
      <c r="CV85" s="13">
        <f t="shared" si="95"/>
        <v>53.576907690651304</v>
      </c>
      <c r="CW85" s="20">
        <f t="shared" si="67"/>
        <v>472.17159422788467</v>
      </c>
      <c r="CX85" s="59">
        <f t="shared" si="68"/>
        <v>759.3932998848411</v>
      </c>
      <c r="CY85" s="59">
        <f ca="1">AVERAGE(OFFSET($CX$3,0,0,'Données projet'!$E$13+1,1))-AVERAGE(OFFSET($H$3,0,0,'Données projet'!$E$13+1,1))</f>
        <v>326.9460696675867</v>
      </c>
      <c r="CZ85" s="59">
        <f t="shared" si="96"/>
        <v>393.4020374592568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49.241029081084143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49.241029081084143</v>
      </c>
      <c r="DJ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349.00000000000017</v>
      </c>
      <c r="DP85" s="17">
        <f>DO85*VLOOKUP('Données projet'!$B$14,Paramètres!$A$1:$I$89,3,0)*VLOOKUP('Données projet'!$B$14,Paramètres!$A$1:$I$89,5,0)</f>
        <v>272.22000000000014</v>
      </c>
      <c r="DQ85" s="13">
        <f t="shared" si="97"/>
        <v>65.320184547527205</v>
      </c>
      <c r="DR85" s="20">
        <f t="shared" si="70"/>
        <v>587.88248808694345</v>
      </c>
      <c r="DS85" s="59">
        <f t="shared" si="71"/>
        <v>875.10419374389983</v>
      </c>
      <c r="DT85" s="59">
        <f ca="1">AVERAGE(OFFSET($DS$3,0,0,'Données projet'!$E$14+1,1))-AVERAGE(OFFSET($H$3,0,0,'Données projet'!$E$14+1,1))</f>
        <v>364.34528546733799</v>
      </c>
      <c r="DU85" s="59">
        <f t="shared" si="98"/>
        <v>346.5839763411152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68.338291886391517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68.338291886391517</v>
      </c>
      <c r="EE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213.98519999999999</v>
      </c>
      <c r="EL85" s="13">
        <f t="shared" si="99"/>
        <v>52.805497044008654</v>
      </c>
      <c r="EM85" s="20">
        <f t="shared" si="73"/>
        <v>464.66046401831505</v>
      </c>
      <c r="EN85" s="59">
        <f t="shared" si="74"/>
        <v>751.88216967527137</v>
      </c>
      <c r="EO85" s="59">
        <f ca="1">AVERAGE(OFFSET($EN$3,0,0,'Données projet'!$E$15+1,1))-AVERAGE(OFFSET($H$3,0,0,'Données projet'!$E$15+1,1))</f>
        <v>310.38232870602445</v>
      </c>
      <c r="EP85" s="59">
        <f t="shared" si="100"/>
        <v>303.45934457265537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43.087255354486878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43.087255354486878</v>
      </c>
      <c r="EZ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5.4</v>
      </c>
      <c r="FE85" s="12">
        <f>IF('Données projet'!$A$218&gt;35,FE84+FD85-FM84,IF(A85&lt;'Données projet'!$A$218,$FB$205^A85,IF(A85='Données projet'!$A$218,'Données projet'!$B$218,FE84+FD85-FM84)))</f>
        <v>249.79999999999998</v>
      </c>
      <c r="FF85" s="17">
        <f>FE85*VLOOKUP('Données projet'!$B$16,Paramètres!$A$1:$I$89,3,0)*VLOOKUP('Données projet'!$B$16,Paramètres!$A$1:$I$89,5,0)</f>
        <v>237.70967999999999</v>
      </c>
      <c r="FG85" s="13">
        <f t="shared" si="101"/>
        <v>57.946482312606733</v>
      </c>
      <c r="FH85" s="20">
        <f t="shared" si="76"/>
        <v>514.93448269445673</v>
      </c>
      <c r="FI85" s="59">
        <f t="shared" si="77"/>
        <v>802.15618835141311</v>
      </c>
      <c r="FJ85" s="59">
        <f ca="1">AVERAGE(OFFSET($FI$3,0,0,'Données projet'!$E$16+1,1))-AVERAGE(OFFSET($H$3,0,0,'Données projet'!$E$16+1,1))</f>
        <v>457.706832425622</v>
      </c>
      <c r="FK85" s="59">
        <f t="shared" si="102"/>
        <v>474.61768219844873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82.526942962806217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82.526942962806217</v>
      </c>
      <c r="FU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319</v>
      </c>
      <c r="GA85" s="17">
        <f>FZ85*VLOOKUP('Données projet'!$B$17,Paramètres!$A$1:$I$89,3,0)*VLOOKUP('Données projet'!$B$17,Paramètres!$A$1:$I$89,5,0)</f>
        <v>308.53680000000003</v>
      </c>
      <c r="GB85" s="13">
        <f t="shared" si="103"/>
        <v>72.963171684496103</v>
      </c>
      <c r="GC85" s="20">
        <f t="shared" si="79"/>
        <v>664.4457840171641</v>
      </c>
      <c r="GD85" s="59">
        <f t="shared" si="80"/>
        <v>951.66748967412047</v>
      </c>
      <c r="GE85" s="59">
        <f ca="1">AVERAGE(OFFSET($GD$3,0,0,'Données projet'!$E$17+1,1))-AVERAGE(OFFSET($H$3,0,0,'Données projet'!$E$17+1,1))</f>
        <v>428.11167311086814</v>
      </c>
      <c r="GF85" s="59">
        <f t="shared" si="104"/>
        <v>415.69449942923609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50.403959093928052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50.403959093928052</v>
      </c>
      <c r="GP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1.1368683772161603E-13</v>
      </c>
      <c r="GV85" s="17">
        <f>GU85*VLOOKUP('Données projet'!$B$18,Paramètres!$A$1:$I$89,3,0)*VLOOKUP('Données projet'!$B$18,Paramètres!$A$1:$I$89,5,0)</f>
        <v>6.5087988332379613E-14</v>
      </c>
      <c r="GW85" s="13">
        <f t="shared" si="105"/>
        <v>1.0279249680474958E-12</v>
      </c>
      <c r="GX85" s="20">
        <f t="shared" si="82"/>
        <v>1.9036642323616162E-12</v>
      </c>
      <c r="GY85" s="59">
        <f t="shared" si="83"/>
        <v>287.22170565695825</v>
      </c>
      <c r="GZ85" s="59">
        <f ca="1">AVERAGE(OFFSET($GY$3,0,0,'Données projet'!$E$18+1,1))-AVERAGE(OFFSET($H$3,0,0,'Données projet'!$E$18+1,1))</f>
        <v>249.88816678272056</v>
      </c>
      <c r="HA85" s="59">
        <f t="shared" si="106"/>
        <v>432.10802787437319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29.6555503914384</v>
      </c>
      <c r="HH85" s="21">
        <f>EXP(-LN(2)/25)*HH84+(1-EXP(-LN(2)/25))/(LN(2)/25)*Calculateur!HC85*Calculateur!HE85*VLOOKUP('Données projet'!$B$18,Paramètres!$A$1:$I$89,3,0)*0.475*44/12</f>
        <v>5.0884008594316752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34.743951250870076</v>
      </c>
    </row>
    <row r="86" spans="1:218" x14ac:dyDescent="0.3">
      <c r="A86" s="10">
        <f t="shared" si="85"/>
        <v>83</v>
      </c>
      <c r="B86" s="71">
        <f>'Scénario référence'!$B$16*5+'Scénario référence'!$B$17*0+'Scénario référence'!$B$18*5</f>
        <v>1.4000000000000001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5.1333333333333337</v>
      </c>
      <c r="H86" s="65">
        <f t="shared" si="56"/>
        <v>236.13333333333335</v>
      </c>
      <c r="I86" s="6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319</v>
      </c>
      <c r="O86" s="13">
        <f>N86*VLOOKUP('Données projet'!$B$9,Paramètres!$A$1:$I$89,3,0)*VLOOKUP('Données projet'!$B$9,Paramètres!$A$1:$I$89,5,0)</f>
        <v>253.79640000000001</v>
      </c>
      <c r="P86" s="13">
        <f t="shared" si="87"/>
        <v>61.39816832228076</v>
      </c>
      <c r="Q86" s="20">
        <f t="shared" si="54"/>
        <v>548.96387316130563</v>
      </c>
      <c r="R86" s="59">
        <f t="shared" si="55"/>
        <v>836.2916018948946</v>
      </c>
      <c r="S86" s="59">
        <f ca="1">AVERAGE(OFFSET($R$3,0,0,'Données projet'!$E$9+1,1))-AVERAGE(OFFSET($H$3,0,0,'Données projet'!$E$9+1,1))</f>
        <v>360.06385535620069</v>
      </c>
      <c r="T86" s="59">
        <f t="shared" si="88"/>
        <v>350.82516032456408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50.101380661358704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50.101380661358704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282.65952000000004</v>
      </c>
      <c r="AK86" s="13">
        <f t="shared" si="89"/>
        <v>67.528732309967324</v>
      </c>
      <c r="AL86" s="20">
        <f t="shared" si="58"/>
        <v>609.91120610652649</v>
      </c>
      <c r="AM86" s="59">
        <f t="shared" si="59"/>
        <v>897.23893484011546</v>
      </c>
      <c r="AN86" s="59">
        <f ca="1">AVERAGE(OFFSET($AM$3,0,0,'Données projet'!$E$10+1,1))-AVERAGE(OFFSET($H$3,0,0,'Données projet'!$E$10+1,1))</f>
        <v>448.65237942538027</v>
      </c>
      <c r="AO86" s="59">
        <f t="shared" si="90"/>
        <v>283.56749129825107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75.65318079510152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75.65318079510152</v>
      </c>
      <c r="AY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8.4</v>
      </c>
      <c r="BD86" s="12">
        <f>IF('Données projet'!$A$88&gt;35,BD85+BC86-BL85,IF(A86&lt;'Données projet'!$A$88,$BA$205^A86,IF(A86='Données projet'!$A$88,'Données projet'!$B$88,BD85+BC86-BL85)))</f>
        <v>348.19999999999982</v>
      </c>
      <c r="BE86" s="13">
        <f>BD86*VLOOKUP('Données projet'!$B$11,Paramètres!$A$1:$I$89,3,0)*VLOOKUP('Données projet'!$B$11,Paramètres!$A$1:$I$89,5,0)</f>
        <v>298.75559999999984</v>
      </c>
      <c r="BF86" s="13">
        <f t="shared" si="91"/>
        <v>70.915526361788181</v>
      </c>
      <c r="BG86" s="20">
        <f t="shared" si="61"/>
        <v>643.84387841344744</v>
      </c>
      <c r="BH86" s="59">
        <f t="shared" si="62"/>
        <v>931.17160714703641</v>
      </c>
      <c r="BI86" s="59">
        <f ca="1">AVERAGE(OFFSET($BH$3,0,0,'Données projet'!$E$11+1,1))-AVERAGE(OFFSET($H$3,0,0,'Données projet'!$E$11+1,1))</f>
        <v>456.76871853389395</v>
      </c>
      <c r="BJ86" s="59">
        <f t="shared" si="92"/>
        <v>262.12425810289176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88.42382598946314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88.42382598946314</v>
      </c>
      <c r="BT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255.00000000000006</v>
      </c>
      <c r="BZ86" s="13">
        <f>BY86*VLOOKUP('Données projet'!$B$12,Paramètres!$A$1:$I$89,3,0)*VLOOKUP('Données projet'!$B$12,Paramètres!$A$1:$I$89,5,0)</f>
        <v>186.96600000000004</v>
      </c>
      <c r="CA86" s="13">
        <f t="shared" si="93"/>
        <v>46.868551400324648</v>
      </c>
      <c r="CB86" s="20">
        <f t="shared" si="64"/>
        <v>407.26184368889881</v>
      </c>
      <c r="CC86" s="59">
        <f t="shared" si="65"/>
        <v>694.58957242248778</v>
      </c>
      <c r="CD86" s="59">
        <f ca="1">AVERAGE(OFFSET($CC$3,0,0,'Données projet'!$E$12+1,1))-AVERAGE(OFFSET($H$3,0,0,'Données projet'!$E$12+1,1))</f>
        <v>242.65851607945316</v>
      </c>
      <c r="CE86" s="59">
        <f t="shared" si="94"/>
        <v>218.9349999985487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249.0000000000002</v>
      </c>
      <c r="CU86" s="17">
        <f>CT86*VLOOKUP('Données projet'!$B$13,Paramètres!$A$1:$I$89,3,0)*VLOOKUP('Données projet'!$B$13,Paramètres!$A$1:$I$89,5,0)</f>
        <v>217.52640000000019</v>
      </c>
      <c r="CV86" s="13">
        <f t="shared" si="95"/>
        <v>53.576907690651304</v>
      </c>
      <c r="CW86" s="20">
        <f t="shared" si="67"/>
        <v>472.17159422788467</v>
      </c>
      <c r="CX86" s="59">
        <f t="shared" si="68"/>
        <v>759.49932296147358</v>
      </c>
      <c r="CY86" s="59">
        <f ca="1">AVERAGE(OFFSET($CX$3,0,0,'Données projet'!$E$13+1,1))-AVERAGE(OFFSET($H$3,0,0,'Données projet'!$E$13+1,1))</f>
        <v>326.9460696675867</v>
      </c>
      <c r="CZ86" s="59">
        <f t="shared" si="96"/>
        <v>393.4020374592568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48.275442534866208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48.275442534866208</v>
      </c>
      <c r="DJ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349.00000000000017</v>
      </c>
      <c r="DP86" s="17">
        <f>DO86*VLOOKUP('Données projet'!$B$14,Paramètres!$A$1:$I$89,3,0)*VLOOKUP('Données projet'!$B$14,Paramètres!$A$1:$I$89,5,0)</f>
        <v>272.22000000000014</v>
      </c>
      <c r="DQ86" s="13">
        <f t="shared" si="97"/>
        <v>65.320184547527205</v>
      </c>
      <c r="DR86" s="20">
        <f t="shared" si="70"/>
        <v>587.88248808694345</v>
      </c>
      <c r="DS86" s="59">
        <f t="shared" si="71"/>
        <v>875.21021682053242</v>
      </c>
      <c r="DT86" s="59">
        <f ca="1">AVERAGE(OFFSET($DS$3,0,0,'Données projet'!$E$14+1,1))-AVERAGE(OFFSET($H$3,0,0,'Données projet'!$E$14+1,1))</f>
        <v>364.34528546733799</v>
      </c>
      <c r="DU86" s="59">
        <f t="shared" si="98"/>
        <v>346.5839763411152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66.998219664741654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66.998219664741654</v>
      </c>
      <c r="EE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213.98519999999999</v>
      </c>
      <c r="EL86" s="13">
        <f t="shared" si="99"/>
        <v>52.805497044008654</v>
      </c>
      <c r="EM86" s="20">
        <f t="shared" si="73"/>
        <v>464.66046401831505</v>
      </c>
      <c r="EN86" s="59">
        <f t="shared" si="74"/>
        <v>751.98819275190408</v>
      </c>
      <c r="EO86" s="59">
        <f ca="1">AVERAGE(OFFSET($EN$3,0,0,'Données projet'!$E$15+1,1))-AVERAGE(OFFSET($H$3,0,0,'Données projet'!$E$15+1,1))</f>
        <v>310.38232870602445</v>
      </c>
      <c r="EP86" s="59">
        <f t="shared" si="100"/>
        <v>303.45934457265537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42.24234055761616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42.24234055761616</v>
      </c>
      <c r="EZ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5.4</v>
      </c>
      <c r="FE86" s="12">
        <f>IF('Données projet'!$A$218&gt;35,FE85+FD86-FM85,IF(A86&lt;'Données projet'!$A$218,$FB$205^A86,IF(A86='Données projet'!$A$218,'Données projet'!$B$218,FE85+FD86-FM85)))</f>
        <v>255.2</v>
      </c>
      <c r="FF86" s="17">
        <f>FE86*VLOOKUP('Données projet'!$B$16,Paramètres!$A$1:$I$89,3,0)*VLOOKUP('Données projet'!$B$16,Paramètres!$A$1:$I$89,5,0)</f>
        <v>242.84832</v>
      </c>
      <c r="FG86" s="13">
        <f t="shared" si="101"/>
        <v>59.051938970892948</v>
      </c>
      <c r="FH86" s="20">
        <f t="shared" si="76"/>
        <v>525.80961770763849</v>
      </c>
      <c r="FI86" s="59">
        <f t="shared" si="77"/>
        <v>813.13734644122746</v>
      </c>
      <c r="FJ86" s="59">
        <f ca="1">AVERAGE(OFFSET($FI$3,0,0,'Données projet'!$E$16+1,1))-AVERAGE(OFFSET($H$3,0,0,'Données projet'!$E$16+1,1))</f>
        <v>457.706832425622</v>
      </c>
      <c r="FK86" s="59">
        <f t="shared" si="102"/>
        <v>474.61768219844873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80.908639947770482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80.908639947770482</v>
      </c>
      <c r="FU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319</v>
      </c>
      <c r="GA86" s="17">
        <f>FZ86*VLOOKUP('Données projet'!$B$17,Paramètres!$A$1:$I$89,3,0)*VLOOKUP('Données projet'!$B$17,Paramètres!$A$1:$I$89,5,0)</f>
        <v>308.53680000000003</v>
      </c>
      <c r="GB86" s="13">
        <f t="shared" si="103"/>
        <v>72.963171684496103</v>
      </c>
      <c r="GC86" s="20">
        <f t="shared" si="79"/>
        <v>664.4457840171641</v>
      </c>
      <c r="GD86" s="59">
        <f t="shared" si="80"/>
        <v>951.77351275075307</v>
      </c>
      <c r="GE86" s="59">
        <f ca="1">AVERAGE(OFFSET($GD$3,0,0,'Données projet'!$E$17+1,1))-AVERAGE(OFFSET($H$3,0,0,'Données projet'!$E$17+1,1))</f>
        <v>428.11167311086814</v>
      </c>
      <c r="GF86" s="59">
        <f t="shared" si="104"/>
        <v>415.69449942923609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49.415568199475516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49.415568199475516</v>
      </c>
      <c r="GP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1.1368683772161603E-13</v>
      </c>
      <c r="GV86" s="17">
        <f>GU86*VLOOKUP('Données projet'!$B$18,Paramètres!$A$1:$I$89,3,0)*VLOOKUP('Données projet'!$B$18,Paramètres!$A$1:$I$89,5,0)</f>
        <v>6.5087988332379613E-14</v>
      </c>
      <c r="GW86" s="13">
        <f t="shared" si="105"/>
        <v>1.0279249680474958E-12</v>
      </c>
      <c r="GX86" s="20">
        <f t="shared" si="82"/>
        <v>1.9036642323616162E-12</v>
      </c>
      <c r="GY86" s="59">
        <f t="shared" si="83"/>
        <v>287.32772873359085</v>
      </c>
      <c r="GZ86" s="59">
        <f ca="1">AVERAGE(OFFSET($GY$3,0,0,'Données projet'!$E$18+1,1))-AVERAGE(OFFSET($H$3,0,0,'Données projet'!$E$18+1,1))</f>
        <v>249.88816678272056</v>
      </c>
      <c r="HA86" s="59">
        <f t="shared" si="106"/>
        <v>432.10802787437319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29.07402313636198</v>
      </c>
      <c r="HH86" s="21">
        <f>EXP(-LN(2)/25)*HH85+(1-EXP(-LN(2)/25))/(LN(2)/25)*Calculateur!HC86*Calculateur!HE86*VLOOKUP('Données projet'!$B$18,Paramètres!$A$1:$I$89,3,0)*0.475*44/12</f>
        <v>4.9492582703431447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34.023281406705124</v>
      </c>
    </row>
    <row r="87" spans="1:218" x14ac:dyDescent="0.3">
      <c r="A87" s="10">
        <f t="shared" si="85"/>
        <v>84</v>
      </c>
      <c r="B87" s="71">
        <f>'Scénario référence'!$B$16*5+'Scénario référence'!$B$17*0+'Scénario référence'!$B$18*5</f>
        <v>1.4000000000000001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5.1333333333333337</v>
      </c>
      <c r="H87" s="65">
        <f t="shared" si="56"/>
        <v>236.13333333333335</v>
      </c>
      <c r="I87" s="6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319</v>
      </c>
      <c r="O87" s="13">
        <f>N87*VLOOKUP('Données projet'!$B$9,Paramètres!$A$1:$I$89,3,0)*VLOOKUP('Données projet'!$B$9,Paramètres!$A$1:$I$89,5,0)</f>
        <v>253.79640000000001</v>
      </c>
      <c r="P87" s="13">
        <f t="shared" si="87"/>
        <v>61.39816832228076</v>
      </c>
      <c r="Q87" s="20">
        <f t="shared" si="54"/>
        <v>548.96387316130563</v>
      </c>
      <c r="R87" s="59">
        <f t="shared" si="55"/>
        <v>836.3957857081798</v>
      </c>
      <c r="S87" s="59">
        <f ca="1">AVERAGE(OFFSET($R$3,0,0,'Données projet'!$E$9+1,1))-AVERAGE(OFFSET($H$3,0,0,'Données projet'!$E$9+1,1))</f>
        <v>360.06385535620069</v>
      </c>
      <c r="T87" s="59">
        <f t="shared" si="88"/>
        <v>350.82516032456408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49.118923145414229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49.118923145414229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288.81216000000006</v>
      </c>
      <c r="AK87" s="13">
        <f t="shared" si="89"/>
        <v>68.825899854238159</v>
      </c>
      <c r="AL87" s="20">
        <f t="shared" si="58"/>
        <v>622.88628757946492</v>
      </c>
      <c r="AM87" s="59">
        <f t="shared" si="59"/>
        <v>910.31820012633898</v>
      </c>
      <c r="AN87" s="59">
        <f ca="1">AVERAGE(OFFSET($AM$3,0,0,'Données projet'!$E$10+1,1))-AVERAGE(OFFSET($H$3,0,0,'Données projet'!$E$10+1,1))</f>
        <v>448.65237942538027</v>
      </c>
      <c r="AO87" s="59">
        <f t="shared" si="90"/>
        <v>283.56749129825107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74.169668063593534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74.169668063593534</v>
      </c>
      <c r="AY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8.4</v>
      </c>
      <c r="BD87" s="12">
        <f>IF('Données projet'!$A$88&gt;35,BD86+BC87-BL86,IF(A87&lt;'Données projet'!$A$88,$BA$205^A87,IF(A87='Données projet'!$A$88,'Données projet'!$B$88,BD86+BC87-BL86)))</f>
        <v>356.5999999999998</v>
      </c>
      <c r="BE87" s="13">
        <f>BD87*VLOOKUP('Données projet'!$B$11,Paramètres!$A$1:$I$89,3,0)*VLOOKUP('Données projet'!$B$11,Paramètres!$A$1:$I$89,5,0)</f>
        <v>305.96279999999985</v>
      </c>
      <c r="BF87" s="13">
        <f t="shared" si="91"/>
        <v>72.425059957831166</v>
      </c>
      <c r="BG87" s="20">
        <f t="shared" si="61"/>
        <v>659.02552275988899</v>
      </c>
      <c r="BH87" s="59">
        <f t="shared" si="62"/>
        <v>946.45743530676305</v>
      </c>
      <c r="BI87" s="59">
        <f ca="1">AVERAGE(OFFSET($BH$3,0,0,'Données projet'!$E$11+1,1))-AVERAGE(OFFSET($H$3,0,0,'Données projet'!$E$11+1,1))</f>
        <v>456.76871853389395</v>
      </c>
      <c r="BJ87" s="59">
        <f t="shared" si="92"/>
        <v>262.12425810289176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86.689888695018155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86.689888695018155</v>
      </c>
      <c r="BT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255.00000000000006</v>
      </c>
      <c r="BZ87" s="13">
        <f>BY87*VLOOKUP('Données projet'!$B$12,Paramètres!$A$1:$I$89,3,0)*VLOOKUP('Données projet'!$B$12,Paramètres!$A$1:$I$89,5,0)</f>
        <v>186.96600000000004</v>
      </c>
      <c r="CA87" s="13">
        <f t="shared" si="93"/>
        <v>46.868551400324648</v>
      </c>
      <c r="CB87" s="20">
        <f t="shared" si="64"/>
        <v>407.26184368889881</v>
      </c>
      <c r="CC87" s="59">
        <f t="shared" si="65"/>
        <v>694.69375623577298</v>
      </c>
      <c r="CD87" s="59">
        <f ca="1">AVERAGE(OFFSET($CC$3,0,0,'Données projet'!$E$12+1,1))-AVERAGE(OFFSET($H$3,0,0,'Données projet'!$E$12+1,1))</f>
        <v>242.65851607945316</v>
      </c>
      <c r="CE87" s="59">
        <f t="shared" si="94"/>
        <v>218.9349999985487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249.0000000000002</v>
      </c>
      <c r="CU87" s="17">
        <f>CT87*VLOOKUP('Données projet'!$B$13,Paramètres!$A$1:$I$89,3,0)*VLOOKUP('Données projet'!$B$13,Paramètres!$A$1:$I$89,5,0)</f>
        <v>217.52640000000019</v>
      </c>
      <c r="CV87" s="13">
        <f t="shared" si="95"/>
        <v>53.576907690651304</v>
      </c>
      <c r="CW87" s="20">
        <f t="shared" si="67"/>
        <v>472.17159422788467</v>
      </c>
      <c r="CX87" s="59">
        <f t="shared" si="68"/>
        <v>759.60350677475878</v>
      </c>
      <c r="CY87" s="59">
        <f ca="1">AVERAGE(OFFSET($CX$3,0,0,'Données projet'!$E$13+1,1))-AVERAGE(OFFSET($H$3,0,0,'Données projet'!$E$13+1,1))</f>
        <v>326.9460696675867</v>
      </c>
      <c r="CZ87" s="59">
        <f t="shared" si="96"/>
        <v>393.4020374592568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47.328790551869965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47.328790551869965</v>
      </c>
      <c r="DJ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349.00000000000017</v>
      </c>
      <c r="DP87" s="17">
        <f>DO87*VLOOKUP('Données projet'!$B$14,Paramètres!$A$1:$I$89,3,0)*VLOOKUP('Données projet'!$B$14,Paramètres!$A$1:$I$89,5,0)</f>
        <v>272.22000000000014</v>
      </c>
      <c r="DQ87" s="13">
        <f t="shared" si="97"/>
        <v>65.320184547527205</v>
      </c>
      <c r="DR87" s="20">
        <f t="shared" si="70"/>
        <v>587.88248808694345</v>
      </c>
      <c r="DS87" s="59">
        <f t="shared" si="71"/>
        <v>875.31440063381751</v>
      </c>
      <c r="DT87" s="59">
        <f ca="1">AVERAGE(OFFSET($DS$3,0,0,'Données projet'!$E$14+1,1))-AVERAGE(OFFSET($H$3,0,0,'Données projet'!$E$14+1,1))</f>
        <v>364.34528546733799</v>
      </c>
      <c r="DU87" s="59">
        <f t="shared" si="98"/>
        <v>346.5839763411152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65.684425441994989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65.684425441994989</v>
      </c>
      <c r="EE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213.98519999999999</v>
      </c>
      <c r="EL87" s="13">
        <f t="shared" si="99"/>
        <v>52.805497044008654</v>
      </c>
      <c r="EM87" s="20">
        <f t="shared" si="73"/>
        <v>464.66046401831505</v>
      </c>
      <c r="EN87" s="59">
        <f t="shared" si="74"/>
        <v>752.09237656518917</v>
      </c>
      <c r="EO87" s="59">
        <f ca="1">AVERAGE(OFFSET($EN$3,0,0,'Données projet'!$E$15+1,1))-AVERAGE(OFFSET($H$3,0,0,'Données projet'!$E$15+1,1))</f>
        <v>310.38232870602445</v>
      </c>
      <c r="EP87" s="59">
        <f t="shared" si="100"/>
        <v>303.45934457265537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41.413994024564936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41.413994024564936</v>
      </c>
      <c r="EZ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5.4</v>
      </c>
      <c r="FE87" s="12">
        <f>IF('Données projet'!$A$218&gt;35,FE86+FD87-FM86,IF(A87&lt;'Données projet'!$A$218,$FB$205^A87,IF(A87='Données projet'!$A$218,'Données projet'!$B$218,FE86+FD87-FM86)))</f>
        <v>260.59999999999997</v>
      </c>
      <c r="FF87" s="17">
        <f>FE87*VLOOKUP('Données projet'!$B$16,Paramètres!$A$1:$I$89,3,0)*VLOOKUP('Données projet'!$B$16,Paramètres!$A$1:$I$89,5,0)</f>
        <v>247.98695999999998</v>
      </c>
      <c r="FG87" s="13">
        <f t="shared" si="101"/>
        <v>60.154676014844824</v>
      </c>
      <c r="FH87" s="20">
        <f t="shared" si="76"/>
        <v>536.68001605918801</v>
      </c>
      <c r="FI87" s="59">
        <f t="shared" si="77"/>
        <v>824.11192860606207</v>
      </c>
      <c r="FJ87" s="59">
        <f ca="1">AVERAGE(OFFSET($FI$3,0,0,'Données projet'!$E$16+1,1))-AVERAGE(OFFSET($H$3,0,0,'Données projet'!$E$16+1,1))</f>
        <v>457.706832425622</v>
      </c>
      <c r="FK87" s="59">
        <f t="shared" si="102"/>
        <v>474.61768219844873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79.32207086779222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79.32207086779222</v>
      </c>
      <c r="FU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319</v>
      </c>
      <c r="GA87" s="17">
        <f>FZ87*VLOOKUP('Données projet'!$B$17,Paramètres!$A$1:$I$89,3,0)*VLOOKUP('Données projet'!$B$17,Paramètres!$A$1:$I$89,5,0)</f>
        <v>308.53680000000003</v>
      </c>
      <c r="GB87" s="13">
        <f t="shared" si="103"/>
        <v>72.963171684496103</v>
      </c>
      <c r="GC87" s="20">
        <f t="shared" si="79"/>
        <v>664.4457840171641</v>
      </c>
      <c r="GD87" s="59">
        <f t="shared" si="80"/>
        <v>951.87769656403816</v>
      </c>
      <c r="GE87" s="59">
        <f ca="1">AVERAGE(OFFSET($GD$3,0,0,'Données projet'!$E$17+1,1))-AVERAGE(OFFSET($H$3,0,0,'Données projet'!$E$17+1,1))</f>
        <v>428.11167311086814</v>
      </c>
      <c r="GF87" s="59">
        <f t="shared" si="104"/>
        <v>415.69449942923609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48.446559047604275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48.446559047604275</v>
      </c>
      <c r="GP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1.1368683772161603E-13</v>
      </c>
      <c r="GV87" s="17">
        <f>GU87*VLOOKUP('Données projet'!$B$18,Paramètres!$A$1:$I$89,3,0)*VLOOKUP('Données projet'!$B$18,Paramètres!$A$1:$I$89,5,0)</f>
        <v>6.5087988332379613E-14</v>
      </c>
      <c r="GW87" s="13">
        <f t="shared" si="105"/>
        <v>1.0279249680474958E-12</v>
      </c>
      <c r="GX87" s="20">
        <f t="shared" si="82"/>
        <v>1.9036642323616162E-12</v>
      </c>
      <c r="GY87" s="59">
        <f t="shared" si="83"/>
        <v>287.43191254687599</v>
      </c>
      <c r="GZ87" s="59">
        <f ca="1">AVERAGE(OFFSET($GY$3,0,0,'Données projet'!$E$18+1,1))-AVERAGE(OFFSET($H$3,0,0,'Données projet'!$E$18+1,1))</f>
        <v>249.88816678272056</v>
      </c>
      <c r="HA87" s="59">
        <f t="shared" si="106"/>
        <v>432.10802787437319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28.503899276061006</v>
      </c>
      <c r="HH87" s="21">
        <f>EXP(-LN(2)/25)*HH86+(1-EXP(-LN(2)/25))/(LN(2)/25)*Calculateur!HC87*Calculateur!HE87*VLOOKUP('Données projet'!$B$18,Paramètres!$A$1:$I$89,3,0)*0.475*44/12</f>
        <v>4.8139205426704308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33.317819818731436</v>
      </c>
    </row>
    <row r="88" spans="1:218" x14ac:dyDescent="0.3">
      <c r="A88" s="10">
        <f t="shared" si="85"/>
        <v>85</v>
      </c>
      <c r="B88" s="71">
        <f>'Scénario référence'!$B$16*5+'Scénario référence'!$B$17*0+'Scénario référence'!$B$18*5</f>
        <v>1.4000000000000001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5.1333333333333337</v>
      </c>
      <c r="H88" s="65">
        <f t="shared" si="56"/>
        <v>236.13333333333335</v>
      </c>
      <c r="I88" s="6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319</v>
      </c>
      <c r="O88" s="13">
        <f>N88*VLOOKUP('Données projet'!$B$9,Paramètres!$A$1:$I$89,3,0)*VLOOKUP('Données projet'!$B$9,Paramètres!$A$1:$I$89,5,0)</f>
        <v>253.79640000000001</v>
      </c>
      <c r="P88" s="13">
        <f t="shared" si="87"/>
        <v>61.39816832228076</v>
      </c>
      <c r="Q88" s="20">
        <f t="shared" si="54"/>
        <v>548.96387316130563</v>
      </c>
      <c r="R88" s="59">
        <f t="shared" si="55"/>
        <v>836.49816216522447</v>
      </c>
      <c r="S88" s="59">
        <f ca="1">AVERAGE(OFFSET($R$3,0,0,'Données projet'!$E$9+1,1))-AVERAGE(OFFSET($H$3,0,0,'Données projet'!$E$9+1,1))</f>
        <v>360.06385535620069</v>
      </c>
      <c r="T88" s="59">
        <f t="shared" si="88"/>
        <v>350.82516032456408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48.155731022117514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48.155731022117514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294.96480000000003</v>
      </c>
      <c r="AK88" s="13">
        <f t="shared" si="89"/>
        <v>70.119854541045001</v>
      </c>
      <c r="AL88" s="20">
        <f t="shared" si="58"/>
        <v>635.85577332565333</v>
      </c>
      <c r="AM88" s="59">
        <f t="shared" si="59"/>
        <v>923.39006232957217</v>
      </c>
      <c r="AN88" s="59">
        <f ca="1">AVERAGE(OFFSET($AM$3,0,0,'Données projet'!$E$10+1,1))-AVERAGE(OFFSET($H$3,0,0,'Données projet'!$E$10+1,1))</f>
        <v>448.65237942538027</v>
      </c>
      <c r="AO88" s="59">
        <f t="shared" si="90"/>
        <v>283.56749129825107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84.758010488690019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84.758010488690019</v>
      </c>
      <c r="AY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365</v>
      </c>
      <c r="BB88" s="12">
        <f>VLOOKUP(A88,'Données projet'!$A$87:$I$107,9,0)</f>
        <v>8.4</v>
      </c>
      <c r="BC88" s="12">
        <f t="array" ref="BC88">INDEX(BB:BB,MIN(IF(ISNUMBER(BB88:BB284),ROW(BB88:BB284),"")))</f>
        <v>8.4</v>
      </c>
      <c r="BD88" s="12">
        <f>IF('Données projet'!$A$88&gt;35,BD87+BC88-BL87,IF(A88&lt;'Données projet'!$A$88,$BA$205^A88,IF(A88='Données projet'!$A$88,'Données projet'!$B$88,BD87+BC88-BL87)))</f>
        <v>364.99999999999977</v>
      </c>
      <c r="BE88" s="13">
        <f>BD88*VLOOKUP('Données projet'!$B$11,Paramètres!$A$1:$I$89,3,0)*VLOOKUP('Données projet'!$B$11,Paramètres!$A$1:$I$89,5,0)</f>
        <v>313.16999999999985</v>
      </c>
      <c r="BF88" s="13">
        <f t="shared" si="91"/>
        <v>73.930459835341836</v>
      </c>
      <c r="BG88" s="20">
        <f t="shared" si="61"/>
        <v>674.19996754655335</v>
      </c>
      <c r="BH88" s="59">
        <f t="shared" si="62"/>
        <v>961.7342565504722</v>
      </c>
      <c r="BI88" s="59">
        <f ca="1">AVERAGE(OFFSET($BH$3,0,0,'Données projet'!$E$11+1,1))-AVERAGE(OFFSET($H$3,0,0,'Données projet'!$E$11+1,1))</f>
        <v>456.76871853389395</v>
      </c>
      <c r="BJ88" s="59">
        <f t="shared" si="92"/>
        <v>262.12425810289176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27</v>
      </c>
      <c r="BM88" s="16">
        <f>IF(ISNA(VLOOKUP(A88,'Données projet'!$A$87:$I$107,5,0)),0%,VLOOKUP(A88,'Données projet'!$A$87:$I$107,5,0)*VLOOKUP('Données projet'!$B$11,Paramètres!$A$1:$I$89,7,0))</f>
        <v>0.53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98.562896063817888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98.562896063817888</v>
      </c>
      <c r="BT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255.00000000000006</v>
      </c>
      <c r="BZ88" s="13">
        <f>BY88*VLOOKUP('Données projet'!$B$12,Paramètres!$A$1:$I$89,3,0)*VLOOKUP('Données projet'!$B$12,Paramètres!$A$1:$I$89,5,0)</f>
        <v>186.96600000000004</v>
      </c>
      <c r="CA88" s="13">
        <f t="shared" si="93"/>
        <v>46.868551400324648</v>
      </c>
      <c r="CB88" s="20">
        <f t="shared" si="64"/>
        <v>407.26184368889881</v>
      </c>
      <c r="CC88" s="59">
        <f t="shared" si="65"/>
        <v>694.79613269281765</v>
      </c>
      <c r="CD88" s="59">
        <f ca="1">AVERAGE(OFFSET($CC$3,0,0,'Données projet'!$E$12+1,1))-AVERAGE(OFFSET($H$3,0,0,'Données projet'!$E$12+1,1))</f>
        <v>242.65851607945316</v>
      </c>
      <c r="CE88" s="59">
        <f t="shared" si="94"/>
        <v>218.9349999985487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249.0000000000002</v>
      </c>
      <c r="CU88" s="17">
        <f>CT88*VLOOKUP('Données projet'!$B$13,Paramètres!$A$1:$I$89,3,0)*VLOOKUP('Données projet'!$B$13,Paramètres!$A$1:$I$89,5,0)</f>
        <v>217.52640000000019</v>
      </c>
      <c r="CV88" s="13">
        <f t="shared" si="95"/>
        <v>53.576907690651304</v>
      </c>
      <c r="CW88" s="20">
        <f t="shared" si="67"/>
        <v>472.17159422788467</v>
      </c>
      <c r="CX88" s="59">
        <f t="shared" si="68"/>
        <v>759.70588323180345</v>
      </c>
      <c r="CY88" s="59">
        <f ca="1">AVERAGE(OFFSET($CX$3,0,0,'Données projet'!$E$13+1,1))-AVERAGE(OFFSET($H$3,0,0,'Données projet'!$E$13+1,1))</f>
        <v>326.9460696675867</v>
      </c>
      <c r="CZ88" s="59">
        <f t="shared" si="96"/>
        <v>393.4020374592568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46.400701836859582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46.400701836859582</v>
      </c>
      <c r="DJ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349.00000000000017</v>
      </c>
      <c r="DP88" s="17">
        <f>DO88*VLOOKUP('Données projet'!$B$14,Paramètres!$A$1:$I$89,3,0)*VLOOKUP('Données projet'!$B$14,Paramètres!$A$1:$I$89,5,0)</f>
        <v>272.22000000000014</v>
      </c>
      <c r="DQ88" s="13">
        <f t="shared" si="97"/>
        <v>65.320184547527205</v>
      </c>
      <c r="DR88" s="20">
        <f t="shared" si="70"/>
        <v>587.88248808694345</v>
      </c>
      <c r="DS88" s="59">
        <f t="shared" si="71"/>
        <v>875.4167770908623</v>
      </c>
      <c r="DT88" s="59">
        <f ca="1">AVERAGE(OFFSET($DS$3,0,0,'Données projet'!$E$14+1,1))-AVERAGE(OFFSET($H$3,0,0,'Données projet'!$E$14+1,1))</f>
        <v>364.34528546733799</v>
      </c>
      <c r="DU88" s="59">
        <f t="shared" si="98"/>
        <v>346.5839763411152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64.396393922621044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64.396393922621044</v>
      </c>
      <c r="EE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213.98519999999999</v>
      </c>
      <c r="EL88" s="13">
        <f t="shared" si="99"/>
        <v>52.805497044008654</v>
      </c>
      <c r="EM88" s="20">
        <f t="shared" si="73"/>
        <v>464.66046401831505</v>
      </c>
      <c r="EN88" s="59">
        <f t="shared" si="74"/>
        <v>752.19475302223395</v>
      </c>
      <c r="EO88" s="59">
        <f ca="1">AVERAGE(OFFSET($EN$3,0,0,'Données projet'!$E$15+1,1))-AVERAGE(OFFSET($H$3,0,0,'Données projet'!$E$15+1,1))</f>
        <v>310.38232870602445</v>
      </c>
      <c r="EP88" s="59">
        <f t="shared" si="100"/>
        <v>303.45934457265537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40.60189086178535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40.60189086178535</v>
      </c>
      <c r="EZ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266</v>
      </c>
      <c r="FC88" s="12">
        <f>VLOOKUP(A88,'Données projet'!$A$217:$I$237,9,0)</f>
        <v>5.4</v>
      </c>
      <c r="FD88" s="12">
        <f t="array" ref="FD88">INDEX(FC:FC,MIN(IF(ISNUMBER(FC88:FC284),ROW(FC88:FC284),"")))</f>
        <v>5.4</v>
      </c>
      <c r="FE88" s="12">
        <f>IF('Données projet'!$A$218&gt;35,FE87+FD88-FM87,IF(A88&lt;'Données projet'!$A$218,$FB$205^A88,IF(A88='Données projet'!$A$218,'Données projet'!$B$218,FE87+FD88-FM87)))</f>
        <v>265.99999999999994</v>
      </c>
      <c r="FF88" s="17">
        <f>FE88*VLOOKUP('Données projet'!$B$16,Paramètres!$A$1:$I$89,3,0)*VLOOKUP('Données projet'!$B$16,Paramètres!$A$1:$I$89,5,0)</f>
        <v>253.12559999999996</v>
      </c>
      <c r="FG88" s="13">
        <f t="shared" si="101"/>
        <v>61.254756291614335</v>
      </c>
      <c r="FH88" s="20">
        <f t="shared" si="76"/>
        <v>547.54578720789482</v>
      </c>
      <c r="FI88" s="59">
        <f t="shared" si="77"/>
        <v>835.08007621181366</v>
      </c>
      <c r="FJ88" s="59">
        <f ca="1">AVERAGE(OFFSET($FI$3,0,0,'Données projet'!$E$16+1,1))-AVERAGE(OFFSET($H$3,0,0,'Données projet'!$E$16+1,1))</f>
        <v>457.706832425622</v>
      </c>
      <c r="FK88" s="59">
        <f t="shared" si="102"/>
        <v>474.61768219844873</v>
      </c>
      <c r="FL88" s="15">
        <f>IF(ISNA(VLOOKUP(A88,'Données projet'!$A$217:$I$237,3,0)),0,VLOOKUP(A88,'Données projet'!$A$217:$I$237,3,0))</f>
        <v>16</v>
      </c>
      <c r="FM88" s="15">
        <f>IF(ISNA(VLOOKUP(A88,'Données projet'!$A$217:$I$237,4,0)),0,VLOOKUP(A88,'Données projet'!$A$217:$I$237,4,0))</f>
        <v>25</v>
      </c>
      <c r="FN88" s="16">
        <f>IF(ISNA(VLOOKUP(A88,'Données projet'!$A$217:$I$237,5,0)),0%,VLOOKUP(A88,'Données projet'!$A$217:$I$237,5,0)*VLOOKUP('Données projet'!$B$16,Paramètres!$A$1:$I$89,7,0))</f>
        <v>0.43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89.075243781268966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89.075243781268966</v>
      </c>
      <c r="FU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319</v>
      </c>
      <c r="GA88" s="17">
        <f>FZ88*VLOOKUP('Données projet'!$B$17,Paramètres!$A$1:$I$89,3,0)*VLOOKUP('Données projet'!$B$17,Paramètres!$A$1:$I$89,5,0)</f>
        <v>308.53680000000003</v>
      </c>
      <c r="GB88" s="13">
        <f t="shared" si="103"/>
        <v>72.963171684496103</v>
      </c>
      <c r="GC88" s="20">
        <f t="shared" si="79"/>
        <v>664.4457840171641</v>
      </c>
      <c r="GD88" s="59">
        <f t="shared" si="80"/>
        <v>951.98007302108294</v>
      </c>
      <c r="GE88" s="59">
        <f ca="1">AVERAGE(OFFSET($GD$3,0,0,'Données projet'!$E$17+1,1))-AVERAGE(OFFSET($H$3,0,0,'Données projet'!$E$17+1,1))</f>
        <v>428.11167311086814</v>
      </c>
      <c r="GF88" s="59">
        <f t="shared" si="104"/>
        <v>415.69449942923609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47.496551574164002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47.496551574164002</v>
      </c>
      <c r="GP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1.1368683772161603E-13</v>
      </c>
      <c r="GV88" s="17">
        <f>GU88*VLOOKUP('Données projet'!$B$18,Paramètres!$A$1:$I$89,3,0)*VLOOKUP('Données projet'!$B$18,Paramètres!$A$1:$I$89,5,0)</f>
        <v>6.5087988332379613E-14</v>
      </c>
      <c r="GW88" s="13">
        <f t="shared" si="105"/>
        <v>1.0279249680474958E-12</v>
      </c>
      <c r="GX88" s="20">
        <f t="shared" si="82"/>
        <v>1.9036642323616162E-12</v>
      </c>
      <c r="GY88" s="59">
        <f t="shared" si="83"/>
        <v>287.53428900392072</v>
      </c>
      <c r="GZ88" s="59">
        <f ca="1">AVERAGE(OFFSET($GY$3,0,0,'Données projet'!$E$18+1,1))-AVERAGE(OFFSET($H$3,0,0,'Données projet'!$E$18+1,1))</f>
        <v>249.88816678272056</v>
      </c>
      <c r="HA88" s="59">
        <f t="shared" si="106"/>
        <v>432.10802787437319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27.944955196919317</v>
      </c>
      <c r="HH88" s="21">
        <f>EXP(-LN(2)/25)*HH87+(1-EXP(-LN(2)/25))/(LN(2)/25)*Calculateur!HC88*Calculateur!HE88*VLOOKUP('Données projet'!$B$18,Paramètres!$A$1:$I$89,3,0)*0.475*44/12</f>
        <v>4.682283632278029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32.627238829197346</v>
      </c>
    </row>
    <row r="89" spans="1:218" x14ac:dyDescent="0.3">
      <c r="A89" s="10">
        <f t="shared" si="85"/>
        <v>86</v>
      </c>
      <c r="B89" s="71">
        <f>'Scénario référence'!$B$16*5+'Scénario référence'!$B$17*0+'Scénario référence'!$B$18*5</f>
        <v>1.4000000000000001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5.1333333333333337</v>
      </c>
      <c r="H89" s="65">
        <f t="shared" si="56"/>
        <v>236.13333333333335</v>
      </c>
      <c r="I89" s="6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319</v>
      </c>
      <c r="O89" s="13">
        <f>N89*VLOOKUP('Données projet'!$B$9,Paramètres!$A$1:$I$89,3,0)*VLOOKUP('Données projet'!$B$9,Paramètres!$A$1:$I$89,5,0)</f>
        <v>253.79640000000001</v>
      </c>
      <c r="P89" s="13">
        <f t="shared" si="87"/>
        <v>61.39816832228076</v>
      </c>
      <c r="Q89" s="20">
        <f t="shared" si="54"/>
        <v>548.96387316130563</v>
      </c>
      <c r="R89" s="59">
        <f t="shared" si="55"/>
        <v>836.59876261961892</v>
      </c>
      <c r="S89" s="59">
        <f ca="1">AVERAGE(OFFSET($R$3,0,0,'Données projet'!$E$9+1,1))-AVERAGE(OFFSET($H$3,0,0,'Données projet'!$E$9+1,1))</f>
        <v>360.06385535620069</v>
      </c>
      <c r="T89" s="59">
        <f t="shared" si="88"/>
        <v>350.82516032456408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47.211426508869458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47.211426508869458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275.42112000000003</v>
      </c>
      <c r="AK89" s="13">
        <f t="shared" si="89"/>
        <v>65.998433293601067</v>
      </c>
      <c r="AL89" s="20">
        <f t="shared" si="58"/>
        <v>594.63905531968851</v>
      </c>
      <c r="AM89" s="59">
        <f t="shared" si="59"/>
        <v>882.27394477800181</v>
      </c>
      <c r="AN89" s="59">
        <f ca="1">AVERAGE(OFFSET($AM$3,0,0,'Données projet'!$E$10+1,1))-AVERAGE(OFFSET($H$3,0,0,'Données projet'!$E$10+1,1))</f>
        <v>448.65237942538027</v>
      </c>
      <c r="AO89" s="59">
        <f t="shared" si="90"/>
        <v>283.56749129825107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83.095957600288529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83.095957600288529</v>
      </c>
      <c r="AY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7.8</v>
      </c>
      <c r="BD89" s="12">
        <f>IF('Données projet'!$A$88&gt;35,BD88+BC89-BL88,IF(A89&lt;'Données projet'!$A$88,$BA$205^A89,IF(A89='Données projet'!$A$88,'Données projet'!$B$88,BD88+BC89-BL88)))</f>
        <v>345.79999999999978</v>
      </c>
      <c r="BE89" s="13">
        <f>BD89*VLOOKUP('Données projet'!$B$11,Paramètres!$A$1:$I$89,3,0)*VLOOKUP('Données projet'!$B$11,Paramètres!$A$1:$I$89,5,0)</f>
        <v>296.69639999999981</v>
      </c>
      <c r="BF89" s="13">
        <f t="shared" si="91"/>
        <v>70.48345633189993</v>
      </c>
      <c r="BG89" s="20">
        <f t="shared" si="61"/>
        <v>639.50491644472538</v>
      </c>
      <c r="BH89" s="59">
        <f t="shared" si="62"/>
        <v>927.13980590303868</v>
      </c>
      <c r="BI89" s="59">
        <f ca="1">AVERAGE(OFFSET($BH$3,0,0,'Données projet'!$E$11+1,1))-AVERAGE(OFFSET($H$3,0,0,'Données projet'!$E$11+1,1))</f>
        <v>456.76871853389395</v>
      </c>
      <c r="BJ89" s="59">
        <f t="shared" si="92"/>
        <v>262.12425810289176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96.630137789436915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96.630137789436915</v>
      </c>
      <c r="BT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255.00000000000006</v>
      </c>
      <c r="BZ89" s="13">
        <f>BY89*VLOOKUP('Données projet'!$B$12,Paramètres!$A$1:$I$89,3,0)*VLOOKUP('Données projet'!$B$12,Paramètres!$A$1:$I$89,5,0)</f>
        <v>186.96600000000004</v>
      </c>
      <c r="CA89" s="13">
        <f t="shared" si="93"/>
        <v>46.868551400324648</v>
      </c>
      <c r="CB89" s="20">
        <f t="shared" si="64"/>
        <v>407.26184368889881</v>
      </c>
      <c r="CC89" s="59">
        <f t="shared" si="65"/>
        <v>694.8967331472121</v>
      </c>
      <c r="CD89" s="59">
        <f ca="1">AVERAGE(OFFSET($CC$3,0,0,'Données projet'!$E$12+1,1))-AVERAGE(OFFSET($H$3,0,0,'Données projet'!$E$12+1,1))</f>
        <v>242.65851607945316</v>
      </c>
      <c r="CE89" s="59">
        <f t="shared" si="94"/>
        <v>218.9349999985487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249.0000000000002</v>
      </c>
      <c r="CU89" s="17">
        <f>CT89*VLOOKUP('Données projet'!$B$13,Paramètres!$A$1:$I$89,3,0)*VLOOKUP('Données projet'!$B$13,Paramètres!$A$1:$I$89,5,0)</f>
        <v>217.52640000000019</v>
      </c>
      <c r="CV89" s="13">
        <f t="shared" si="95"/>
        <v>53.576907690651304</v>
      </c>
      <c r="CW89" s="20">
        <f t="shared" si="67"/>
        <v>472.17159422788467</v>
      </c>
      <c r="CX89" s="59">
        <f t="shared" si="68"/>
        <v>759.80648368619791</v>
      </c>
      <c r="CY89" s="59">
        <f ca="1">AVERAGE(OFFSET($CX$3,0,0,'Données projet'!$E$13+1,1))-AVERAGE(OFFSET($H$3,0,0,'Données projet'!$E$13+1,1))</f>
        <v>326.9460696675867</v>
      </c>
      <c r="CZ89" s="59">
        <f t="shared" si="96"/>
        <v>393.4020374592568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45.490812375472331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45.490812375472331</v>
      </c>
      <c r="DJ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349.00000000000017</v>
      </c>
      <c r="DP89" s="17">
        <f>DO89*VLOOKUP('Données projet'!$B$14,Paramètres!$A$1:$I$89,3,0)*VLOOKUP('Données projet'!$B$14,Paramètres!$A$1:$I$89,5,0)</f>
        <v>272.22000000000014</v>
      </c>
      <c r="DQ89" s="13">
        <f t="shared" si="97"/>
        <v>65.320184547527205</v>
      </c>
      <c r="DR89" s="20">
        <f t="shared" si="70"/>
        <v>587.88248808694345</v>
      </c>
      <c r="DS89" s="59">
        <f t="shared" si="71"/>
        <v>875.51737754525675</v>
      </c>
      <c r="DT89" s="59">
        <f ca="1">AVERAGE(OFFSET($DS$3,0,0,'Données projet'!$E$14+1,1))-AVERAGE(OFFSET($H$3,0,0,'Données projet'!$E$14+1,1))</f>
        <v>364.34528546733799</v>
      </c>
      <c r="DU89" s="59">
        <f t="shared" si="98"/>
        <v>346.5839763411152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63.133619915720367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63.133619915720367</v>
      </c>
      <c r="EE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213.98519999999999</v>
      </c>
      <c r="EL89" s="13">
        <f t="shared" si="99"/>
        <v>52.805497044008654</v>
      </c>
      <c r="EM89" s="20">
        <f t="shared" si="73"/>
        <v>464.66046401831505</v>
      </c>
      <c r="EN89" s="59">
        <f t="shared" si="74"/>
        <v>752.29535347662841</v>
      </c>
      <c r="EO89" s="59">
        <f ca="1">AVERAGE(OFFSET($EN$3,0,0,'Données projet'!$E$15+1,1))-AVERAGE(OFFSET($H$3,0,0,'Données projet'!$E$15+1,1))</f>
        <v>310.38232870602445</v>
      </c>
      <c r="EP89" s="59">
        <f t="shared" si="100"/>
        <v>303.45934457265537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39.805712546693854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39.805712546693854</v>
      </c>
      <c r="EZ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5.2</v>
      </c>
      <c r="FE89" s="12">
        <f>IF('Données projet'!$A$218&gt;35,FE88+FD89-FM88,IF(A89&lt;'Données projet'!$A$218,$FB$205^A89,IF(A89='Données projet'!$A$218,'Données projet'!$B$218,FE88+FD89-FM88)))</f>
        <v>246.19999999999993</v>
      </c>
      <c r="FF89" s="17">
        <f>FE89*VLOOKUP('Données projet'!$B$16,Paramètres!$A$1:$I$89,3,0)*VLOOKUP('Données projet'!$B$16,Paramètres!$A$1:$I$89,5,0)</f>
        <v>234.28391999999994</v>
      </c>
      <c r="FG89" s="13">
        <f t="shared" si="101"/>
        <v>57.207967976960866</v>
      </c>
      <c r="FH89" s="20">
        <f t="shared" si="76"/>
        <v>507.68170489320681</v>
      </c>
      <c r="FI89" s="59">
        <f t="shared" si="77"/>
        <v>795.31659435152005</v>
      </c>
      <c r="FJ89" s="59">
        <f ca="1">AVERAGE(OFFSET($FI$3,0,0,'Données projet'!$E$16+1,1))-AVERAGE(OFFSET($H$3,0,0,'Données projet'!$E$16+1,1))</f>
        <v>457.706832425622</v>
      </c>
      <c r="FK89" s="59">
        <f t="shared" si="102"/>
        <v>474.61768219844873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87.32853258125229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87.32853258125229</v>
      </c>
      <c r="FU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319</v>
      </c>
      <c r="GA89" s="17">
        <f>FZ89*VLOOKUP('Données projet'!$B$17,Paramètres!$A$1:$I$89,3,0)*VLOOKUP('Données projet'!$B$17,Paramètres!$A$1:$I$89,5,0)</f>
        <v>308.53680000000003</v>
      </c>
      <c r="GB89" s="13">
        <f t="shared" si="103"/>
        <v>72.963171684496103</v>
      </c>
      <c r="GC89" s="20">
        <f t="shared" si="79"/>
        <v>664.4457840171641</v>
      </c>
      <c r="GD89" s="59">
        <f t="shared" si="80"/>
        <v>952.0806734754774</v>
      </c>
      <c r="GE89" s="59">
        <f ca="1">AVERAGE(OFFSET($GD$3,0,0,'Données projet'!$E$17+1,1))-AVERAGE(OFFSET($H$3,0,0,'Données projet'!$E$17+1,1))</f>
        <v>428.11167311086814</v>
      </c>
      <c r="GF89" s="59">
        <f t="shared" si="104"/>
        <v>415.69449942923609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46.565173167830551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46.565173167830551</v>
      </c>
      <c r="GP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1.1368683772161603E-13</v>
      </c>
      <c r="GV89" s="17">
        <f>GU89*VLOOKUP('Données projet'!$B$18,Paramètres!$A$1:$I$89,3,0)*VLOOKUP('Données projet'!$B$18,Paramètres!$A$1:$I$89,5,0)</f>
        <v>6.5087988332379613E-14</v>
      </c>
      <c r="GW89" s="13">
        <f t="shared" si="105"/>
        <v>1.0279249680474958E-12</v>
      </c>
      <c r="GX89" s="20">
        <f t="shared" si="82"/>
        <v>1.9036642323616162E-12</v>
      </c>
      <c r="GY89" s="59">
        <f t="shared" si="83"/>
        <v>287.63488945831517</v>
      </c>
      <c r="GZ89" s="59">
        <f ca="1">AVERAGE(OFFSET($GY$3,0,0,'Données projet'!$E$18+1,1))-AVERAGE(OFFSET($H$3,0,0,'Données projet'!$E$18+1,1))</f>
        <v>249.88816678272056</v>
      </c>
      <c r="HA89" s="59">
        <f t="shared" si="106"/>
        <v>432.10802787437319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27.396971670247371</v>
      </c>
      <c r="HH89" s="21">
        <f>EXP(-LN(2)/25)*HH88+(1-EXP(-LN(2)/25))/(LN(2)/25)*Calculateur!HC89*Calculateur!HE89*VLOOKUP('Données projet'!$B$18,Paramètres!$A$1:$I$89,3,0)*0.475*44/12</f>
        <v>4.5542463401227913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31.951218010370162</v>
      </c>
    </row>
    <row r="90" spans="1:218" x14ac:dyDescent="0.3">
      <c r="A90" s="10">
        <f t="shared" si="85"/>
        <v>87</v>
      </c>
      <c r="B90" s="71">
        <f>'Scénario référence'!$B$16*5+'Scénario référence'!$B$17*0+'Scénario référence'!$B$18*5</f>
        <v>1.4000000000000001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5.1333333333333337</v>
      </c>
      <c r="H90" s="65">
        <f t="shared" si="56"/>
        <v>236.13333333333335</v>
      </c>
      <c r="I90" s="6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319</v>
      </c>
      <c r="O90" s="13">
        <f>N90*VLOOKUP('Données projet'!$B$9,Paramètres!$A$1:$I$89,3,0)*VLOOKUP('Données projet'!$B$9,Paramètres!$A$1:$I$89,5,0)</f>
        <v>253.79640000000001</v>
      </c>
      <c r="P90" s="13">
        <f t="shared" si="87"/>
        <v>61.39816832228076</v>
      </c>
      <c r="Q90" s="20">
        <f t="shared" si="54"/>
        <v>548.96387316130563</v>
      </c>
      <c r="R90" s="59">
        <f t="shared" si="55"/>
        <v>836.6976178810387</v>
      </c>
      <c r="S90" s="59">
        <f ca="1">AVERAGE(OFFSET($R$3,0,0,'Données projet'!$E$9+1,1))-AVERAGE(OFFSET($H$3,0,0,'Données projet'!$E$9+1,1))</f>
        <v>360.06385535620069</v>
      </c>
      <c r="T90" s="59">
        <f t="shared" si="88"/>
        <v>350.82516032456408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46.285639231157319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46.285639231157319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281.21184</v>
      </c>
      <c r="AK90" s="13">
        <f t="shared" si="89"/>
        <v>67.22304110496664</v>
      </c>
      <c r="AL90" s="20">
        <f t="shared" si="58"/>
        <v>606.85741792448357</v>
      </c>
      <c r="AM90" s="59">
        <f t="shared" si="59"/>
        <v>894.59116264421664</v>
      </c>
      <c r="AN90" s="59">
        <f ca="1">AVERAGE(OFFSET($AM$3,0,0,'Données projet'!$E$10+1,1))-AVERAGE(OFFSET($H$3,0,0,'Données projet'!$E$10+1,1))</f>
        <v>448.65237942538027</v>
      </c>
      <c r="AO90" s="59">
        <f t="shared" si="90"/>
        <v>283.56749129825107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81.466496555276422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81.466496555276422</v>
      </c>
      <c r="AY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7.8</v>
      </c>
      <c r="BD90" s="12">
        <f>IF('Données projet'!$A$88&gt;35,BD89+BC90-BL89,IF(A90&lt;'Données projet'!$A$88,$BA$205^A90,IF(A90='Données projet'!$A$88,'Données projet'!$B$88,BD89+BC90-BL89)))</f>
        <v>353.5999999999998</v>
      </c>
      <c r="BE90" s="13">
        <f>BD90*VLOOKUP('Données projet'!$B$11,Paramètres!$A$1:$I$89,3,0)*VLOOKUP('Données projet'!$B$11,Paramètres!$A$1:$I$89,5,0)</f>
        <v>303.38879999999989</v>
      </c>
      <c r="BF90" s="13">
        <f t="shared" si="91"/>
        <v>71.88642102141435</v>
      </c>
      <c r="BG90" s="20">
        <f t="shared" si="61"/>
        <v>653.60434327896314</v>
      </c>
      <c r="BH90" s="59">
        <f t="shared" si="62"/>
        <v>941.33808799869621</v>
      </c>
      <c r="BI90" s="59">
        <f ca="1">AVERAGE(OFFSET($BH$3,0,0,'Données projet'!$E$11+1,1))-AVERAGE(OFFSET($H$3,0,0,'Données projet'!$E$11+1,1))</f>
        <v>456.76871853389395</v>
      </c>
      <c r="BJ90" s="59">
        <f t="shared" si="92"/>
        <v>262.12425810289176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94.735279725950406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94.735279725950406</v>
      </c>
      <c r="BT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255.00000000000006</v>
      </c>
      <c r="BZ90" s="13">
        <f>BY90*VLOOKUP('Données projet'!$B$12,Paramètres!$A$1:$I$89,3,0)*VLOOKUP('Données projet'!$B$12,Paramètres!$A$1:$I$89,5,0)</f>
        <v>186.96600000000004</v>
      </c>
      <c r="CA90" s="13">
        <f t="shared" si="93"/>
        <v>46.868551400324648</v>
      </c>
      <c r="CB90" s="20">
        <f t="shared" si="64"/>
        <v>407.26184368889881</v>
      </c>
      <c r="CC90" s="59">
        <f t="shared" si="65"/>
        <v>694.99558840863187</v>
      </c>
      <c r="CD90" s="59">
        <f ca="1">AVERAGE(OFFSET($CC$3,0,0,'Données projet'!$E$12+1,1))-AVERAGE(OFFSET($H$3,0,0,'Données projet'!$E$12+1,1))</f>
        <v>242.65851607945316</v>
      </c>
      <c r="CE90" s="59">
        <f t="shared" si="94"/>
        <v>218.9349999985487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249.0000000000002</v>
      </c>
      <c r="CU90" s="17">
        <f>CT90*VLOOKUP('Données projet'!$B$13,Paramètres!$A$1:$I$89,3,0)*VLOOKUP('Données projet'!$B$13,Paramètres!$A$1:$I$89,5,0)</f>
        <v>217.52640000000019</v>
      </c>
      <c r="CV90" s="13">
        <f t="shared" si="95"/>
        <v>53.576907690651304</v>
      </c>
      <c r="CW90" s="20">
        <f t="shared" si="67"/>
        <v>472.17159422788467</v>
      </c>
      <c r="CX90" s="59">
        <f t="shared" si="68"/>
        <v>759.90533894761768</v>
      </c>
      <c r="CY90" s="59">
        <f ca="1">AVERAGE(OFFSET($CX$3,0,0,'Données projet'!$E$13+1,1))-AVERAGE(OFFSET($H$3,0,0,'Données projet'!$E$13+1,1))</f>
        <v>326.9460696675867</v>
      </c>
      <c r="CZ90" s="59">
        <f t="shared" si="96"/>
        <v>393.4020374592568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44.598765291445112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44.598765291445112</v>
      </c>
      <c r="DJ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349.00000000000017</v>
      </c>
      <c r="DP90" s="17">
        <f>DO90*VLOOKUP('Données projet'!$B$14,Paramètres!$A$1:$I$89,3,0)*VLOOKUP('Données projet'!$B$14,Paramètres!$A$1:$I$89,5,0)</f>
        <v>272.22000000000014</v>
      </c>
      <c r="DQ90" s="13">
        <f t="shared" si="97"/>
        <v>65.320184547527205</v>
      </c>
      <c r="DR90" s="20">
        <f t="shared" si="70"/>
        <v>587.88248808694345</v>
      </c>
      <c r="DS90" s="59">
        <f t="shared" si="71"/>
        <v>875.61623280667641</v>
      </c>
      <c r="DT90" s="59">
        <f ca="1">AVERAGE(OFFSET($DS$3,0,0,'Données projet'!$E$14+1,1))-AVERAGE(OFFSET($H$3,0,0,'Données projet'!$E$14+1,1))</f>
        <v>364.34528546733799</v>
      </c>
      <c r="DU90" s="59">
        <f t="shared" si="98"/>
        <v>346.5839763411152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61.89560813687892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61.89560813687892</v>
      </c>
      <c r="EE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213.98519999999999</v>
      </c>
      <c r="EL90" s="13">
        <f t="shared" si="99"/>
        <v>52.805497044008654</v>
      </c>
      <c r="EM90" s="20">
        <f t="shared" si="73"/>
        <v>464.66046401831505</v>
      </c>
      <c r="EN90" s="59">
        <f t="shared" si="74"/>
        <v>752.39420873804806</v>
      </c>
      <c r="EO90" s="59">
        <f ca="1">AVERAGE(OFFSET($EN$3,0,0,'Données projet'!$E$15+1,1))-AVERAGE(OFFSET($H$3,0,0,'Données projet'!$E$15+1,1))</f>
        <v>310.38232870602445</v>
      </c>
      <c r="EP90" s="59">
        <f t="shared" si="100"/>
        <v>303.45934457265537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39.02514680274048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39.02514680274048</v>
      </c>
      <c r="EZ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5.2</v>
      </c>
      <c r="FE90" s="12">
        <f>IF('Données projet'!$A$218&gt;35,FE89+FD90-FM89,IF(A90&lt;'Données projet'!$A$218,$FB$205^A90,IF(A90='Données projet'!$A$218,'Données projet'!$B$218,FE89+FD90-FM89)))</f>
        <v>251.39999999999992</v>
      </c>
      <c r="FF90" s="17">
        <f>FE90*VLOOKUP('Données projet'!$B$16,Paramètres!$A$1:$I$89,3,0)*VLOOKUP('Données projet'!$B$16,Paramètres!$A$1:$I$89,5,0)</f>
        <v>239.23223999999993</v>
      </c>
      <c r="FG90" s="13">
        <f t="shared" si="101"/>
        <v>58.274312386610639</v>
      </c>
      <c r="FH90" s="20">
        <f t="shared" si="76"/>
        <v>518.15724540667998</v>
      </c>
      <c r="FI90" s="59">
        <f t="shared" si="77"/>
        <v>805.89099012641304</v>
      </c>
      <c r="FJ90" s="59">
        <f ca="1">AVERAGE(OFFSET($FI$3,0,0,'Données projet'!$E$16+1,1))-AVERAGE(OFFSET($H$3,0,0,'Données projet'!$E$16+1,1))</f>
        <v>457.706832425622</v>
      </c>
      <c r="FK90" s="59">
        <f t="shared" si="102"/>
        <v>474.61768219844873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85.616073322479309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85.616073322479309</v>
      </c>
      <c r="FU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319</v>
      </c>
      <c r="GA90" s="17">
        <f>FZ90*VLOOKUP('Données projet'!$B$17,Paramètres!$A$1:$I$89,3,0)*VLOOKUP('Données projet'!$B$17,Paramètres!$A$1:$I$89,5,0)</f>
        <v>308.53680000000003</v>
      </c>
      <c r="GB90" s="13">
        <f t="shared" si="103"/>
        <v>72.963171684496103</v>
      </c>
      <c r="GC90" s="20">
        <f t="shared" si="79"/>
        <v>664.4457840171641</v>
      </c>
      <c r="GD90" s="59">
        <f t="shared" si="80"/>
        <v>952.17952873689705</v>
      </c>
      <c r="GE90" s="59">
        <f ca="1">AVERAGE(OFFSET($GD$3,0,0,'Données projet'!$E$17+1,1))-AVERAGE(OFFSET($H$3,0,0,'Données projet'!$E$17+1,1))</f>
        <v>428.11167311086814</v>
      </c>
      <c r="GF90" s="59">
        <f t="shared" si="104"/>
        <v>415.69449942923609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45.652058523960569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45.652058523960569</v>
      </c>
      <c r="GP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1.1368683772161603E-13</v>
      </c>
      <c r="GV90" s="17">
        <f>GU90*VLOOKUP('Données projet'!$B$18,Paramètres!$A$1:$I$89,3,0)*VLOOKUP('Données projet'!$B$18,Paramètres!$A$1:$I$89,5,0)</f>
        <v>6.5087988332379613E-14</v>
      </c>
      <c r="GW90" s="13">
        <f t="shared" si="105"/>
        <v>1.0279249680474958E-12</v>
      </c>
      <c r="GX90" s="20">
        <f t="shared" si="82"/>
        <v>1.9036642323616162E-12</v>
      </c>
      <c r="GY90" s="59">
        <f t="shared" si="83"/>
        <v>287.73374471973489</v>
      </c>
      <c r="GZ90" s="59">
        <f ca="1">AVERAGE(OFFSET($GY$3,0,0,'Données projet'!$E$18+1,1))-AVERAGE(OFFSET($H$3,0,0,'Données projet'!$E$18+1,1))</f>
        <v>249.88816678272056</v>
      </c>
      <c r="HA90" s="59">
        <f t="shared" si="106"/>
        <v>432.10802787437319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26.859733766296515</v>
      </c>
      <c r="HH90" s="21">
        <f>EXP(-LN(2)/25)*HH89+(1-EXP(-LN(2)/25))/(LN(2)/25)*Calculateur!HC90*Calculateur!HE90*VLOOKUP('Données projet'!$B$18,Paramètres!$A$1:$I$89,3,0)*0.475*44/12</f>
        <v>4.4297102344547277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31.289444000751242</v>
      </c>
    </row>
    <row r="91" spans="1:218" x14ac:dyDescent="0.3">
      <c r="A91" s="10">
        <f t="shared" si="85"/>
        <v>88</v>
      </c>
      <c r="B91" s="71">
        <f>'Scénario référence'!$B$16*5+'Scénario référence'!$B$17*0+'Scénario référence'!$B$18*5</f>
        <v>1.4000000000000001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5.1333333333333337</v>
      </c>
      <c r="H91" s="65">
        <f t="shared" si="56"/>
        <v>236.13333333333335</v>
      </c>
      <c r="I91" s="6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319</v>
      </c>
      <c r="O91" s="13">
        <f>N91*VLOOKUP('Données projet'!$B$9,Paramètres!$A$1:$I$89,3,0)*VLOOKUP('Données projet'!$B$9,Paramètres!$A$1:$I$89,5,0)</f>
        <v>253.79640000000001</v>
      </c>
      <c r="P91" s="13">
        <f t="shared" si="87"/>
        <v>61.39816832228076</v>
      </c>
      <c r="Q91" s="20">
        <f t="shared" si="54"/>
        <v>548.96387316130563</v>
      </c>
      <c r="R91" s="59">
        <f t="shared" si="55"/>
        <v>836.79475822467987</v>
      </c>
      <c r="S91" s="59">
        <f ca="1">AVERAGE(OFFSET($R$3,0,0,'Données projet'!$E$9+1,1))-AVERAGE(OFFSET($H$3,0,0,'Données projet'!$E$9+1,1))</f>
        <v>360.06385535620069</v>
      </c>
      <c r="T91" s="59">
        <f t="shared" si="88"/>
        <v>350.82516032456408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45.378006077286628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45.378006077286628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287.00255999999996</v>
      </c>
      <c r="AK91" s="13">
        <f t="shared" si="89"/>
        <v>68.444716936118553</v>
      </c>
      <c r="AL91" s="20">
        <f t="shared" si="58"/>
        <v>619.07067399707296</v>
      </c>
      <c r="AM91" s="59">
        <f t="shared" si="59"/>
        <v>906.9015590604472</v>
      </c>
      <c r="AN91" s="59">
        <f ca="1">AVERAGE(OFFSET($AM$3,0,0,'Données projet'!$E$10+1,1))-AVERAGE(OFFSET($H$3,0,0,'Données projet'!$E$10+1,1))</f>
        <v>448.65237942538027</v>
      </c>
      <c r="AO91" s="59">
        <f t="shared" si="90"/>
        <v>283.56749129825107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79.868988247483898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79.868988247483898</v>
      </c>
      <c r="AY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7.8</v>
      </c>
      <c r="BD91" s="12">
        <f>IF('Données projet'!$A$88&gt;35,BD90+BC91-BL90,IF(A91&lt;'Données projet'!$A$88,$BA$205^A91,IF(A91='Données projet'!$A$88,'Données projet'!$B$88,BD90+BC91-BL90)))</f>
        <v>361.39999999999981</v>
      </c>
      <c r="BE91" s="13">
        <f>BD91*VLOOKUP('Données projet'!$B$11,Paramètres!$A$1:$I$89,3,0)*VLOOKUP('Données projet'!$B$11,Paramètres!$A$1:$I$89,5,0)</f>
        <v>310.08119999999985</v>
      </c>
      <c r="BF91" s="13">
        <f t="shared" si="91"/>
        <v>73.285787705139427</v>
      </c>
      <c r="BG91" s="20">
        <f t="shared" si="61"/>
        <v>667.69750358645092</v>
      </c>
      <c r="BH91" s="59">
        <f t="shared" si="62"/>
        <v>955.52838864982516</v>
      </c>
      <c r="BI91" s="59">
        <f ca="1">AVERAGE(OFFSET($BH$3,0,0,'Données projet'!$E$11+1,1))-AVERAGE(OFFSET($H$3,0,0,'Données projet'!$E$11+1,1))</f>
        <v>456.76871853389395</v>
      </c>
      <c r="BJ91" s="59">
        <f t="shared" si="92"/>
        <v>262.12425810289176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92.877578673339571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92.877578673339571</v>
      </c>
      <c r="BT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255.00000000000006</v>
      </c>
      <c r="BZ91" s="13">
        <f>BY91*VLOOKUP('Données projet'!$B$12,Paramètres!$A$1:$I$89,3,0)*VLOOKUP('Données projet'!$B$12,Paramètres!$A$1:$I$89,5,0)</f>
        <v>186.96600000000004</v>
      </c>
      <c r="CA91" s="13">
        <f t="shared" si="93"/>
        <v>46.868551400324648</v>
      </c>
      <c r="CB91" s="20">
        <f t="shared" si="64"/>
        <v>407.26184368889881</v>
      </c>
      <c r="CC91" s="59">
        <f t="shared" si="65"/>
        <v>695.09272875227305</v>
      </c>
      <c r="CD91" s="59">
        <f ca="1">AVERAGE(OFFSET($CC$3,0,0,'Données projet'!$E$12+1,1))-AVERAGE(OFFSET($H$3,0,0,'Données projet'!$E$12+1,1))</f>
        <v>242.65851607945316</v>
      </c>
      <c r="CE91" s="59">
        <f t="shared" si="94"/>
        <v>218.9349999985487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249.0000000000002</v>
      </c>
      <c r="CU91" s="17">
        <f>CT91*VLOOKUP('Données projet'!$B$13,Paramètres!$A$1:$I$89,3,0)*VLOOKUP('Données projet'!$B$13,Paramètres!$A$1:$I$89,5,0)</f>
        <v>217.52640000000019</v>
      </c>
      <c r="CV91" s="13">
        <f t="shared" si="95"/>
        <v>53.576907690651304</v>
      </c>
      <c r="CW91" s="20">
        <f t="shared" si="67"/>
        <v>472.17159422788467</v>
      </c>
      <c r="CX91" s="59">
        <f t="shared" si="68"/>
        <v>760.00247929125885</v>
      </c>
      <c r="CY91" s="59">
        <f ca="1">AVERAGE(OFFSET($CX$3,0,0,'Données projet'!$E$13+1,1))-AVERAGE(OFFSET($H$3,0,0,'Données projet'!$E$13+1,1))</f>
        <v>326.9460696675867</v>
      </c>
      <c r="CZ91" s="59">
        <f t="shared" si="96"/>
        <v>393.4020374592568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43.724210706640669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43.724210706640669</v>
      </c>
      <c r="DJ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349.00000000000017</v>
      </c>
      <c r="DP91" s="17">
        <f>DO91*VLOOKUP('Données projet'!$B$14,Paramètres!$A$1:$I$89,3,0)*VLOOKUP('Données projet'!$B$14,Paramètres!$A$1:$I$89,5,0)</f>
        <v>272.22000000000014</v>
      </c>
      <c r="DQ91" s="13">
        <f t="shared" si="97"/>
        <v>65.320184547527205</v>
      </c>
      <c r="DR91" s="20">
        <f t="shared" si="70"/>
        <v>587.88248808694345</v>
      </c>
      <c r="DS91" s="59">
        <f t="shared" si="71"/>
        <v>875.71337315031769</v>
      </c>
      <c r="DT91" s="59">
        <f ca="1">AVERAGE(OFFSET($DS$3,0,0,'Données projet'!$E$14+1,1))-AVERAGE(OFFSET($H$3,0,0,'Données projet'!$E$14+1,1))</f>
        <v>364.34528546733799</v>
      </c>
      <c r="DU91" s="59">
        <f t="shared" si="98"/>
        <v>346.5839763411152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60.681873013907932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60.681873013907932</v>
      </c>
      <c r="EE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213.98519999999999</v>
      </c>
      <c r="EL91" s="13">
        <f t="shared" si="99"/>
        <v>52.805497044008654</v>
      </c>
      <c r="EM91" s="20">
        <f t="shared" si="73"/>
        <v>464.66046401831505</v>
      </c>
      <c r="EN91" s="59">
        <f t="shared" si="74"/>
        <v>752.49134908168935</v>
      </c>
      <c r="EO91" s="59">
        <f ca="1">AVERAGE(OFFSET($EN$3,0,0,'Données projet'!$E$15+1,1))-AVERAGE(OFFSET($H$3,0,0,'Données projet'!$E$15+1,1))</f>
        <v>310.38232870602445</v>
      </c>
      <c r="EP91" s="59">
        <f t="shared" si="100"/>
        <v>303.45934457265537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38.259887476927936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38.259887476927936</v>
      </c>
      <c r="EZ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5.2</v>
      </c>
      <c r="FE91" s="12">
        <f>IF('Données projet'!$A$218&gt;35,FE90+FD91-FM90,IF(A91&lt;'Données projet'!$A$218,$FB$205^A91,IF(A91='Données projet'!$A$218,'Données projet'!$B$218,FE90+FD91-FM90)))</f>
        <v>256.59999999999991</v>
      </c>
      <c r="FF91" s="17">
        <f>FE91*VLOOKUP('Données projet'!$B$16,Paramètres!$A$1:$I$89,3,0)*VLOOKUP('Données projet'!$B$16,Paramètres!$A$1:$I$89,5,0)</f>
        <v>244.18055999999993</v>
      </c>
      <c r="FG91" s="13">
        <f t="shared" si="101"/>
        <v>59.338092320635823</v>
      </c>
      <c r="FH91" s="20">
        <f t="shared" si="76"/>
        <v>528.62831945844061</v>
      </c>
      <c r="FI91" s="59">
        <f t="shared" si="77"/>
        <v>816.45920452181485</v>
      </c>
      <c r="FJ91" s="59">
        <f ca="1">AVERAGE(OFFSET($FI$3,0,0,'Données projet'!$E$16+1,1))-AVERAGE(OFFSET($H$3,0,0,'Données projet'!$E$16+1,1))</f>
        <v>457.706832425622</v>
      </c>
      <c r="FK91" s="59">
        <f t="shared" si="102"/>
        <v>474.61768219844873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83.937194345273852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83.937194345273852</v>
      </c>
      <c r="FU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319</v>
      </c>
      <c r="GA91" s="17">
        <f>FZ91*VLOOKUP('Données projet'!$B$17,Paramètres!$A$1:$I$89,3,0)*VLOOKUP('Données projet'!$B$17,Paramètres!$A$1:$I$89,5,0)</f>
        <v>308.53680000000003</v>
      </c>
      <c r="GB91" s="13">
        <f t="shared" si="103"/>
        <v>72.963171684496103</v>
      </c>
      <c r="GC91" s="20">
        <f t="shared" si="79"/>
        <v>664.4457840171641</v>
      </c>
      <c r="GD91" s="59">
        <f t="shared" si="80"/>
        <v>952.27666908053834</v>
      </c>
      <c r="GE91" s="59">
        <f ca="1">AVERAGE(OFFSET($GD$3,0,0,'Données projet'!$E$17+1,1))-AVERAGE(OFFSET($H$3,0,0,'Données projet'!$E$17+1,1))</f>
        <v>428.11167311086814</v>
      </c>
      <c r="GF91" s="59">
        <f t="shared" si="104"/>
        <v>415.69449942923609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44.756849501311933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44.756849501311933</v>
      </c>
      <c r="GP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1.1368683772161603E-13</v>
      </c>
      <c r="GV91" s="17">
        <f>GU91*VLOOKUP('Données projet'!$B$18,Paramètres!$A$1:$I$89,3,0)*VLOOKUP('Données projet'!$B$18,Paramètres!$A$1:$I$89,5,0)</f>
        <v>6.5087988332379613E-14</v>
      </c>
      <c r="GW91" s="13">
        <f t="shared" si="105"/>
        <v>1.0279249680474958E-12</v>
      </c>
      <c r="GX91" s="20">
        <f t="shared" si="82"/>
        <v>1.9036642323616162E-12</v>
      </c>
      <c r="GY91" s="59">
        <f t="shared" si="83"/>
        <v>287.83088506337612</v>
      </c>
      <c r="GZ91" s="59">
        <f ca="1">AVERAGE(OFFSET($GY$3,0,0,'Données projet'!$E$18+1,1))-AVERAGE(OFFSET($H$3,0,0,'Données projet'!$E$18+1,1))</f>
        <v>249.88816678272056</v>
      </c>
      <c r="HA91" s="59">
        <f t="shared" si="106"/>
        <v>432.10802787437319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26.333030769959368</v>
      </c>
      <c r="HH91" s="21">
        <f>EXP(-LN(2)/25)*HH90+(1-EXP(-LN(2)/25))/(LN(2)/25)*Calculateur!HC91*Calculateur!HE91*VLOOKUP('Données projet'!$B$18,Paramètres!$A$1:$I$89,3,0)*0.475*44/12</f>
        <v>4.3085795751452265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30.641610345104596</v>
      </c>
    </row>
    <row r="92" spans="1:218" x14ac:dyDescent="0.3">
      <c r="A92" s="10">
        <f t="shared" si="85"/>
        <v>89</v>
      </c>
      <c r="B92" s="71">
        <f>'Scénario référence'!$B$16*5+'Scénario référence'!$B$17*0+'Scénario référence'!$B$18*5</f>
        <v>1.4000000000000001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5.1333333333333337</v>
      </c>
      <c r="H92" s="65">
        <f t="shared" si="56"/>
        <v>236.13333333333335</v>
      </c>
      <c r="I92" s="6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319</v>
      </c>
      <c r="O92" s="13">
        <f>N92*VLOOKUP('Données projet'!$B$9,Paramètres!$A$1:$I$89,3,0)*VLOOKUP('Données projet'!$B$9,Paramètres!$A$1:$I$89,5,0)</f>
        <v>253.79640000000001</v>
      </c>
      <c r="P92" s="13">
        <f t="shared" si="87"/>
        <v>61.39816832228076</v>
      </c>
      <c r="Q92" s="20">
        <f t="shared" si="54"/>
        <v>548.96387316130563</v>
      </c>
      <c r="R92" s="59">
        <f t="shared" si="55"/>
        <v>836.89021340053228</v>
      </c>
      <c r="S92" s="59">
        <f ca="1">AVERAGE(OFFSET($R$3,0,0,'Données projet'!$E$9+1,1))-AVERAGE(OFFSET($H$3,0,0,'Données projet'!$E$9+1,1))</f>
        <v>360.06385535620069</v>
      </c>
      <c r="T92" s="59">
        <f t="shared" si="88"/>
        <v>350.82516032456408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44.488171055961786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44.488171055961786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292.79327999999992</v>
      </c>
      <c r="AK92" s="13">
        <f t="shared" si="89"/>
        <v>69.663526761731433</v>
      </c>
      <c r="AL92" s="20">
        <f t="shared" si="58"/>
        <v>631.27893844334869</v>
      </c>
      <c r="AM92" s="59">
        <f t="shared" si="59"/>
        <v>919.20527868257523</v>
      </c>
      <c r="AN92" s="59">
        <f ca="1">AVERAGE(OFFSET($AM$3,0,0,'Données projet'!$E$10+1,1))-AVERAGE(OFFSET($H$3,0,0,'Données projet'!$E$10+1,1))</f>
        <v>448.65237942538027</v>
      </c>
      <c r="AO92" s="59">
        <f t="shared" si="90"/>
        <v>283.56749129825107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78.302806103223332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78.302806103223332</v>
      </c>
      <c r="AY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7.8</v>
      </c>
      <c r="BD92" s="12">
        <f>IF('Données projet'!$A$88&gt;35,BD91+BC92-BL91,IF(A92&lt;'Données projet'!$A$88,$BA$205^A92,IF(A92='Données projet'!$A$88,'Données projet'!$B$88,BD91+BC92-BL91)))</f>
        <v>369.19999999999982</v>
      </c>
      <c r="BE92" s="13">
        <f>BD92*VLOOKUP('Données projet'!$B$11,Paramètres!$A$1:$I$89,3,0)*VLOOKUP('Données projet'!$B$11,Paramètres!$A$1:$I$89,5,0)</f>
        <v>316.77359999999987</v>
      </c>
      <c r="BF92" s="13">
        <f t="shared" si="91"/>
        <v>74.681642981668006</v>
      </c>
      <c r="BG92" s="20">
        <f t="shared" si="61"/>
        <v>681.78454819307149</v>
      </c>
      <c r="BH92" s="59">
        <f t="shared" si="62"/>
        <v>969.71088843229813</v>
      </c>
      <c r="BI92" s="59">
        <f ca="1">AVERAGE(OFFSET($BH$3,0,0,'Données projet'!$E$11+1,1))-AVERAGE(OFFSET($H$3,0,0,'Données projet'!$E$11+1,1))</f>
        <v>456.76871853389395</v>
      </c>
      <c r="BJ92" s="59">
        <f t="shared" si="92"/>
        <v>262.12425810289176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91.056306005284682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91.056306005284682</v>
      </c>
      <c r="BT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255.00000000000006</v>
      </c>
      <c r="BZ92" s="13">
        <f>BY92*VLOOKUP('Données projet'!$B$12,Paramètres!$A$1:$I$89,3,0)*VLOOKUP('Données projet'!$B$12,Paramètres!$A$1:$I$89,5,0)</f>
        <v>186.96600000000004</v>
      </c>
      <c r="CA92" s="13">
        <f t="shared" si="93"/>
        <v>46.868551400324648</v>
      </c>
      <c r="CB92" s="20">
        <f t="shared" si="64"/>
        <v>407.26184368889881</v>
      </c>
      <c r="CC92" s="59">
        <f t="shared" si="65"/>
        <v>695.18818392812545</v>
      </c>
      <c r="CD92" s="59">
        <f ca="1">AVERAGE(OFFSET($CC$3,0,0,'Données projet'!$E$12+1,1))-AVERAGE(OFFSET($H$3,0,0,'Données projet'!$E$12+1,1))</f>
        <v>242.65851607945316</v>
      </c>
      <c r="CE92" s="59">
        <f t="shared" si="94"/>
        <v>218.9349999985487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249.0000000000002</v>
      </c>
      <c r="CU92" s="17">
        <f>CT92*VLOOKUP('Données projet'!$B$13,Paramètres!$A$1:$I$89,3,0)*VLOOKUP('Données projet'!$B$13,Paramètres!$A$1:$I$89,5,0)</f>
        <v>217.52640000000019</v>
      </c>
      <c r="CV92" s="13">
        <f t="shared" si="95"/>
        <v>53.576907690651304</v>
      </c>
      <c r="CW92" s="20">
        <f t="shared" si="67"/>
        <v>472.17159422788467</v>
      </c>
      <c r="CX92" s="59">
        <f t="shared" si="68"/>
        <v>760.09793446711126</v>
      </c>
      <c r="CY92" s="59">
        <f ca="1">AVERAGE(OFFSET($CX$3,0,0,'Données projet'!$E$13+1,1))-AVERAGE(OFFSET($H$3,0,0,'Données projet'!$E$13+1,1))</f>
        <v>326.9460696675867</v>
      </c>
      <c r="CZ92" s="59">
        <f t="shared" si="96"/>
        <v>393.4020374592568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42.866805603818619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42.866805603818619</v>
      </c>
      <c r="DJ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349.00000000000017</v>
      </c>
      <c r="DP92" s="17">
        <f>DO92*VLOOKUP('Données projet'!$B$14,Paramètres!$A$1:$I$89,3,0)*VLOOKUP('Données projet'!$B$14,Paramètres!$A$1:$I$89,5,0)</f>
        <v>272.22000000000014</v>
      </c>
      <c r="DQ92" s="13">
        <f t="shared" si="97"/>
        <v>65.320184547527205</v>
      </c>
      <c r="DR92" s="20">
        <f t="shared" si="70"/>
        <v>587.88248808694345</v>
      </c>
      <c r="DS92" s="59">
        <f t="shared" si="71"/>
        <v>875.80882832616999</v>
      </c>
      <c r="DT92" s="59">
        <f ca="1">AVERAGE(OFFSET($DS$3,0,0,'Données projet'!$E$14+1,1))-AVERAGE(OFFSET($H$3,0,0,'Données projet'!$E$14+1,1))</f>
        <v>364.34528546733799</v>
      </c>
      <c r="DU92" s="59">
        <f t="shared" si="98"/>
        <v>346.5839763411152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59.491938496393075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59.491938496393075</v>
      </c>
      <c r="EE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213.98519999999999</v>
      </c>
      <c r="EL92" s="13">
        <f t="shared" si="99"/>
        <v>52.805497044008654</v>
      </c>
      <c r="EM92" s="20">
        <f t="shared" si="73"/>
        <v>464.66046401831505</v>
      </c>
      <c r="EN92" s="59">
        <f t="shared" si="74"/>
        <v>752.58680425754164</v>
      </c>
      <c r="EO92" s="59">
        <f ca="1">AVERAGE(OFFSET($EN$3,0,0,'Données projet'!$E$15+1,1))-AVERAGE(OFFSET($H$3,0,0,'Données projet'!$E$15+1,1))</f>
        <v>310.38232870602445</v>
      </c>
      <c r="EP92" s="59">
        <f t="shared" si="100"/>
        <v>303.45934457265537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37.509634419732478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37.509634419732478</v>
      </c>
      <c r="EZ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5.2</v>
      </c>
      <c r="FE92" s="12">
        <f>IF('Données projet'!$A$218&gt;35,FE91+FD92-FM91,IF(A92&lt;'Données projet'!$A$218,$FB$205^A92,IF(A92='Données projet'!$A$218,'Données projet'!$B$218,FE91+FD92-FM91)))</f>
        <v>261.7999999999999</v>
      </c>
      <c r="FF92" s="17">
        <f>FE92*VLOOKUP('Données projet'!$B$16,Paramètres!$A$1:$I$89,3,0)*VLOOKUP('Données projet'!$B$16,Paramètres!$A$1:$I$89,5,0)</f>
        <v>249.1288799999999</v>
      </c>
      <c r="FG92" s="13">
        <f t="shared" si="101"/>
        <v>60.399365736982055</v>
      </c>
      <c r="FH92" s="20">
        <f t="shared" si="76"/>
        <v>539.09502799191023</v>
      </c>
      <c r="FI92" s="59">
        <f t="shared" si="77"/>
        <v>827.02136823113688</v>
      </c>
      <c r="FJ92" s="59">
        <f ca="1">AVERAGE(OFFSET($FI$3,0,0,'Données projet'!$E$16+1,1))-AVERAGE(OFFSET($H$3,0,0,'Données projet'!$E$16+1,1))</f>
        <v>457.706832425622</v>
      </c>
      <c r="FK92" s="59">
        <f t="shared" si="102"/>
        <v>474.61768219844873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82.291237160796328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82.291237160796328</v>
      </c>
      <c r="FU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319</v>
      </c>
      <c r="GA92" s="17">
        <f>FZ92*VLOOKUP('Données projet'!$B$17,Paramètres!$A$1:$I$89,3,0)*VLOOKUP('Données projet'!$B$17,Paramètres!$A$1:$I$89,5,0)</f>
        <v>308.53680000000003</v>
      </c>
      <c r="GB92" s="13">
        <f t="shared" si="103"/>
        <v>72.963171684496103</v>
      </c>
      <c r="GC92" s="20">
        <f t="shared" si="79"/>
        <v>664.4457840171641</v>
      </c>
      <c r="GD92" s="59">
        <f t="shared" si="80"/>
        <v>952.37212425639063</v>
      </c>
      <c r="GE92" s="59">
        <f ca="1">AVERAGE(OFFSET($GD$3,0,0,'Données projet'!$E$17+1,1))-AVERAGE(OFFSET($H$3,0,0,'Données projet'!$E$17+1,1))</f>
        <v>428.11167311086814</v>
      </c>
      <c r="GF92" s="59">
        <f t="shared" si="104"/>
        <v>415.69449942923609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43.879194981573853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43.879194981573853</v>
      </c>
      <c r="GP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1.1368683772161603E-13</v>
      </c>
      <c r="GV92" s="17">
        <f>GU92*VLOOKUP('Données projet'!$B$18,Paramètres!$A$1:$I$89,3,0)*VLOOKUP('Données projet'!$B$18,Paramètres!$A$1:$I$89,5,0)</f>
        <v>6.5087988332379613E-14</v>
      </c>
      <c r="GW92" s="13">
        <f t="shared" si="105"/>
        <v>1.0279249680474958E-12</v>
      </c>
      <c r="GX92" s="20">
        <f t="shared" si="82"/>
        <v>1.9036642323616162E-12</v>
      </c>
      <c r="GY92" s="59">
        <f t="shared" si="83"/>
        <v>287.92634023922847</v>
      </c>
      <c r="GZ92" s="59">
        <f ca="1">AVERAGE(OFFSET($GY$3,0,0,'Données projet'!$E$18+1,1))-AVERAGE(OFFSET($H$3,0,0,'Données projet'!$E$18+1,1))</f>
        <v>249.88816678272056</v>
      </c>
      <c r="HA92" s="59">
        <f t="shared" si="106"/>
        <v>432.10802787437319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25.816656098123286</v>
      </c>
      <c r="HH92" s="21">
        <f>EXP(-LN(2)/25)*HH91+(1-EXP(-LN(2)/25))/(LN(2)/25)*Calculateur!HC92*Calculateur!HE92*VLOOKUP('Données projet'!$B$18,Paramètres!$A$1:$I$89,3,0)*0.475*44/12</f>
        <v>4.1907612400845276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30.007417338207812</v>
      </c>
    </row>
    <row r="93" spans="1:218" x14ac:dyDescent="0.3">
      <c r="A93" s="10">
        <f t="shared" si="85"/>
        <v>90</v>
      </c>
      <c r="B93" s="71">
        <f>'Scénario référence'!$B$16*5+'Scénario référence'!$B$17*0+'Scénario référence'!$B$18*5</f>
        <v>1.4000000000000001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5.1333333333333337</v>
      </c>
      <c r="H93" s="65">
        <f t="shared" si="56"/>
        <v>236.13333333333335</v>
      </c>
      <c r="I93" s="6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319</v>
      </c>
      <c r="O93" s="13">
        <f>N93*VLOOKUP('Données projet'!$B$9,Paramètres!$A$1:$I$89,3,0)*VLOOKUP('Données projet'!$B$9,Paramètres!$A$1:$I$89,5,0)</f>
        <v>253.79640000000001</v>
      </c>
      <c r="P93" s="13">
        <f t="shared" si="87"/>
        <v>61.39816832228076</v>
      </c>
      <c r="Q93" s="20">
        <f t="shared" si="54"/>
        <v>548.96387316130563</v>
      </c>
      <c r="R93" s="59">
        <f t="shared" si="55"/>
        <v>836.98401264248946</v>
      </c>
      <c r="S93" s="59">
        <f ca="1">AVERAGE(OFFSET($R$3,0,0,'Données projet'!$E$9+1,1))-AVERAGE(OFFSET($H$3,0,0,'Données projet'!$E$9+1,1))</f>
        <v>360.06385535620069</v>
      </c>
      <c r="T93" s="59">
        <f t="shared" si="88"/>
        <v>350.82516032456408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43.615785156659349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43.615785156659349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298.58399999999995</v>
      </c>
      <c r="AK93" s="13">
        <f t="shared" si="89"/>
        <v>70.879533797607607</v>
      </c>
      <c r="AL93" s="20">
        <f t="shared" si="58"/>
        <v>643.48232136416652</v>
      </c>
      <c r="AM93" s="59">
        <f t="shared" si="59"/>
        <v>931.50246084535024</v>
      </c>
      <c r="AN93" s="59">
        <f ca="1">AVERAGE(OFFSET($AM$3,0,0,'Données projet'!$E$10+1,1))-AVERAGE(OFFSET($H$3,0,0,'Données projet'!$E$10+1,1))</f>
        <v>448.65237942538027</v>
      </c>
      <c r="AO93" s="59">
        <f t="shared" si="90"/>
        <v>283.56749129825107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88.810100212327953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88.810100212327953</v>
      </c>
      <c r="AY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377</v>
      </c>
      <c r="BB93" s="12">
        <f>VLOOKUP(A93,'Données projet'!$A$87:$I$107,9,0)</f>
        <v>7.8</v>
      </c>
      <c r="BC93" s="12">
        <f t="array" ref="BC93">INDEX(BB:BB,MIN(IF(ISNUMBER(BB93:BB289),ROW(BB93:BB289),"")))</f>
        <v>7.8</v>
      </c>
      <c r="BD93" s="12">
        <f>IF('Données projet'!$A$88&gt;35,BD92+BC93-BL92,IF(A93&lt;'Données projet'!$A$88,$BA$205^A93,IF(A93='Données projet'!$A$88,'Données projet'!$B$88,BD92+BC93-BL92)))</f>
        <v>376.99999999999983</v>
      </c>
      <c r="BE93" s="13">
        <f>BD93*VLOOKUP('Données projet'!$B$11,Paramètres!$A$1:$I$89,3,0)*VLOOKUP('Données projet'!$B$11,Paramètres!$A$1:$I$89,5,0)</f>
        <v>323.46599999999989</v>
      </c>
      <c r="BF93" s="13">
        <f t="shared" si="91"/>
        <v>76.074069581431147</v>
      </c>
      <c r="BG93" s="20">
        <f t="shared" si="61"/>
        <v>695.86562118765903</v>
      </c>
      <c r="BH93" s="59">
        <f t="shared" si="62"/>
        <v>983.88576066884275</v>
      </c>
      <c r="BI93" s="59">
        <f ca="1">AVERAGE(OFFSET($BH$3,0,0,'Données projet'!$E$11+1,1))-AVERAGE(OFFSET($H$3,0,0,'Données projet'!$E$11+1,1))</f>
        <v>456.76871853389395</v>
      </c>
      <c r="BJ93" s="59">
        <f t="shared" si="92"/>
        <v>262.12425810289176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26</v>
      </c>
      <c r="BM93" s="16">
        <f>IF(ISNA(VLOOKUP(A93,'Données projet'!$A$87:$I$107,5,0)),0%,VLOOKUP(A93,'Données projet'!$A$87:$I$107,5,0)*VLOOKUP('Données projet'!$B$11,Paramètres!$A$1:$I$89,7,0))</f>
        <v>0.53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102.34098899349287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102.34098899349287</v>
      </c>
      <c r="BT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255.00000000000006</v>
      </c>
      <c r="BZ93" s="13">
        <f>BY93*VLOOKUP('Données projet'!$B$12,Paramètres!$A$1:$I$89,3,0)*VLOOKUP('Données projet'!$B$12,Paramètres!$A$1:$I$89,5,0)</f>
        <v>186.96600000000004</v>
      </c>
      <c r="CA93" s="13">
        <f t="shared" si="93"/>
        <v>46.868551400324648</v>
      </c>
      <c r="CB93" s="20">
        <f t="shared" si="64"/>
        <v>407.26184368889881</v>
      </c>
      <c r="CC93" s="59">
        <f t="shared" si="65"/>
        <v>695.28198317008264</v>
      </c>
      <c r="CD93" s="59">
        <f ca="1">AVERAGE(OFFSET($CC$3,0,0,'Données projet'!$E$12+1,1))-AVERAGE(OFFSET($H$3,0,0,'Données projet'!$E$12+1,1))</f>
        <v>242.65851607945316</v>
      </c>
      <c r="CE93" s="59">
        <f t="shared" si="94"/>
        <v>218.9349999985487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249.0000000000002</v>
      </c>
      <c r="CU93" s="17">
        <f>CT93*VLOOKUP('Données projet'!$B$13,Paramètres!$A$1:$I$89,3,0)*VLOOKUP('Données projet'!$B$13,Paramètres!$A$1:$I$89,5,0)</f>
        <v>217.52640000000019</v>
      </c>
      <c r="CV93" s="13">
        <f t="shared" si="95"/>
        <v>53.576907690651304</v>
      </c>
      <c r="CW93" s="20">
        <f t="shared" si="67"/>
        <v>472.17159422788467</v>
      </c>
      <c r="CX93" s="59">
        <f t="shared" si="68"/>
        <v>760.19173370906844</v>
      </c>
      <c r="CY93" s="59">
        <f ca="1">AVERAGE(OFFSET($CX$3,0,0,'Données projet'!$E$13+1,1))-AVERAGE(OFFSET($H$3,0,0,'Données projet'!$E$13+1,1))</f>
        <v>326.9460696675867</v>
      </c>
      <c r="CZ93" s="59">
        <f t="shared" si="96"/>
        <v>393.4020374592568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42.026213692097436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42.026213692097436</v>
      </c>
      <c r="DJ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349.00000000000017</v>
      </c>
      <c r="DP93" s="17">
        <f>DO93*VLOOKUP('Données projet'!$B$14,Paramètres!$A$1:$I$89,3,0)*VLOOKUP('Données projet'!$B$14,Paramètres!$A$1:$I$89,5,0)</f>
        <v>272.22000000000014</v>
      </c>
      <c r="DQ93" s="13">
        <f t="shared" si="97"/>
        <v>65.320184547527205</v>
      </c>
      <c r="DR93" s="20">
        <f t="shared" si="70"/>
        <v>587.88248808694345</v>
      </c>
      <c r="DS93" s="59">
        <f t="shared" si="71"/>
        <v>875.90262756812717</v>
      </c>
      <c r="DT93" s="59">
        <f ca="1">AVERAGE(OFFSET($DS$3,0,0,'Données projet'!$E$14+1,1))-AVERAGE(OFFSET($H$3,0,0,'Données projet'!$E$14+1,1))</f>
        <v>364.34528546733799</v>
      </c>
      <c r="DU93" s="59">
        <f t="shared" si="98"/>
        <v>346.5839763411152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58.325337868978295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58.325337868978295</v>
      </c>
      <c r="EE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213.98519999999999</v>
      </c>
      <c r="EL93" s="13">
        <f t="shared" si="99"/>
        <v>52.805497044008654</v>
      </c>
      <c r="EM93" s="20">
        <f t="shared" si="73"/>
        <v>464.66046401831505</v>
      </c>
      <c r="EN93" s="59">
        <f t="shared" si="74"/>
        <v>752.68060349949883</v>
      </c>
      <c r="EO93" s="59">
        <f ca="1">AVERAGE(OFFSET($EN$3,0,0,'Données projet'!$E$15+1,1))-AVERAGE(OFFSET($H$3,0,0,'Données projet'!$E$15+1,1))</f>
        <v>310.38232870602445</v>
      </c>
      <c r="EP93" s="59">
        <f t="shared" si="100"/>
        <v>303.45934457265537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36.774093367379443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36.774093367379443</v>
      </c>
      <c r="EZ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267</v>
      </c>
      <c r="FC93" s="12">
        <f>VLOOKUP(A93,'Données projet'!$A$217:$I$237,9,0)</f>
        <v>5.2</v>
      </c>
      <c r="FD93" s="12">
        <f t="array" ref="FD93">INDEX(FC:FC,MIN(IF(ISNUMBER(FC93:FC289),ROW(FC93:FC289),"")))</f>
        <v>5.2</v>
      </c>
      <c r="FE93" s="12">
        <f>IF('Données projet'!$A$218&gt;35,FE92+FD93-FM92,IF(A93&lt;'Données projet'!$A$218,$FB$205^A93,IF(A93='Données projet'!$A$218,'Données projet'!$B$218,FE92+FD93-FM92)))</f>
        <v>266.99999999999989</v>
      </c>
      <c r="FF93" s="17">
        <f>FE93*VLOOKUP('Données projet'!$B$16,Paramètres!$A$1:$I$89,3,0)*VLOOKUP('Données projet'!$B$16,Paramètres!$A$1:$I$89,5,0)</f>
        <v>254.07719999999989</v>
      </c>
      <c r="FG93" s="13">
        <f t="shared" si="101"/>
        <v>61.458188159552705</v>
      </c>
      <c r="FH93" s="20">
        <f t="shared" si="76"/>
        <v>549.55746771122074</v>
      </c>
      <c r="FI93" s="59">
        <f t="shared" si="77"/>
        <v>837.57760719240446</v>
      </c>
      <c r="FJ93" s="59">
        <f ca="1">AVERAGE(OFFSET($FI$3,0,0,'Données projet'!$E$16+1,1))-AVERAGE(OFFSET($H$3,0,0,'Données projet'!$E$16+1,1))</f>
        <v>457.706832425622</v>
      </c>
      <c r="FK93" s="59">
        <f t="shared" si="102"/>
        <v>474.61768219844873</v>
      </c>
      <c r="FL93" s="15">
        <f>IF(ISNA(VLOOKUP(A93,'Données projet'!$A$217:$I$237,3,0)),0,VLOOKUP(A93,'Données projet'!$A$217:$I$237,3,0))</f>
        <v>17</v>
      </c>
      <c r="FM93" s="15">
        <f>IF(ISNA(VLOOKUP(A93,'Données projet'!$A$217:$I$237,4,0)),0,VLOOKUP(A93,'Données projet'!$A$217:$I$237,4,0))</f>
        <v>24</v>
      </c>
      <c r="FN93" s="16">
        <f>IF(ISNA(VLOOKUP(A93,'Données projet'!$A$217:$I$237,5,0)),0%,VLOOKUP(A93,'Données projet'!$A$217:$I$237,5,0)*VLOOKUP('Données projet'!$B$16,Paramètres!$A$1:$I$89,7,0))</f>
        <v>0.43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91.533841320619558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91.533841320619558</v>
      </c>
      <c r="FU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319</v>
      </c>
      <c r="GA93" s="17">
        <f>FZ93*VLOOKUP('Données projet'!$B$17,Paramètres!$A$1:$I$89,3,0)*VLOOKUP('Données projet'!$B$17,Paramètres!$A$1:$I$89,5,0)</f>
        <v>308.53680000000003</v>
      </c>
      <c r="GB93" s="13">
        <f t="shared" si="103"/>
        <v>72.963171684496103</v>
      </c>
      <c r="GC93" s="20">
        <f t="shared" si="79"/>
        <v>664.4457840171641</v>
      </c>
      <c r="GD93" s="59">
        <f t="shared" si="80"/>
        <v>952.46592349834782</v>
      </c>
      <c r="GE93" s="59">
        <f ca="1">AVERAGE(OFFSET($GD$3,0,0,'Données projet'!$E$17+1,1))-AVERAGE(OFFSET($H$3,0,0,'Données projet'!$E$17+1,1))</f>
        <v>428.11167311086814</v>
      </c>
      <c r="GF93" s="59">
        <f t="shared" si="104"/>
        <v>415.69449942923609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43.018750731651437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43.018750731651437</v>
      </c>
      <c r="GP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1.1368683772161603E-13</v>
      </c>
      <c r="GV93" s="17">
        <f>GU93*VLOOKUP('Données projet'!$B$18,Paramètres!$A$1:$I$89,3,0)*VLOOKUP('Données projet'!$B$18,Paramètres!$A$1:$I$89,5,0)</f>
        <v>6.5087988332379613E-14</v>
      </c>
      <c r="GW93" s="13">
        <f t="shared" si="105"/>
        <v>1.0279249680474958E-12</v>
      </c>
      <c r="GX93" s="20">
        <f t="shared" si="82"/>
        <v>1.9036642323616162E-12</v>
      </c>
      <c r="GY93" s="59">
        <f t="shared" si="83"/>
        <v>288.02013948118565</v>
      </c>
      <c r="GZ93" s="59">
        <f ca="1">AVERAGE(OFFSET($GY$3,0,0,'Données projet'!$E$18+1,1))-AVERAGE(OFFSET($H$3,0,0,'Données projet'!$E$18+1,1))</f>
        <v>249.88816678272056</v>
      </c>
      <c r="HA93" s="59">
        <f t="shared" si="106"/>
        <v>432.10802787437319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25.31040721864446</v>
      </c>
      <c r="HH93" s="21">
        <f>EXP(-LN(2)/25)*HH92+(1-EXP(-LN(2)/25))/(LN(2)/25)*Calculateur!HC93*Calculateur!HE93*VLOOKUP('Données projet'!$B$18,Paramètres!$A$1:$I$89,3,0)*0.475*44/12</f>
        <v>4.076164653591861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29.386571872236321</v>
      </c>
    </row>
    <row r="94" spans="1:218" x14ac:dyDescent="0.3">
      <c r="A94" s="10">
        <f t="shared" si="85"/>
        <v>91</v>
      </c>
      <c r="B94" s="71">
        <f>'Scénario référence'!$B$16*5+'Scénario référence'!$B$17*0+'Scénario référence'!$B$18*5</f>
        <v>1.4000000000000001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5.1333333333333337</v>
      </c>
      <c r="H94" s="65">
        <f t="shared" si="56"/>
        <v>236.13333333333335</v>
      </c>
      <c r="I94" s="6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319</v>
      </c>
      <c r="O94" s="13">
        <f>N94*VLOOKUP('Données projet'!$B$9,Paramètres!$A$1:$I$89,3,0)*VLOOKUP('Données projet'!$B$9,Paramètres!$A$1:$I$89,5,0)</f>
        <v>253.79640000000001</v>
      </c>
      <c r="P94" s="13">
        <f t="shared" si="87"/>
        <v>61.39816832228076</v>
      </c>
      <c r="Q94" s="20">
        <f t="shared" si="54"/>
        <v>548.96387316130563</v>
      </c>
      <c r="R94" s="59">
        <f t="shared" si="55"/>
        <v>837.07618467730231</v>
      </c>
      <c r="S94" s="59">
        <f ca="1">AVERAGE(OFFSET($R$3,0,0,'Données projet'!$E$9+1,1))-AVERAGE(OFFSET($H$3,0,0,'Données projet'!$E$9+1,1))</f>
        <v>360.06385535620069</v>
      </c>
      <c r="T94" s="59">
        <f t="shared" si="88"/>
        <v>350.82516032456408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42.760506212739379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42.760506212739379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278.85935999999992</v>
      </c>
      <c r="AK94" s="13">
        <f t="shared" si="89"/>
        <v>66.725901622172387</v>
      </c>
      <c r="AL94" s="20">
        <f t="shared" si="58"/>
        <v>601.8943306586167</v>
      </c>
      <c r="AM94" s="59">
        <f t="shared" si="59"/>
        <v>890.00664217461326</v>
      </c>
      <c r="AN94" s="59">
        <f ca="1">AVERAGE(OFFSET($AM$3,0,0,'Données projet'!$E$10+1,1))-AVERAGE(OFFSET($H$3,0,0,'Données projet'!$E$10+1,1))</f>
        <v>448.65237942538027</v>
      </c>
      <c r="AO94" s="59">
        <f t="shared" si="90"/>
        <v>283.56749129825107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87.068588315976612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87.068588315976612</v>
      </c>
      <c r="AY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</v>
      </c>
      <c r="BD94" s="12">
        <f>IF('Données projet'!$A$88&gt;35,BD93+BC94-BL93,IF(A94&lt;'Données projet'!$A$88,$BA$205^A94,IF(A94='Données projet'!$A$88,'Données projet'!$B$88,BD93+BC94-BL93)))</f>
        <v>358.59999999999985</v>
      </c>
      <c r="BE94" s="13">
        <f>BD94*VLOOKUP('Données projet'!$B$11,Paramètres!$A$1:$I$89,3,0)*VLOOKUP('Données projet'!$B$11,Paramètres!$A$1:$I$89,5,0)</f>
        <v>307.67879999999991</v>
      </c>
      <c r="BF94" s="13">
        <f t="shared" si="91"/>
        <v>72.783859383050768</v>
      </c>
      <c r="BG94" s="20">
        <f t="shared" si="61"/>
        <v>662.63913175881328</v>
      </c>
      <c r="BH94" s="59">
        <f t="shared" si="62"/>
        <v>950.75144327480984</v>
      </c>
      <c r="BI94" s="59">
        <f ca="1">AVERAGE(OFFSET($BH$3,0,0,'Données projet'!$E$11+1,1))-AVERAGE(OFFSET($H$3,0,0,'Données projet'!$E$11+1,1))</f>
        <v>456.76871853389395</v>
      </c>
      <c r="BJ94" s="59">
        <f t="shared" si="92"/>
        <v>262.12425810289176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100.33414462117011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100.33414462117011</v>
      </c>
      <c r="BT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255.00000000000006</v>
      </c>
      <c r="BZ94" s="13">
        <f>BY94*VLOOKUP('Données projet'!$B$12,Paramètres!$A$1:$I$89,3,0)*VLOOKUP('Données projet'!$B$12,Paramètres!$A$1:$I$89,5,0)</f>
        <v>186.96600000000004</v>
      </c>
      <c r="CA94" s="13">
        <f t="shared" si="93"/>
        <v>46.868551400324648</v>
      </c>
      <c r="CB94" s="20">
        <f t="shared" si="64"/>
        <v>407.26184368889881</v>
      </c>
      <c r="CC94" s="59">
        <f t="shared" si="65"/>
        <v>695.37415520489549</v>
      </c>
      <c r="CD94" s="59">
        <f ca="1">AVERAGE(OFFSET($CC$3,0,0,'Données projet'!$E$12+1,1))-AVERAGE(OFFSET($H$3,0,0,'Données projet'!$E$12+1,1))</f>
        <v>242.65851607945316</v>
      </c>
      <c r="CE94" s="59">
        <f t="shared" si="94"/>
        <v>218.9349999985487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249.0000000000002</v>
      </c>
      <c r="CU94" s="17">
        <f>CT94*VLOOKUP('Données projet'!$B$13,Paramètres!$A$1:$I$89,3,0)*VLOOKUP('Données projet'!$B$13,Paramètres!$A$1:$I$89,5,0)</f>
        <v>217.52640000000019</v>
      </c>
      <c r="CV94" s="13">
        <f t="shared" si="95"/>
        <v>53.576907690651304</v>
      </c>
      <c r="CW94" s="20">
        <f t="shared" si="67"/>
        <v>472.17159422788467</v>
      </c>
      <c r="CX94" s="59">
        <f t="shared" si="68"/>
        <v>760.28390574388129</v>
      </c>
      <c r="CY94" s="59">
        <f ca="1">AVERAGE(OFFSET($CX$3,0,0,'Données projet'!$E$13+1,1))-AVERAGE(OFFSET($H$3,0,0,'Données projet'!$E$13+1,1))</f>
        <v>326.9460696675867</v>
      </c>
      <c r="CZ94" s="59">
        <f t="shared" si="96"/>
        <v>393.4020374592568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41.202105275054663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41.202105275054663</v>
      </c>
      <c r="DJ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349.00000000000017</v>
      </c>
      <c r="DP94" s="17">
        <f>DO94*VLOOKUP('Données projet'!$B$14,Paramètres!$A$1:$I$89,3,0)*VLOOKUP('Données projet'!$B$14,Paramètres!$A$1:$I$89,5,0)</f>
        <v>272.22000000000014</v>
      </c>
      <c r="DQ94" s="13">
        <f t="shared" si="97"/>
        <v>65.320184547527205</v>
      </c>
      <c r="DR94" s="20">
        <f t="shared" si="70"/>
        <v>587.88248808694345</v>
      </c>
      <c r="DS94" s="59">
        <f t="shared" si="71"/>
        <v>875.99479960294002</v>
      </c>
      <c r="DT94" s="59">
        <f ca="1">AVERAGE(OFFSET($DS$3,0,0,'Données projet'!$E$14+1,1))-AVERAGE(OFFSET($H$3,0,0,'Données projet'!$E$14+1,1))</f>
        <v>364.34528546733799</v>
      </c>
      <c r="DU94" s="59">
        <f t="shared" si="98"/>
        <v>346.5839763411152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57.181613568310993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57.181613568310993</v>
      </c>
      <c r="EE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213.98519999999999</v>
      </c>
      <c r="EL94" s="13">
        <f t="shared" si="99"/>
        <v>52.805497044008654</v>
      </c>
      <c r="EM94" s="20">
        <f t="shared" si="73"/>
        <v>464.66046401831505</v>
      </c>
      <c r="EN94" s="59">
        <f t="shared" si="74"/>
        <v>752.77277553431168</v>
      </c>
      <c r="EO94" s="59">
        <f ca="1">AVERAGE(OFFSET($EN$3,0,0,'Données projet'!$E$15+1,1))-AVERAGE(OFFSET($H$3,0,0,'Données projet'!$E$15+1,1))</f>
        <v>310.38232870602445</v>
      </c>
      <c r="EP94" s="59">
        <f t="shared" si="100"/>
        <v>303.45934457265537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36.052975826427307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36.052975826427307</v>
      </c>
      <c r="EZ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4.8</v>
      </c>
      <c r="FE94" s="12">
        <f>IF('Données projet'!$A$218&gt;35,FE93+FD94-FM93,IF(A94&lt;'Données projet'!$A$218,$FB$205^A94,IF(A94='Données projet'!$A$218,'Données projet'!$B$218,FE93+FD94-FM93)))</f>
        <v>247.7999999999999</v>
      </c>
      <c r="FF94" s="17">
        <f>FE94*VLOOKUP('Données projet'!$B$16,Paramètres!$A$1:$I$89,3,0)*VLOOKUP('Données projet'!$B$16,Paramètres!$A$1:$I$89,5,0)</f>
        <v>235.80647999999991</v>
      </c>
      <c r="FG94" s="13">
        <f t="shared" si="101"/>
        <v>57.5363506739358</v>
      </c>
      <c r="FH94" s="20">
        <f t="shared" si="76"/>
        <v>510.90543009043807</v>
      </c>
      <c r="FI94" s="59">
        <f t="shared" si="77"/>
        <v>799.0177416064347</v>
      </c>
      <c r="FJ94" s="59">
        <f ca="1">AVERAGE(OFFSET($FI$3,0,0,'Données projet'!$E$16+1,1))-AVERAGE(OFFSET($H$3,0,0,'Données projet'!$E$16+1,1))</f>
        <v>457.706832425622</v>
      </c>
      <c r="FK94" s="59">
        <f t="shared" si="102"/>
        <v>474.61768219844873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89.73891852245265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89.73891852245265</v>
      </c>
      <c r="FU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319</v>
      </c>
      <c r="GA94" s="17">
        <f>FZ94*VLOOKUP('Données projet'!$B$17,Paramètres!$A$1:$I$89,3,0)*VLOOKUP('Données projet'!$B$17,Paramètres!$A$1:$I$89,5,0)</f>
        <v>308.53680000000003</v>
      </c>
      <c r="GB94" s="13">
        <f t="shared" si="103"/>
        <v>72.963171684496103</v>
      </c>
      <c r="GC94" s="20">
        <f t="shared" si="79"/>
        <v>664.4457840171641</v>
      </c>
      <c r="GD94" s="59">
        <f t="shared" si="80"/>
        <v>952.55809553316067</v>
      </c>
      <c r="GE94" s="59">
        <f ca="1">AVERAGE(OFFSET($GD$3,0,0,'Données projet'!$E$17+1,1))-AVERAGE(OFFSET($H$3,0,0,'Données projet'!$E$17+1,1))</f>
        <v>428.11167311086814</v>
      </c>
      <c r="GF94" s="59">
        <f t="shared" si="104"/>
        <v>415.69449942923609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42.17517926865083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42.17517926865083</v>
      </c>
      <c r="GP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1.1368683772161603E-13</v>
      </c>
      <c r="GV94" s="17">
        <f>GU94*VLOOKUP('Données projet'!$B$18,Paramètres!$A$1:$I$89,3,0)*VLOOKUP('Données projet'!$B$18,Paramètres!$A$1:$I$89,5,0)</f>
        <v>6.5087988332379613E-14</v>
      </c>
      <c r="GW94" s="13">
        <f t="shared" si="105"/>
        <v>1.0279249680474958E-12</v>
      </c>
      <c r="GX94" s="20">
        <f t="shared" si="82"/>
        <v>1.9036642323616162E-12</v>
      </c>
      <c r="GY94" s="59">
        <f t="shared" si="83"/>
        <v>288.1123115159985</v>
      </c>
      <c r="GZ94" s="59">
        <f ca="1">AVERAGE(OFFSET($GY$3,0,0,'Données projet'!$E$18+1,1))-AVERAGE(OFFSET($H$3,0,0,'Données projet'!$E$18+1,1))</f>
        <v>249.88816678272056</v>
      </c>
      <c r="HA94" s="59">
        <f t="shared" si="106"/>
        <v>432.10802787437319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24.814085570910887</v>
      </c>
      <c r="HH94" s="21">
        <f>EXP(-LN(2)/25)*HH93+(1-EXP(-LN(2)/25))/(LN(2)/25)*Calculateur!HC94*Calculateur!HE94*VLOOKUP('Données projet'!$B$18,Paramètres!$A$1:$I$89,3,0)*0.475*44/12</f>
        <v>3.9647017167832086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28.778787287694094</v>
      </c>
    </row>
    <row r="95" spans="1:218" x14ac:dyDescent="0.3">
      <c r="A95" s="10">
        <f t="shared" si="85"/>
        <v>92</v>
      </c>
      <c r="B95" s="71">
        <f>'Scénario référence'!$B$16*5+'Scénario référence'!$B$17*0+'Scénario référence'!$B$18*5</f>
        <v>1.4000000000000001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5.1333333333333337</v>
      </c>
      <c r="H95" s="65">
        <f t="shared" si="56"/>
        <v>236.13333333333335</v>
      </c>
      <c r="I95" s="6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319</v>
      </c>
      <c r="O95" s="13">
        <f>N95*VLOOKUP('Données projet'!$B$9,Paramètres!$A$1:$I$89,3,0)*VLOOKUP('Données projet'!$B$9,Paramètres!$A$1:$I$89,5,0)</f>
        <v>253.79640000000001</v>
      </c>
      <c r="P95" s="13">
        <f t="shared" si="87"/>
        <v>61.39816832228076</v>
      </c>
      <c r="Q95" s="20">
        <f t="shared" si="54"/>
        <v>548.96387316130563</v>
      </c>
      <c r="R95" s="59">
        <f t="shared" si="55"/>
        <v>837.16675773337693</v>
      </c>
      <c r="S95" s="59">
        <f ca="1">AVERAGE(OFFSET($R$3,0,0,'Données projet'!$E$9+1,1))-AVERAGE(OFFSET($H$3,0,0,'Données projet'!$E$9+1,1))</f>
        <v>360.06385535620069</v>
      </c>
      <c r="T95" s="59">
        <f t="shared" si="88"/>
        <v>350.82516032456408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41.921998767241035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41.921998767241035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284.46911999999992</v>
      </c>
      <c r="AK95" s="13">
        <f t="shared" si="89"/>
        <v>67.91059023737904</v>
      </c>
      <c r="AL95" s="20">
        <f t="shared" si="58"/>
        <v>613.72799533010163</v>
      </c>
      <c r="AM95" s="59">
        <f t="shared" si="59"/>
        <v>901.93087990217293</v>
      </c>
      <c r="AN95" s="59">
        <f ca="1">AVERAGE(OFFSET($AM$3,0,0,'Données projet'!$E$10+1,1))-AVERAGE(OFFSET($H$3,0,0,'Données projet'!$E$10+1,1))</f>
        <v>448.65237942538027</v>
      </c>
      <c r="AO95" s="59">
        <f t="shared" si="90"/>
        <v>283.56749129825107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85.361226405695348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85.361226405695348</v>
      </c>
      <c r="AY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</v>
      </c>
      <c r="BD95" s="12">
        <f>IF('Données projet'!$A$88&gt;35,BD94+BC95-BL94,IF(A95&lt;'Données projet'!$A$88,$BA$205^A95,IF(A95='Données projet'!$A$88,'Données projet'!$B$88,BD94+BC95-BL94)))</f>
        <v>366.19999999999987</v>
      </c>
      <c r="BE95" s="13">
        <f>BD95*VLOOKUP('Données projet'!$B$11,Paramètres!$A$1:$I$89,3,0)*VLOOKUP('Données projet'!$B$11,Paramètres!$A$1:$I$89,5,0)</f>
        <v>314.19959999999992</v>
      </c>
      <c r="BF95" s="13">
        <f t="shared" si="91"/>
        <v>74.145185764564587</v>
      </c>
      <c r="BG95" s="20">
        <f t="shared" si="61"/>
        <v>676.36716853994983</v>
      </c>
      <c r="BH95" s="59">
        <f t="shared" si="62"/>
        <v>964.57005311202113</v>
      </c>
      <c r="BI95" s="59">
        <f ca="1">AVERAGE(OFFSET($BH$3,0,0,'Données projet'!$E$11+1,1))-AVERAGE(OFFSET($H$3,0,0,'Données projet'!$E$11+1,1))</f>
        <v>456.76871853389395</v>
      </c>
      <c r="BJ95" s="59">
        <f t="shared" si="92"/>
        <v>262.12425810289176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98.366653242934404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98.366653242934404</v>
      </c>
      <c r="BT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255.00000000000006</v>
      </c>
      <c r="BZ95" s="13">
        <f>BY95*VLOOKUP('Données projet'!$B$12,Paramètres!$A$1:$I$89,3,0)*VLOOKUP('Données projet'!$B$12,Paramètres!$A$1:$I$89,5,0)</f>
        <v>186.96600000000004</v>
      </c>
      <c r="CA95" s="13">
        <f t="shared" si="93"/>
        <v>46.868551400324648</v>
      </c>
      <c r="CB95" s="20">
        <f t="shared" si="64"/>
        <v>407.26184368889881</v>
      </c>
      <c r="CC95" s="59">
        <f t="shared" si="65"/>
        <v>695.46472826097011</v>
      </c>
      <c r="CD95" s="59">
        <f ca="1">AVERAGE(OFFSET($CC$3,0,0,'Données projet'!$E$12+1,1))-AVERAGE(OFFSET($H$3,0,0,'Données projet'!$E$12+1,1))</f>
        <v>242.65851607945316</v>
      </c>
      <c r="CE95" s="59">
        <f t="shared" si="94"/>
        <v>218.9349999985487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249.0000000000002</v>
      </c>
      <c r="CU95" s="17">
        <f>CT95*VLOOKUP('Données projet'!$B$13,Paramètres!$A$1:$I$89,3,0)*VLOOKUP('Données projet'!$B$13,Paramètres!$A$1:$I$89,5,0)</f>
        <v>217.52640000000019</v>
      </c>
      <c r="CV95" s="13">
        <f t="shared" si="95"/>
        <v>53.576907690651304</v>
      </c>
      <c r="CW95" s="20">
        <f t="shared" si="67"/>
        <v>472.17159422788467</v>
      </c>
      <c r="CX95" s="59">
        <f t="shared" si="68"/>
        <v>760.37447879995602</v>
      </c>
      <c r="CY95" s="59">
        <f ca="1">AVERAGE(OFFSET($CX$3,0,0,'Données projet'!$E$13+1,1))-AVERAGE(OFFSET($H$3,0,0,'Données projet'!$E$13+1,1))</f>
        <v>326.9460696675867</v>
      </c>
      <c r="CZ95" s="59">
        <f t="shared" si="96"/>
        <v>393.4020374592568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40.394157121413599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40.394157121413599</v>
      </c>
      <c r="DJ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349.00000000000017</v>
      </c>
      <c r="DP95" s="17">
        <f>DO95*VLOOKUP('Données projet'!$B$14,Paramètres!$A$1:$I$89,3,0)*VLOOKUP('Données projet'!$B$14,Paramètres!$A$1:$I$89,5,0)</f>
        <v>272.22000000000014</v>
      </c>
      <c r="DQ95" s="13">
        <f t="shared" si="97"/>
        <v>65.320184547527205</v>
      </c>
      <c r="DR95" s="20">
        <f t="shared" si="70"/>
        <v>587.88248808694345</v>
      </c>
      <c r="DS95" s="59">
        <f t="shared" si="71"/>
        <v>876.08537265901475</v>
      </c>
      <c r="DT95" s="59">
        <f ca="1">AVERAGE(OFFSET($DS$3,0,0,'Données projet'!$E$14+1,1))-AVERAGE(OFFSET($H$3,0,0,'Données projet'!$E$14+1,1))</f>
        <v>364.34528546733799</v>
      </c>
      <c r="DU95" s="59">
        <f t="shared" si="98"/>
        <v>346.5839763411152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56.060317003576841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56.060317003576841</v>
      </c>
      <c r="EE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213.98519999999999</v>
      </c>
      <c r="EL95" s="13">
        <f t="shared" si="99"/>
        <v>52.805497044008654</v>
      </c>
      <c r="EM95" s="20">
        <f t="shared" si="73"/>
        <v>464.66046401831505</v>
      </c>
      <c r="EN95" s="59">
        <f t="shared" si="74"/>
        <v>752.86334859038629</v>
      </c>
      <c r="EO95" s="59">
        <f ca="1">AVERAGE(OFFSET($EN$3,0,0,'Données projet'!$E$15+1,1))-AVERAGE(OFFSET($H$3,0,0,'Données projet'!$E$15+1,1))</f>
        <v>310.38232870602445</v>
      </c>
      <c r="EP95" s="59">
        <f t="shared" si="100"/>
        <v>303.45934457265537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35.345998960614978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35.345998960614978</v>
      </c>
      <c r="EZ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4.8</v>
      </c>
      <c r="FE95" s="12">
        <f>IF('Données projet'!$A$218&gt;35,FE94+FD95-FM94,IF(A95&lt;'Données projet'!$A$218,$FB$205^A95,IF(A95='Données projet'!$A$218,'Données projet'!$B$218,FE94+FD95-FM94)))</f>
        <v>252.59999999999991</v>
      </c>
      <c r="FF95" s="17">
        <f>FE95*VLOOKUP('Données projet'!$B$16,Paramètres!$A$1:$I$89,3,0)*VLOOKUP('Données projet'!$B$16,Paramètres!$A$1:$I$89,5,0)</f>
        <v>240.3741599999999</v>
      </c>
      <c r="FG95" s="13">
        <f t="shared" si="101"/>
        <v>58.520025528844819</v>
      </c>
      <c r="FH95" s="20">
        <f t="shared" si="76"/>
        <v>520.57403979607113</v>
      </c>
      <c r="FI95" s="59">
        <f t="shared" si="77"/>
        <v>808.77692436814243</v>
      </c>
      <c r="FJ95" s="59">
        <f ca="1">AVERAGE(OFFSET($FI$3,0,0,'Données projet'!$E$16+1,1))-AVERAGE(OFFSET($H$3,0,0,'Données projet'!$E$16+1,1))</f>
        <v>457.706832425622</v>
      </c>
      <c r="FK95" s="59">
        <f t="shared" si="102"/>
        <v>474.61768219844873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87.979193065562981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87.979193065562981</v>
      </c>
      <c r="FU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319</v>
      </c>
      <c r="GA95" s="17">
        <f>FZ95*VLOOKUP('Données projet'!$B$17,Paramètres!$A$1:$I$89,3,0)*VLOOKUP('Données projet'!$B$17,Paramètres!$A$1:$I$89,5,0)</f>
        <v>308.53680000000003</v>
      </c>
      <c r="GB95" s="13">
        <f t="shared" si="103"/>
        <v>72.963171684496103</v>
      </c>
      <c r="GC95" s="20">
        <f t="shared" si="79"/>
        <v>664.4457840171641</v>
      </c>
      <c r="GD95" s="59">
        <f t="shared" si="80"/>
        <v>952.6486685892354</v>
      </c>
      <c r="GE95" s="59">
        <f ca="1">AVERAGE(OFFSET($GD$3,0,0,'Données projet'!$E$17+1,1))-AVERAGE(OFFSET($H$3,0,0,'Données projet'!$E$17+1,1))</f>
        <v>428.11167311086814</v>
      </c>
      <c r="GF95" s="59">
        <f t="shared" si="104"/>
        <v>415.69449942923609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41.348149727511874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41.348149727511874</v>
      </c>
      <c r="GP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1.1368683772161603E-13</v>
      </c>
      <c r="GV95" s="17">
        <f>GU95*VLOOKUP('Données projet'!$B$18,Paramètres!$A$1:$I$89,3,0)*VLOOKUP('Données projet'!$B$18,Paramètres!$A$1:$I$89,5,0)</f>
        <v>6.5087988332379613E-14</v>
      </c>
      <c r="GW95" s="13">
        <f t="shared" si="105"/>
        <v>1.0279249680474958E-12</v>
      </c>
      <c r="GX95" s="20">
        <f t="shared" si="82"/>
        <v>1.9036642323616162E-12</v>
      </c>
      <c r="GY95" s="59">
        <f t="shared" si="83"/>
        <v>288.20288457207317</v>
      </c>
      <c r="GZ95" s="59">
        <f ca="1">AVERAGE(OFFSET($GY$3,0,0,'Données projet'!$E$18+1,1))-AVERAGE(OFFSET($H$3,0,0,'Données projet'!$E$18+1,1))</f>
        <v>249.88816678272056</v>
      </c>
      <c r="HA95" s="59">
        <f t="shared" si="106"/>
        <v>432.10802787437319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24.327496487963057</v>
      </c>
      <c r="HH95" s="21">
        <f>EXP(-LN(2)/25)*HH94+(1-EXP(-LN(2)/25))/(LN(2)/25)*Calculateur!HC95*Calculateur!HE95*VLOOKUP('Données projet'!$B$18,Paramètres!$A$1:$I$89,3,0)*0.475*44/12</f>
        <v>3.8562867398431697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28.183783227806227</v>
      </c>
    </row>
    <row r="96" spans="1:218" x14ac:dyDescent="0.3">
      <c r="A96" s="10">
        <f t="shared" si="85"/>
        <v>93</v>
      </c>
      <c r="B96" s="71">
        <f>'Scénario référence'!$B$16*5+'Scénario référence'!$B$17*0+'Scénario référence'!$B$18*5</f>
        <v>1.4000000000000001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5.1333333333333337</v>
      </c>
      <c r="H96" s="65">
        <f t="shared" si="56"/>
        <v>236.13333333333335</v>
      </c>
      <c r="I96" s="6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319</v>
      </c>
      <c r="O96" s="13">
        <f>N96*VLOOKUP('Données projet'!$B$9,Paramètres!$A$1:$I$89,3,0)*VLOOKUP('Données projet'!$B$9,Paramètres!$A$1:$I$89,5,0)</f>
        <v>253.79640000000001</v>
      </c>
      <c r="P96" s="13">
        <f t="shared" si="87"/>
        <v>61.39816832228076</v>
      </c>
      <c r="Q96" s="20">
        <f t="shared" si="54"/>
        <v>548.96387316130563</v>
      </c>
      <c r="R96" s="59">
        <f t="shared" si="55"/>
        <v>837.25575954941974</v>
      </c>
      <c r="S96" s="59">
        <f ca="1">AVERAGE(OFFSET($R$3,0,0,'Données projet'!$E$9+1,1))-AVERAGE(OFFSET($H$3,0,0,'Données projet'!$E$9+1,1))</f>
        <v>360.06385535620069</v>
      </c>
      <c r="T96" s="59">
        <f t="shared" si="88"/>
        <v>350.82516032456408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41.099933941309871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41.099933941309871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290.07887999999991</v>
      </c>
      <c r="AK96" s="13">
        <f t="shared" si="89"/>
        <v>69.092562427360406</v>
      </c>
      <c r="AL96" s="20">
        <f t="shared" si="58"/>
        <v>625.55692889431919</v>
      </c>
      <c r="AM96" s="59">
        <f t="shared" si="59"/>
        <v>913.84881528243329</v>
      </c>
      <c r="AN96" s="59">
        <f ca="1">AVERAGE(OFFSET($AM$3,0,0,'Données projet'!$E$10+1,1))-AVERAGE(OFFSET($H$3,0,0,'Données projet'!$E$10+1,1))</f>
        <v>448.65237942538027</v>
      </c>
      <c r="AO96" s="59">
        <f t="shared" si="90"/>
        <v>283.56749129825107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83.687344821086754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83.687344821086754</v>
      </c>
      <c r="AY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7.6</v>
      </c>
      <c r="BD96" s="12">
        <f>IF('Données projet'!$A$88&gt;35,BD95+BC96-BL95,IF(A96&lt;'Données projet'!$A$88,$BA$205^A96,IF(A96='Données projet'!$A$88,'Données projet'!$B$88,BD95+BC96-BL95)))</f>
        <v>373.7999999999999</v>
      </c>
      <c r="BE96" s="13">
        <f>BD96*VLOOKUP('Données projet'!$B$11,Paramètres!$A$1:$I$89,3,0)*VLOOKUP('Données projet'!$B$11,Paramètres!$A$1:$I$89,5,0)</f>
        <v>320.72039999999993</v>
      </c>
      <c r="BF96" s="13">
        <f t="shared" si="91"/>
        <v>75.503227270035708</v>
      </c>
      <c r="BG96" s="20">
        <f t="shared" si="61"/>
        <v>690.0894841619787</v>
      </c>
      <c r="BH96" s="59">
        <f t="shared" si="62"/>
        <v>978.38137055009281</v>
      </c>
      <c r="BI96" s="59">
        <f ca="1">AVERAGE(OFFSET($BH$3,0,0,'Données projet'!$E$11+1,1))-AVERAGE(OFFSET($H$3,0,0,'Données projet'!$E$11+1,1))</f>
        <v>456.76871853389395</v>
      </c>
      <c r="BJ96" s="59">
        <f t="shared" si="92"/>
        <v>262.12425810289176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96.437743170574649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96.437743170574649</v>
      </c>
      <c r="BT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255.00000000000006</v>
      </c>
      <c r="BZ96" s="13">
        <f>BY96*VLOOKUP('Données projet'!$B$12,Paramètres!$A$1:$I$89,3,0)*VLOOKUP('Données projet'!$B$12,Paramètres!$A$1:$I$89,5,0)</f>
        <v>186.96600000000004</v>
      </c>
      <c r="CA96" s="13">
        <f t="shared" si="93"/>
        <v>46.868551400324648</v>
      </c>
      <c r="CB96" s="20">
        <f t="shared" si="64"/>
        <v>407.26184368889881</v>
      </c>
      <c r="CC96" s="59">
        <f t="shared" si="65"/>
        <v>695.55373007701291</v>
      </c>
      <c r="CD96" s="59">
        <f ca="1">AVERAGE(OFFSET($CC$3,0,0,'Données projet'!$E$12+1,1))-AVERAGE(OFFSET($H$3,0,0,'Données projet'!$E$12+1,1))</f>
        <v>242.65851607945316</v>
      </c>
      <c r="CE96" s="59">
        <f t="shared" si="94"/>
        <v>218.9349999985487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249.0000000000002</v>
      </c>
      <c r="CU96" s="17">
        <f>CT96*VLOOKUP('Données projet'!$B$13,Paramètres!$A$1:$I$89,3,0)*VLOOKUP('Données projet'!$B$13,Paramètres!$A$1:$I$89,5,0)</f>
        <v>217.52640000000019</v>
      </c>
      <c r="CV96" s="13">
        <f t="shared" si="95"/>
        <v>53.576907690651304</v>
      </c>
      <c r="CW96" s="20">
        <f t="shared" si="67"/>
        <v>472.17159422788467</v>
      </c>
      <c r="CX96" s="59">
        <f t="shared" si="68"/>
        <v>760.46348061599883</v>
      </c>
      <c r="CY96" s="59">
        <f ca="1">AVERAGE(OFFSET($CX$3,0,0,'Données projet'!$E$13+1,1))-AVERAGE(OFFSET($H$3,0,0,'Données projet'!$E$13+1,1))</f>
        <v>326.9460696675867</v>
      </c>
      <c r="CZ96" s="59">
        <f t="shared" si="96"/>
        <v>393.4020374592568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39.602052338265722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39.602052338265722</v>
      </c>
      <c r="DJ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349.00000000000017</v>
      </c>
      <c r="DP96" s="17">
        <f>DO96*VLOOKUP('Données projet'!$B$14,Paramètres!$A$1:$I$89,3,0)*VLOOKUP('Données projet'!$B$14,Paramètres!$A$1:$I$89,5,0)</f>
        <v>272.22000000000014</v>
      </c>
      <c r="DQ96" s="13">
        <f t="shared" si="97"/>
        <v>65.320184547527205</v>
      </c>
      <c r="DR96" s="20">
        <f t="shared" si="70"/>
        <v>587.88248808694345</v>
      </c>
      <c r="DS96" s="59">
        <f t="shared" si="71"/>
        <v>876.17437447505756</v>
      </c>
      <c r="DT96" s="59">
        <f ca="1">AVERAGE(OFFSET($DS$3,0,0,'Données projet'!$E$14+1,1))-AVERAGE(OFFSET($H$3,0,0,'Données projet'!$E$14+1,1))</f>
        <v>364.34528546733799</v>
      </c>
      <c r="DU96" s="59">
        <f t="shared" si="98"/>
        <v>346.5839763411152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54.96100838055375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54.96100838055375</v>
      </c>
      <c r="EE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213.98519999999999</v>
      </c>
      <c r="EL96" s="13">
        <f t="shared" si="99"/>
        <v>52.805497044008654</v>
      </c>
      <c r="EM96" s="20">
        <f t="shared" si="73"/>
        <v>464.66046401831505</v>
      </c>
      <c r="EN96" s="59">
        <f t="shared" si="74"/>
        <v>752.9523504064291</v>
      </c>
      <c r="EO96" s="59">
        <f ca="1">AVERAGE(OFFSET($EN$3,0,0,'Données projet'!$E$15+1,1))-AVERAGE(OFFSET($H$3,0,0,'Données projet'!$E$15+1,1))</f>
        <v>310.38232870602445</v>
      </c>
      <c r="EP96" s="59">
        <f t="shared" si="100"/>
        <v>303.45934457265537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34.652885479927917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34.652885479927917</v>
      </c>
      <c r="EZ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4.8</v>
      </c>
      <c r="FE96" s="12">
        <f>IF('Données projet'!$A$218&gt;35,FE95+FD96-FM95,IF(A96&lt;'Données projet'!$A$218,$FB$205^A96,IF(A96='Données projet'!$A$218,'Données projet'!$B$218,FE95+FD96-FM95)))</f>
        <v>257.39999999999992</v>
      </c>
      <c r="FF96" s="17">
        <f>FE96*VLOOKUP('Données projet'!$B$16,Paramètres!$A$1:$I$89,3,0)*VLOOKUP('Données projet'!$B$16,Paramètres!$A$1:$I$89,5,0)</f>
        <v>244.94183999999993</v>
      </c>
      <c r="FG96" s="13">
        <f t="shared" si="101"/>
        <v>59.501526882688026</v>
      </c>
      <c r="FH96" s="20">
        <f t="shared" si="76"/>
        <v>530.23886398734817</v>
      </c>
      <c r="FI96" s="59">
        <f t="shared" si="77"/>
        <v>818.53075037546228</v>
      </c>
      <c r="FJ96" s="59">
        <f ca="1">AVERAGE(OFFSET($FI$3,0,0,'Données projet'!$E$16+1,1))-AVERAGE(OFFSET($H$3,0,0,'Données projet'!$E$16+1,1))</f>
        <v>457.706832425622</v>
      </c>
      <c r="FK96" s="59">
        <f t="shared" si="102"/>
        <v>474.61768219844873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86.253974751556385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86.253974751556385</v>
      </c>
      <c r="FU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319</v>
      </c>
      <c r="GA96" s="17">
        <f>FZ96*VLOOKUP('Données projet'!$B$17,Paramètres!$A$1:$I$89,3,0)*VLOOKUP('Données projet'!$B$17,Paramètres!$A$1:$I$89,5,0)</f>
        <v>308.53680000000003</v>
      </c>
      <c r="GB96" s="13">
        <f t="shared" si="103"/>
        <v>72.963171684496103</v>
      </c>
      <c r="GC96" s="20">
        <f t="shared" si="79"/>
        <v>664.4457840171641</v>
      </c>
      <c r="GD96" s="59">
        <f t="shared" si="80"/>
        <v>952.73767040527821</v>
      </c>
      <c r="GE96" s="59">
        <f ca="1">AVERAGE(OFFSET($GD$3,0,0,'Données projet'!$E$17+1,1))-AVERAGE(OFFSET($H$3,0,0,'Données projet'!$E$17+1,1))</f>
        <v>428.11167311086814</v>
      </c>
      <c r="GF96" s="59">
        <f t="shared" si="104"/>
        <v>415.69449942923609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40.537337731236441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40.537337731236441</v>
      </c>
      <c r="GP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1.1368683772161603E-13</v>
      </c>
      <c r="GV96" s="17">
        <f>GU96*VLOOKUP('Données projet'!$B$18,Paramètres!$A$1:$I$89,3,0)*VLOOKUP('Données projet'!$B$18,Paramètres!$A$1:$I$89,5,0)</f>
        <v>6.5087988332379613E-14</v>
      </c>
      <c r="GW96" s="13">
        <f t="shared" si="105"/>
        <v>1.0279249680474958E-12</v>
      </c>
      <c r="GX96" s="20">
        <f t="shared" si="82"/>
        <v>1.9036642323616162E-12</v>
      </c>
      <c r="GY96" s="59">
        <f t="shared" si="83"/>
        <v>288.29188638811598</v>
      </c>
      <c r="GZ96" s="59">
        <f ca="1">AVERAGE(OFFSET($GY$3,0,0,'Données projet'!$E$18+1,1))-AVERAGE(OFFSET($H$3,0,0,'Données projet'!$E$18+1,1))</f>
        <v>249.88816678272056</v>
      </c>
      <c r="HA96" s="59">
        <f t="shared" si="106"/>
        <v>432.10802787437319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23.850449120141796</v>
      </c>
      <c r="HH96" s="21">
        <f>EXP(-LN(2)/25)*HH95+(1-EXP(-LN(2)/25))/(LN(2)/25)*Calculateur!HC96*Calculateur!HE96*VLOOKUP('Données projet'!$B$18,Paramètres!$A$1:$I$89,3,0)*0.475*44/12</f>
        <v>3.7508363761488521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27.60128549629065</v>
      </c>
    </row>
    <row r="97" spans="1:218" x14ac:dyDescent="0.3">
      <c r="A97" s="10">
        <f t="shared" si="85"/>
        <v>94</v>
      </c>
      <c r="B97" s="71">
        <f>'Scénario référence'!$B$16*5+'Scénario référence'!$B$17*0+'Scénario référence'!$B$18*5</f>
        <v>1.4000000000000001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5.1333333333333337</v>
      </c>
      <c r="H97" s="65">
        <f t="shared" si="56"/>
        <v>236.13333333333335</v>
      </c>
      <c r="I97" s="6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319</v>
      </c>
      <c r="O97" s="13">
        <f>N97*VLOOKUP('Données projet'!$B$9,Paramètres!$A$1:$I$89,3,0)*VLOOKUP('Données projet'!$B$9,Paramètres!$A$1:$I$89,5,0)</f>
        <v>253.79640000000001</v>
      </c>
      <c r="P97" s="13">
        <f t="shared" si="87"/>
        <v>61.39816832228076</v>
      </c>
      <c r="Q97" s="20">
        <f t="shared" si="54"/>
        <v>548.96387316130563</v>
      </c>
      <c r="R97" s="59">
        <f t="shared" si="55"/>
        <v>837.34321738293238</v>
      </c>
      <c r="S97" s="59">
        <f ca="1">AVERAGE(OFFSET($R$3,0,0,'Données projet'!$E$9+1,1))-AVERAGE(OFFSET($H$3,0,0,'Données projet'!$E$9+1,1))</f>
        <v>360.06385535620069</v>
      </c>
      <c r="T97" s="59">
        <f t="shared" si="88"/>
        <v>350.82516032456408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40.29398930520518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40.29398930520518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295.68863999999991</v>
      </c>
      <c r="AK97" s="13">
        <f t="shared" si="89"/>
        <v>70.271876780519747</v>
      </c>
      <c r="AL97" s="20">
        <f t="shared" si="58"/>
        <v>637.3812333927383</v>
      </c>
      <c r="AM97" s="59">
        <f t="shared" si="59"/>
        <v>925.76057761436505</v>
      </c>
      <c r="AN97" s="59">
        <f ca="1">AVERAGE(OFFSET($AM$3,0,0,'Données projet'!$E$10+1,1))-AVERAGE(OFFSET($H$3,0,0,'Données projet'!$E$10+1,1))</f>
        <v>448.65237942538027</v>
      </c>
      <c r="AO97" s="59">
        <f t="shared" si="90"/>
        <v>283.56749129825107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82.046287033385383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82.046287033385383</v>
      </c>
      <c r="AY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7.6</v>
      </c>
      <c r="BD97" s="12">
        <f>IF('Données projet'!$A$88&gt;35,BD96+BC97-BL96,IF(A97&lt;'Données projet'!$A$88,$BA$205^A97,IF(A97='Données projet'!$A$88,'Données projet'!$B$88,BD96+BC97-BL96)))</f>
        <v>381.39999999999992</v>
      </c>
      <c r="BE97" s="13">
        <f>BD97*VLOOKUP('Données projet'!$B$11,Paramètres!$A$1:$I$89,3,0)*VLOOKUP('Données projet'!$B$11,Paramètres!$A$1:$I$89,5,0)</f>
        <v>327.24119999999999</v>
      </c>
      <c r="BF97" s="13">
        <f t="shared" si="91"/>
        <v>76.85805838290122</v>
      </c>
      <c r="BG97" s="20">
        <f t="shared" si="61"/>
        <v>703.80620835021955</v>
      </c>
      <c r="BH97" s="59">
        <f t="shared" si="62"/>
        <v>992.1855525718463</v>
      </c>
      <c r="BI97" s="59">
        <f ca="1">AVERAGE(OFFSET($BH$3,0,0,'Données projet'!$E$11+1,1))-AVERAGE(OFFSET($H$3,0,0,'Données projet'!$E$11+1,1))</f>
        <v>456.76871853389395</v>
      </c>
      <c r="BJ97" s="59">
        <f t="shared" si="92"/>
        <v>262.12425810289176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94.546657848214906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94.546657848214906</v>
      </c>
      <c r="BT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255.00000000000006</v>
      </c>
      <c r="BZ97" s="13">
        <f>BY97*VLOOKUP('Données projet'!$B$12,Paramètres!$A$1:$I$89,3,0)*VLOOKUP('Données projet'!$B$12,Paramètres!$A$1:$I$89,5,0)</f>
        <v>186.96600000000004</v>
      </c>
      <c r="CA97" s="13">
        <f t="shared" si="93"/>
        <v>46.868551400324648</v>
      </c>
      <c r="CB97" s="20">
        <f t="shared" si="64"/>
        <v>407.26184368889881</v>
      </c>
      <c r="CC97" s="59">
        <f t="shared" si="65"/>
        <v>695.64118791052556</v>
      </c>
      <c r="CD97" s="59">
        <f ca="1">AVERAGE(OFFSET($CC$3,0,0,'Données projet'!$E$12+1,1))-AVERAGE(OFFSET($H$3,0,0,'Données projet'!$E$12+1,1))</f>
        <v>242.65851607945316</v>
      </c>
      <c r="CE97" s="59">
        <f t="shared" si="94"/>
        <v>218.9349999985487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249.0000000000002</v>
      </c>
      <c r="CU97" s="17">
        <f>CT97*VLOOKUP('Données projet'!$B$13,Paramètres!$A$1:$I$89,3,0)*VLOOKUP('Données projet'!$B$13,Paramètres!$A$1:$I$89,5,0)</f>
        <v>217.52640000000019</v>
      </c>
      <c r="CV97" s="13">
        <f t="shared" si="95"/>
        <v>53.576907690651304</v>
      </c>
      <c r="CW97" s="20">
        <f t="shared" si="67"/>
        <v>472.17159422788467</v>
      </c>
      <c r="CX97" s="59">
        <f t="shared" si="68"/>
        <v>760.55093844951148</v>
      </c>
      <c r="CY97" s="59">
        <f ca="1">AVERAGE(OFFSET($CX$3,0,0,'Données projet'!$E$13+1,1))-AVERAGE(OFFSET($H$3,0,0,'Données projet'!$E$13+1,1))</f>
        <v>326.9460696675867</v>
      </c>
      <c r="CZ97" s="59">
        <f t="shared" si="96"/>
        <v>393.4020374592568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38.825480246779165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38.825480246779165</v>
      </c>
      <c r="DJ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349.00000000000017</v>
      </c>
      <c r="DP97" s="17">
        <f>DO97*VLOOKUP('Données projet'!$B$14,Paramètres!$A$1:$I$89,3,0)*VLOOKUP('Données projet'!$B$14,Paramètres!$A$1:$I$89,5,0)</f>
        <v>272.22000000000014</v>
      </c>
      <c r="DQ97" s="13">
        <f t="shared" si="97"/>
        <v>65.320184547527205</v>
      </c>
      <c r="DR97" s="20">
        <f t="shared" si="70"/>
        <v>587.88248808694345</v>
      </c>
      <c r="DS97" s="59">
        <f t="shared" si="71"/>
        <v>876.26183230857032</v>
      </c>
      <c r="DT97" s="59">
        <f ca="1">AVERAGE(OFFSET($DS$3,0,0,'Données projet'!$E$14+1,1))-AVERAGE(OFFSET($H$3,0,0,'Données projet'!$E$14+1,1))</f>
        <v>364.34528546733799</v>
      </c>
      <c r="DU97" s="59">
        <f t="shared" si="98"/>
        <v>346.5839763411152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53.883256529116089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53.883256529116089</v>
      </c>
      <c r="EE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213.98519999999999</v>
      </c>
      <c r="EL97" s="13">
        <f t="shared" si="99"/>
        <v>52.805497044008654</v>
      </c>
      <c r="EM97" s="20">
        <f t="shared" si="73"/>
        <v>464.66046401831505</v>
      </c>
      <c r="EN97" s="59">
        <f t="shared" si="74"/>
        <v>753.03980823994186</v>
      </c>
      <c r="EO97" s="59">
        <f ca="1">AVERAGE(OFFSET($EN$3,0,0,'Données projet'!$E$15+1,1))-AVERAGE(OFFSET($H$3,0,0,'Données projet'!$E$15+1,1))</f>
        <v>310.38232870602445</v>
      </c>
      <c r="EP97" s="59">
        <f t="shared" si="100"/>
        <v>303.45934457265537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33.973363531839652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33.973363531839652</v>
      </c>
      <c r="EZ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4.8</v>
      </c>
      <c r="FE97" s="12">
        <f>IF('Données projet'!$A$218&gt;35,FE96+FD97-FM96,IF(A97&lt;'Données projet'!$A$218,$FB$205^A97,IF(A97='Données projet'!$A$218,'Données projet'!$B$218,FE96+FD97-FM96)))</f>
        <v>262.19999999999993</v>
      </c>
      <c r="FF97" s="17">
        <f>FE97*VLOOKUP('Données projet'!$B$16,Paramètres!$A$1:$I$89,3,0)*VLOOKUP('Données projet'!$B$16,Paramètres!$A$1:$I$89,5,0)</f>
        <v>249.50951999999992</v>
      </c>
      <c r="FG97" s="13">
        <f t="shared" si="101"/>
        <v>60.48089994102925</v>
      </c>
      <c r="FH97" s="20">
        <f t="shared" si="76"/>
        <v>539.89998139729244</v>
      </c>
      <c r="FI97" s="59">
        <f t="shared" si="77"/>
        <v>828.2793256189193</v>
      </c>
      <c r="FJ97" s="59">
        <f ca="1">AVERAGE(OFFSET($FI$3,0,0,'Données projet'!$E$16+1,1))-AVERAGE(OFFSET($H$3,0,0,'Données projet'!$E$16+1,1))</f>
        <v>457.706832425622</v>
      </c>
      <c r="FK97" s="59">
        <f t="shared" si="102"/>
        <v>474.61768219844873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84.562586916408179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84.562586916408179</v>
      </c>
      <c r="FU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319</v>
      </c>
      <c r="GA97" s="17">
        <f>FZ97*VLOOKUP('Données projet'!$B$17,Paramètres!$A$1:$I$89,3,0)*VLOOKUP('Données projet'!$B$17,Paramètres!$A$1:$I$89,5,0)</f>
        <v>308.53680000000003</v>
      </c>
      <c r="GB97" s="13">
        <f t="shared" si="103"/>
        <v>72.963171684496103</v>
      </c>
      <c r="GC97" s="20">
        <f t="shared" si="79"/>
        <v>664.4457840171641</v>
      </c>
      <c r="GD97" s="59">
        <f t="shared" si="80"/>
        <v>952.82512823879097</v>
      </c>
      <c r="GE97" s="59">
        <f ca="1">AVERAGE(OFFSET($GD$3,0,0,'Données projet'!$E$17+1,1))-AVERAGE(OFFSET($H$3,0,0,'Données projet'!$E$17+1,1))</f>
        <v>428.11167311086814</v>
      </c>
      <c r="GF97" s="59">
        <f t="shared" si="104"/>
        <v>415.69449942923609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39.742425263661488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39.742425263661488</v>
      </c>
      <c r="GP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1.1368683772161603E-13</v>
      </c>
      <c r="GV97" s="17">
        <f>GU97*VLOOKUP('Données projet'!$B$18,Paramètres!$A$1:$I$89,3,0)*VLOOKUP('Données projet'!$B$18,Paramètres!$A$1:$I$89,5,0)</f>
        <v>6.5087988332379613E-14</v>
      </c>
      <c r="GW97" s="13">
        <f t="shared" si="105"/>
        <v>1.0279249680474958E-12</v>
      </c>
      <c r="GX97" s="20">
        <f t="shared" si="82"/>
        <v>1.9036642323616162E-12</v>
      </c>
      <c r="GY97" s="59">
        <f t="shared" si="83"/>
        <v>288.37934422162868</v>
      </c>
      <c r="GZ97" s="59">
        <f ca="1">AVERAGE(OFFSET($GY$3,0,0,'Données projet'!$E$18+1,1))-AVERAGE(OFFSET($H$3,0,0,'Données projet'!$E$18+1,1))</f>
        <v>249.88816678272056</v>
      </c>
      <c r="HA97" s="59">
        <f t="shared" si="106"/>
        <v>432.10802787437319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23.382756360233348</v>
      </c>
      <c r="HH97" s="21">
        <f>EXP(-LN(2)/25)*HH96+(1-EXP(-LN(2)/25))/(LN(2)/25)*Calculateur!HC97*Calculateur!HE97*VLOOKUP('Données projet'!$B$18,Paramètres!$A$1:$I$89,3,0)*0.475*44/12</f>
        <v>3.6482695581951492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27.031025918428497</v>
      </c>
    </row>
    <row r="98" spans="1:218" x14ac:dyDescent="0.3">
      <c r="A98" s="10">
        <f t="shared" si="85"/>
        <v>95</v>
      </c>
      <c r="B98" s="71">
        <f>'Scénario référence'!$B$16*5+'Scénario référence'!$B$17*0+'Scénario référence'!$B$18*5</f>
        <v>1.4000000000000001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5.1333333333333337</v>
      </c>
      <c r="H98" s="65">
        <f t="shared" si="56"/>
        <v>236.13333333333335</v>
      </c>
      <c r="I98" s="6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319</v>
      </c>
      <c r="O98" s="13">
        <f>N98*VLOOKUP('Données projet'!$B$9,Paramètres!$A$1:$I$89,3,0)*VLOOKUP('Données projet'!$B$9,Paramètres!$A$1:$I$89,5,0)</f>
        <v>253.79640000000001</v>
      </c>
      <c r="P98" s="13">
        <f t="shared" si="87"/>
        <v>61.39816832228076</v>
      </c>
      <c r="Q98" s="20">
        <f t="shared" si="54"/>
        <v>548.96387316130563</v>
      </c>
      <c r="R98" s="59">
        <f t="shared" si="55"/>
        <v>837.4291580185602</v>
      </c>
      <c r="S98" s="59">
        <f ca="1">AVERAGE(OFFSET($R$3,0,0,'Données projet'!$E$9+1,1))-AVERAGE(OFFSET($H$3,0,0,'Données projet'!$E$9+1,1))</f>
        <v>360.06385535620069</v>
      </c>
      <c r="T98" s="59">
        <f t="shared" si="88"/>
        <v>350.82516032456408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39.503848751836813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39.503848751836813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301.2983999999999</v>
      </c>
      <c r="AK98" s="13">
        <f t="shared" si="89"/>
        <v>71.448589534990518</v>
      </c>
      <c r="AL98" s="20">
        <f t="shared" si="58"/>
        <v>649.20100677344158</v>
      </c>
      <c r="AM98" s="59">
        <f t="shared" si="59"/>
        <v>937.66629163069615</v>
      </c>
      <c r="AN98" s="59">
        <f ca="1">AVERAGE(OFFSET($AM$3,0,0,'Données projet'!$E$10+1,1))-AVERAGE(OFFSET($H$3,0,0,'Données projet'!$E$10+1,1))</f>
        <v>448.65237942538027</v>
      </c>
      <c r="AO98" s="59">
        <f t="shared" si="90"/>
        <v>283.56749129825107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92.480173764747434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92.480173764747434</v>
      </c>
      <c r="AY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389</v>
      </c>
      <c r="BB98" s="12">
        <f>VLOOKUP(A98,'Données projet'!$A$87:$I$107,9,0)</f>
        <v>7.6</v>
      </c>
      <c r="BC98" s="12">
        <f t="array" ref="BC98">INDEX(BB:BB,MIN(IF(ISNUMBER(BB98:BB294),ROW(BB98:BB294),"")))</f>
        <v>7.6</v>
      </c>
      <c r="BD98" s="12">
        <f>IF('Données projet'!$A$88&gt;35,BD97+BC98-BL97,IF(A98&lt;'Données projet'!$A$88,$BA$205^A98,IF(A98='Données projet'!$A$88,'Données projet'!$B$88,BD97+BC98-BL97)))</f>
        <v>388.99999999999994</v>
      </c>
      <c r="BE98" s="13">
        <f>BD98*VLOOKUP('Données projet'!$B$11,Paramètres!$A$1:$I$89,3,0)*VLOOKUP('Données projet'!$B$11,Paramètres!$A$1:$I$89,5,0)</f>
        <v>333.762</v>
      </c>
      <c r="BF98" s="13">
        <f t="shared" si="91"/>
        <v>78.209750448453065</v>
      </c>
      <c r="BG98" s="20">
        <f t="shared" si="61"/>
        <v>717.51746536438895</v>
      </c>
      <c r="BH98" s="59">
        <f t="shared" si="62"/>
        <v>1005.9827502216435</v>
      </c>
      <c r="BI98" s="59">
        <f ca="1">AVERAGE(OFFSET($BH$3,0,0,'Données projet'!$E$11+1,1))-AVERAGE(OFFSET($H$3,0,0,'Données projet'!$E$11+1,1))</f>
        <v>456.76871853389395</v>
      </c>
      <c r="BJ98" s="59">
        <f t="shared" si="92"/>
        <v>262.12425810289176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25</v>
      </c>
      <c r="BM98" s="16">
        <f>IF(ISNA(VLOOKUP(A98,'Données projet'!$A$87:$I$107,5,0)),0%,VLOOKUP(A98,'Données projet'!$A$87:$I$107,5,0)*VLOOKUP('Données projet'!$B$11,Paramètres!$A$1:$I$89,7,0))</f>
        <v>0.53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105.26019556529883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105.26019556529883</v>
      </c>
      <c r="BT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255.00000000000006</v>
      </c>
      <c r="BZ98" s="13">
        <f>BY98*VLOOKUP('Données projet'!$B$12,Paramètres!$A$1:$I$89,3,0)*VLOOKUP('Données projet'!$B$12,Paramètres!$A$1:$I$89,5,0)</f>
        <v>186.96600000000004</v>
      </c>
      <c r="CA98" s="13">
        <f t="shared" si="93"/>
        <v>46.868551400324648</v>
      </c>
      <c r="CB98" s="20">
        <f t="shared" si="64"/>
        <v>407.26184368889881</v>
      </c>
      <c r="CC98" s="59">
        <f t="shared" si="65"/>
        <v>695.72712854615338</v>
      </c>
      <c r="CD98" s="59">
        <f ca="1">AVERAGE(OFFSET($CC$3,0,0,'Données projet'!$E$12+1,1))-AVERAGE(OFFSET($H$3,0,0,'Données projet'!$E$12+1,1))</f>
        <v>242.65851607945316</v>
      </c>
      <c r="CE98" s="59">
        <f t="shared" si="94"/>
        <v>218.9349999985487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249.0000000000002</v>
      </c>
      <c r="CU98" s="17">
        <f>CT98*VLOOKUP('Données projet'!$B$13,Paramètres!$A$1:$I$89,3,0)*VLOOKUP('Données projet'!$B$13,Paramètres!$A$1:$I$89,5,0)</f>
        <v>217.52640000000019</v>
      </c>
      <c r="CV98" s="13">
        <f t="shared" si="95"/>
        <v>53.576907690651304</v>
      </c>
      <c r="CW98" s="20">
        <f t="shared" si="67"/>
        <v>472.17159422788467</v>
      </c>
      <c r="CX98" s="59">
        <f t="shared" si="68"/>
        <v>760.63687908513919</v>
      </c>
      <c r="CY98" s="59">
        <f ca="1">AVERAGE(OFFSET($CX$3,0,0,'Données projet'!$E$13+1,1))-AVERAGE(OFFSET($H$3,0,0,'Données projet'!$E$13+1,1))</f>
        <v>326.9460696675867</v>
      </c>
      <c r="CZ98" s="59">
        <f t="shared" si="96"/>
        <v>393.4020374592568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38.064136260344448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38.064136260344448</v>
      </c>
      <c r="DJ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349.00000000000017</v>
      </c>
      <c r="DP98" s="17">
        <f>DO98*VLOOKUP('Données projet'!$B$14,Paramètres!$A$1:$I$89,3,0)*VLOOKUP('Données projet'!$B$14,Paramètres!$A$1:$I$89,5,0)</f>
        <v>272.22000000000014</v>
      </c>
      <c r="DQ98" s="13">
        <f t="shared" si="97"/>
        <v>65.320184547527205</v>
      </c>
      <c r="DR98" s="20">
        <f t="shared" si="70"/>
        <v>587.88248808694345</v>
      </c>
      <c r="DS98" s="59">
        <f t="shared" si="71"/>
        <v>876.34777294419791</v>
      </c>
      <c r="DT98" s="59">
        <f ca="1">AVERAGE(OFFSET($DS$3,0,0,'Données projet'!$E$14+1,1))-AVERAGE(OFFSET($H$3,0,0,'Données projet'!$E$14+1,1))</f>
        <v>364.34528546733799</v>
      </c>
      <c r="DU98" s="59">
        <f t="shared" si="98"/>
        <v>346.5839763411152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52.826638734121403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52.826638734121403</v>
      </c>
      <c r="EE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213.98519999999999</v>
      </c>
      <c r="EL98" s="13">
        <f t="shared" si="99"/>
        <v>52.805497044008654</v>
      </c>
      <c r="EM98" s="20">
        <f t="shared" si="73"/>
        <v>464.66046401831505</v>
      </c>
      <c r="EN98" s="59">
        <f t="shared" si="74"/>
        <v>753.12574887556957</v>
      </c>
      <c r="EO98" s="59">
        <f ca="1">AVERAGE(OFFSET($EN$3,0,0,'Données projet'!$E$15+1,1))-AVERAGE(OFFSET($H$3,0,0,'Données projet'!$E$15+1,1))</f>
        <v>310.38232870602445</v>
      </c>
      <c r="EP98" s="59">
        <f t="shared" si="100"/>
        <v>303.45934457265537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33.307166594685931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33.307166594685931</v>
      </c>
      <c r="EZ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267</v>
      </c>
      <c r="FC98" s="12">
        <f>VLOOKUP(A98,'Données projet'!$A$217:$I$237,9,0)</f>
        <v>4.8</v>
      </c>
      <c r="FD98" s="12">
        <f t="array" ref="FD98">INDEX(FC:FC,MIN(IF(ISNUMBER(FC98:FC294),ROW(FC98:FC294),"")))</f>
        <v>4.8</v>
      </c>
      <c r="FE98" s="12">
        <f>IF('Données projet'!$A$218&gt;35,FE97+FD98-FM97,IF(A98&lt;'Données projet'!$A$218,$FB$205^A98,IF(A98='Données projet'!$A$218,'Données projet'!$B$218,FE97+FD98-FM97)))</f>
        <v>266.99999999999994</v>
      </c>
      <c r="FF98" s="17">
        <f>FE98*VLOOKUP('Données projet'!$B$16,Paramètres!$A$1:$I$89,3,0)*VLOOKUP('Données projet'!$B$16,Paramètres!$A$1:$I$89,5,0)</f>
        <v>254.07719999999992</v>
      </c>
      <c r="FG98" s="13">
        <f t="shared" si="101"/>
        <v>61.458188159552705</v>
      </c>
      <c r="FH98" s="20">
        <f t="shared" si="76"/>
        <v>549.55746771122074</v>
      </c>
      <c r="FI98" s="59">
        <f t="shared" si="77"/>
        <v>838.0227525684752</v>
      </c>
      <c r="FJ98" s="59">
        <f ca="1">AVERAGE(OFFSET($FI$3,0,0,'Données projet'!$E$16+1,1))-AVERAGE(OFFSET($H$3,0,0,'Données projet'!$E$16+1,1))</f>
        <v>457.706832425622</v>
      </c>
      <c r="FK98" s="59">
        <f t="shared" si="102"/>
        <v>474.61768219844873</v>
      </c>
      <c r="FL98" s="15">
        <f>IF(ISNA(VLOOKUP(A98,'Données projet'!$A$217:$I$237,3,0)),0,VLOOKUP(A98,'Données projet'!$A$217:$I$237,3,0))</f>
        <v>18</v>
      </c>
      <c r="FM98" s="15">
        <f>IF(ISNA(VLOOKUP(A98,'Données projet'!$A$217:$I$237,4,0)),0,VLOOKUP(A98,'Données projet'!$A$217:$I$237,4,0))</f>
        <v>23</v>
      </c>
      <c r="FN98" s="16">
        <f>IF(ISNA(VLOOKUP(A98,'Données projet'!$A$217:$I$237,5,0)),0%,VLOOKUP(A98,'Données projet'!$A$217:$I$237,5,0)*VLOOKUP('Données projet'!$B$16,Paramètres!$A$1:$I$89,7,0))</f>
        <v>0.43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93.308306079250087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93.308306079250087</v>
      </c>
      <c r="FU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319</v>
      </c>
      <c r="GA98" s="17">
        <f>FZ98*VLOOKUP('Données projet'!$B$17,Paramètres!$A$1:$I$89,3,0)*VLOOKUP('Données projet'!$B$17,Paramètres!$A$1:$I$89,5,0)</f>
        <v>308.53680000000003</v>
      </c>
      <c r="GB98" s="13">
        <f t="shared" si="103"/>
        <v>72.963171684496103</v>
      </c>
      <c r="GC98" s="20">
        <f t="shared" si="79"/>
        <v>664.4457840171641</v>
      </c>
      <c r="GD98" s="59">
        <f t="shared" si="80"/>
        <v>952.91106887441856</v>
      </c>
      <c r="GE98" s="59">
        <f ca="1">AVERAGE(OFFSET($GD$3,0,0,'Données projet'!$E$17+1,1))-AVERAGE(OFFSET($H$3,0,0,'Données projet'!$E$17+1,1))</f>
        <v>428.11167311086814</v>
      </c>
      <c r="GF98" s="59">
        <f t="shared" si="104"/>
        <v>415.69449942923609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38.963100544726949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38.963100544726949</v>
      </c>
      <c r="GP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1.1368683772161603E-13</v>
      </c>
      <c r="GV98" s="17">
        <f>GU98*VLOOKUP('Données projet'!$B$18,Paramètres!$A$1:$I$89,3,0)*VLOOKUP('Données projet'!$B$18,Paramètres!$A$1:$I$89,5,0)</f>
        <v>6.5087988332379613E-14</v>
      </c>
      <c r="GW98" s="13">
        <f t="shared" si="105"/>
        <v>1.0279249680474958E-12</v>
      </c>
      <c r="GX98" s="20">
        <f t="shared" si="82"/>
        <v>1.9036642323616162E-12</v>
      </c>
      <c r="GY98" s="59">
        <f t="shared" si="83"/>
        <v>288.46528485725639</v>
      </c>
      <c r="GZ98" s="59">
        <f ca="1">AVERAGE(OFFSET($GY$3,0,0,'Données projet'!$E$18+1,1))-AVERAGE(OFFSET($H$3,0,0,'Données projet'!$E$18+1,1))</f>
        <v>249.88816678272056</v>
      </c>
      <c r="HA98" s="59">
        <f t="shared" si="106"/>
        <v>432.10802787437319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22.92423477008229</v>
      </c>
      <c r="HH98" s="21">
        <f>EXP(-LN(2)/25)*HH97+(1-EXP(-LN(2)/25))/(LN(2)/25)*Calculateur!HC98*Calculateur!HE98*VLOOKUP('Données projet'!$B$18,Paramètres!$A$1:$I$89,3,0)*0.475*44/12</f>
        <v>3.5485074352721448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26.472742205354436</v>
      </c>
    </row>
    <row r="99" spans="1:218" x14ac:dyDescent="0.3">
      <c r="A99" s="10">
        <f t="shared" si="85"/>
        <v>96</v>
      </c>
      <c r="B99" s="71">
        <f>'Scénario référence'!$B$16*5+'Scénario référence'!$B$17*0+'Scénario référence'!$B$18*5</f>
        <v>1.4000000000000001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5.1333333333333337</v>
      </c>
      <c r="H99" s="65">
        <f t="shared" si="56"/>
        <v>236.13333333333335</v>
      </c>
      <c r="I99" s="6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319</v>
      </c>
      <c r="O99" s="13">
        <f>N99*VLOOKUP('Données projet'!$B$9,Paramètres!$A$1:$I$89,3,0)*VLOOKUP('Données projet'!$B$9,Paramètres!$A$1:$I$89,5,0)</f>
        <v>253.79640000000001</v>
      </c>
      <c r="P99" s="13">
        <f t="shared" si="87"/>
        <v>61.39816832228076</v>
      </c>
      <c r="Q99" s="20">
        <f t="shared" ref="Q99:Q130" si="107">(O99+P99)*0.475*44/12</f>
        <v>548.96387316130563</v>
      </c>
      <c r="R99" s="59">
        <f t="shared" si="55"/>
        <v>837.51360777629407</v>
      </c>
      <c r="S99" s="59">
        <f ca="1">AVERAGE(OFFSET($R$3,0,0,'Données projet'!$E$9+1,1))-AVERAGE(OFFSET($H$3,0,0,'Données projet'!$E$9+1,1))</f>
        <v>360.06385535620069</v>
      </c>
      <c r="T99" s="59">
        <f t="shared" si="88"/>
        <v>350.82516032456408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38.729202372781849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38.729202372781849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281.03087999999991</v>
      </c>
      <c r="AK99" s="13">
        <f t="shared" si="89"/>
        <v>67.184816842275467</v>
      </c>
      <c r="AL99" s="20">
        <f t="shared" si="58"/>
        <v>606.4756720002963</v>
      </c>
      <c r="AM99" s="59">
        <f t="shared" si="59"/>
        <v>895.02540661528474</v>
      </c>
      <c r="AN99" s="59">
        <f ca="1">AVERAGE(OFFSET($AM$3,0,0,'Données projet'!$E$10+1,1))-AVERAGE(OFFSET($H$3,0,0,'Données projet'!$E$10+1,1))</f>
        <v>448.65237942538027</v>
      </c>
      <c r="AO99" s="59">
        <f t="shared" si="90"/>
        <v>283.56749129825107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90.66669396455697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90.66669396455697</v>
      </c>
      <c r="AY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</v>
      </c>
      <c r="BD99" s="12">
        <f>IF('Données projet'!$A$88&gt;35,BD98+BC99-BL98,IF(A99&lt;'Données projet'!$A$88,$BA$205^A99,IF(A99='Données projet'!$A$88,'Données projet'!$B$88,BD98+BC99-BL98)))</f>
        <v>371.19999999999993</v>
      </c>
      <c r="BE99" s="13">
        <f>BD99*VLOOKUP('Données projet'!$B$11,Paramètres!$A$1:$I$89,3,0)*VLOOKUP('Données projet'!$B$11,Paramètres!$A$1:$I$89,5,0)</f>
        <v>318.48959999999994</v>
      </c>
      <c r="BF99" s="13">
        <f t="shared" si="91"/>
        <v>75.038999086150227</v>
      </c>
      <c r="BG99" s="20">
        <f t="shared" si="61"/>
        <v>685.39564340837808</v>
      </c>
      <c r="BH99" s="59">
        <f t="shared" si="62"/>
        <v>973.94537802336663</v>
      </c>
      <c r="BI99" s="59">
        <f ca="1">AVERAGE(OFFSET($BH$3,0,0,'Données projet'!$E$11+1,1))-AVERAGE(OFFSET($H$3,0,0,'Données projet'!$E$11+1,1))</f>
        <v>456.76871853389395</v>
      </c>
      <c r="BJ99" s="59">
        <f t="shared" si="92"/>
        <v>262.12425810289176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103.19610733264315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103.19610733264315</v>
      </c>
      <c r="BT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255.00000000000006</v>
      </c>
      <c r="BZ99" s="13">
        <f>BY99*VLOOKUP('Données projet'!$B$12,Paramètres!$A$1:$I$89,3,0)*VLOOKUP('Données projet'!$B$12,Paramètres!$A$1:$I$89,5,0)</f>
        <v>186.96600000000004</v>
      </c>
      <c r="CA99" s="13">
        <f t="shared" si="93"/>
        <v>46.868551400324648</v>
      </c>
      <c r="CB99" s="20">
        <f t="shared" si="64"/>
        <v>407.26184368889881</v>
      </c>
      <c r="CC99" s="59">
        <f t="shared" si="65"/>
        <v>695.81157830388725</v>
      </c>
      <c r="CD99" s="59">
        <f ca="1">AVERAGE(OFFSET($CC$3,0,0,'Données projet'!$E$12+1,1))-AVERAGE(OFFSET($H$3,0,0,'Données projet'!$E$12+1,1))</f>
        <v>242.65851607945316</v>
      </c>
      <c r="CE99" s="59">
        <f t="shared" si="94"/>
        <v>218.9349999985487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249.0000000000002</v>
      </c>
      <c r="CU99" s="17">
        <f>CT99*VLOOKUP('Données projet'!$B$13,Paramètres!$A$1:$I$89,3,0)*VLOOKUP('Données projet'!$B$13,Paramètres!$A$1:$I$89,5,0)</f>
        <v>217.52640000000019</v>
      </c>
      <c r="CV99" s="13">
        <f t="shared" si="95"/>
        <v>53.576907690651304</v>
      </c>
      <c r="CW99" s="20">
        <f t="shared" si="67"/>
        <v>472.17159422788467</v>
      </c>
      <c r="CX99" s="59">
        <f t="shared" si="68"/>
        <v>760.72132884287316</v>
      </c>
      <c r="CY99" s="59">
        <f ca="1">AVERAGE(OFFSET($CX$3,0,0,'Données projet'!$E$13+1,1))-AVERAGE(OFFSET($H$3,0,0,'Données projet'!$E$13+1,1))</f>
        <v>326.9460696675867</v>
      </c>
      <c r="CZ99" s="59">
        <f t="shared" si="96"/>
        <v>393.4020374592568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37.317721765109738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37.317721765109738</v>
      </c>
      <c r="DJ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349.00000000000017</v>
      </c>
      <c r="DP99" s="17">
        <f>DO99*VLOOKUP('Données projet'!$B$14,Paramètres!$A$1:$I$89,3,0)*VLOOKUP('Données projet'!$B$14,Paramètres!$A$1:$I$89,5,0)</f>
        <v>272.22000000000014</v>
      </c>
      <c r="DQ99" s="13">
        <f t="shared" si="97"/>
        <v>65.320184547527205</v>
      </c>
      <c r="DR99" s="20">
        <f t="shared" si="70"/>
        <v>587.88248808694345</v>
      </c>
      <c r="DS99" s="59">
        <f t="shared" si="71"/>
        <v>876.43222270193201</v>
      </c>
      <c r="DT99" s="59">
        <f ca="1">AVERAGE(OFFSET($DS$3,0,0,'Données projet'!$E$14+1,1))-AVERAGE(OFFSET($H$3,0,0,'Données projet'!$E$14+1,1))</f>
        <v>364.34528546733799</v>
      </c>
      <c r="DU99" s="59">
        <f t="shared" si="98"/>
        <v>346.5839763411152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51.790740569613341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51.790740569613341</v>
      </c>
      <c r="EE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213.98519999999999</v>
      </c>
      <c r="EL99" s="13">
        <f t="shared" si="99"/>
        <v>52.805497044008654</v>
      </c>
      <c r="EM99" s="20">
        <f t="shared" si="73"/>
        <v>464.66046401831505</v>
      </c>
      <c r="EN99" s="59">
        <f t="shared" si="74"/>
        <v>753.21019863330355</v>
      </c>
      <c r="EO99" s="59">
        <f ca="1">AVERAGE(OFFSET($EN$3,0,0,'Données projet'!$E$15+1,1))-AVERAGE(OFFSET($H$3,0,0,'Données projet'!$E$15+1,1))</f>
        <v>310.38232870602445</v>
      </c>
      <c r="EP99" s="59">
        <f t="shared" si="100"/>
        <v>303.45934457265537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32.654033373129785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32.654033373129785</v>
      </c>
      <c r="EZ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4.5999999999999996</v>
      </c>
      <c r="FE99" s="12">
        <f>IF('Données projet'!$A$218&gt;35,FE98+FD99-FM98,IF(A99&lt;'Données projet'!$A$218,$FB$205^A99,IF(A99='Données projet'!$A$218,'Données projet'!$B$218,FE98+FD99-FM98)))</f>
        <v>248.59999999999997</v>
      </c>
      <c r="FF99" s="17">
        <f>FE99*VLOOKUP('Données projet'!$B$16,Paramètres!$A$1:$I$89,3,0)*VLOOKUP('Données projet'!$B$16,Paramètres!$A$1:$I$89,5,0)</f>
        <v>236.56775999999999</v>
      </c>
      <c r="FG99" s="13">
        <f t="shared" si="101"/>
        <v>57.700449394109818</v>
      </c>
      <c r="FH99" s="20">
        <f t="shared" si="76"/>
        <v>512.51713136140791</v>
      </c>
      <c r="FI99" s="59">
        <f t="shared" si="77"/>
        <v>801.06686597639646</v>
      </c>
      <c r="FJ99" s="59">
        <f ca="1">AVERAGE(OFFSET($FI$3,0,0,'Données projet'!$E$16+1,1))-AVERAGE(OFFSET($H$3,0,0,'Données projet'!$E$16+1,1))</f>
        <v>457.706832425622</v>
      </c>
      <c r="FK99" s="59">
        <f t="shared" si="102"/>
        <v>474.61768219844873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91.478587109483058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91.478587109483058</v>
      </c>
      <c r="FU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319</v>
      </c>
      <c r="GA99" s="17">
        <f>FZ99*VLOOKUP('Données projet'!$B$17,Paramètres!$A$1:$I$89,3,0)*VLOOKUP('Données projet'!$B$17,Paramètres!$A$1:$I$89,5,0)</f>
        <v>308.53680000000003</v>
      </c>
      <c r="GB99" s="13">
        <f t="shared" si="103"/>
        <v>72.963171684496103</v>
      </c>
      <c r="GC99" s="20">
        <f t="shared" si="79"/>
        <v>664.4457840171641</v>
      </c>
      <c r="GD99" s="59">
        <f t="shared" si="80"/>
        <v>952.99551863215265</v>
      </c>
      <c r="GE99" s="59">
        <f ca="1">AVERAGE(OFFSET($GD$3,0,0,'Données projet'!$E$17+1,1))-AVERAGE(OFFSET($H$3,0,0,'Données projet'!$E$17+1,1))</f>
        <v>428.11167311086814</v>
      </c>
      <c r="GF99" s="59">
        <f t="shared" si="104"/>
        <v>415.69449942923609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38.199057908189573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38.199057908189573</v>
      </c>
      <c r="GP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1.1368683772161603E-13</v>
      </c>
      <c r="GV99" s="17">
        <f>GU99*VLOOKUP('Données projet'!$B$18,Paramètres!$A$1:$I$89,3,0)*VLOOKUP('Données projet'!$B$18,Paramètres!$A$1:$I$89,5,0)</f>
        <v>6.5087988332379613E-14</v>
      </c>
      <c r="GW99" s="13">
        <f t="shared" si="105"/>
        <v>1.0279249680474958E-12</v>
      </c>
      <c r="GX99" s="20">
        <f t="shared" si="82"/>
        <v>1.9036642323616162E-12</v>
      </c>
      <c r="GY99" s="59">
        <f t="shared" si="83"/>
        <v>288.54973461499037</v>
      </c>
      <c r="GZ99" s="59">
        <f ca="1">AVERAGE(OFFSET($GY$3,0,0,'Données projet'!$E$18+1,1))-AVERAGE(OFFSET($H$3,0,0,'Données projet'!$E$18+1,1))</f>
        <v>249.88816678272056</v>
      </c>
      <c r="HA99" s="59">
        <f t="shared" si="106"/>
        <v>432.10802787437319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22.474704508643537</v>
      </c>
      <c r="HH99" s="21">
        <f>EXP(-LN(2)/25)*HH98+(1-EXP(-LN(2)/25))/(LN(2)/25)*Calculateur!HC99*Calculateur!HE99*VLOOKUP('Données projet'!$B$18,Paramètres!$A$1:$I$89,3,0)*0.475*44/12</f>
        <v>3.4514733128467321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25.926177821490271</v>
      </c>
    </row>
    <row r="100" spans="1:218" x14ac:dyDescent="0.3">
      <c r="A100" s="10">
        <f t="shared" si="85"/>
        <v>97</v>
      </c>
      <c r="B100" s="71">
        <f>'Scénario référence'!$B$16*5+'Scénario référence'!$B$17*0+'Scénario référence'!$B$18*5</f>
        <v>1.4000000000000001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5.1333333333333337</v>
      </c>
      <c r="H100" s="65">
        <f t="shared" si="56"/>
        <v>236.13333333333335</v>
      </c>
      <c r="I100" s="6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319</v>
      </c>
      <c r="O100" s="13">
        <f>N100*VLOOKUP('Données projet'!$B$9,Paramètres!$A$1:$I$89,3,0)*VLOOKUP('Données projet'!$B$9,Paramètres!$A$1:$I$89,5,0)</f>
        <v>253.79640000000001</v>
      </c>
      <c r="P100" s="13">
        <f t="shared" si="87"/>
        <v>61.39816832228076</v>
      </c>
      <c r="Q100" s="20">
        <f t="shared" si="107"/>
        <v>548.96387316130563</v>
      </c>
      <c r="R100" s="59">
        <f t="shared" si="55"/>
        <v>837.59659251953281</v>
      </c>
      <c r="S100" s="59">
        <f ca="1">AVERAGE(OFFSET($R$3,0,0,'Données projet'!$E$9+1,1))-AVERAGE(OFFSET($H$3,0,0,'Données projet'!$E$9+1,1))</f>
        <v>360.06385535620069</v>
      </c>
      <c r="T100" s="59">
        <f t="shared" si="88"/>
        <v>350.82516032456408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37.96974633673252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37.96974633673252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286.09775999999994</v>
      </c>
      <c r="AK100" s="13">
        <f t="shared" si="89"/>
        <v>68.254020651723678</v>
      </c>
      <c r="AL100" s="20">
        <f t="shared" si="58"/>
        <v>617.16268463508527</v>
      </c>
      <c r="AM100" s="59">
        <f t="shared" si="59"/>
        <v>905.79540399331245</v>
      </c>
      <c r="AN100" s="59">
        <f ca="1">AVERAGE(OFFSET($AM$3,0,0,'Données projet'!$E$10+1,1))-AVERAGE(OFFSET($H$3,0,0,'Données projet'!$E$10+1,1))</f>
        <v>448.65237942538027</v>
      </c>
      <c r="AO100" s="59">
        <f t="shared" si="90"/>
        <v>283.56749129825107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88.888775397134779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88.888775397134779</v>
      </c>
      <c r="AY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</v>
      </c>
      <c r="BD100" s="12">
        <f>IF('Données projet'!$A$88&gt;35,BD99+BC100-BL99,IF(A100&lt;'Données projet'!$A$88,$BA$205^A100,IF(A100='Données projet'!$A$88,'Données projet'!$B$88,BD99+BC100-BL99)))</f>
        <v>378.39999999999992</v>
      </c>
      <c r="BE100" s="13">
        <f>BD100*VLOOKUP('Données projet'!$B$11,Paramètres!$A$1:$I$89,3,0)*VLOOKUP('Données projet'!$B$11,Paramètres!$A$1:$I$89,5,0)</f>
        <v>324.66719999999998</v>
      </c>
      <c r="BF100" s="13">
        <f t="shared" si="91"/>
        <v>76.323635512638404</v>
      </c>
      <c r="BG100" s="20">
        <f t="shared" si="61"/>
        <v>698.39237185117838</v>
      </c>
      <c r="BH100" s="59">
        <f t="shared" si="62"/>
        <v>987.02509120940556</v>
      </c>
      <c r="BI100" s="59">
        <f ca="1">AVERAGE(OFFSET($BH$3,0,0,'Données projet'!$E$11+1,1))-AVERAGE(OFFSET($H$3,0,0,'Données projet'!$E$11+1,1))</f>
        <v>456.76871853389395</v>
      </c>
      <c r="BJ100" s="59">
        <f t="shared" si="92"/>
        <v>262.12425810289176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101.17249461126035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101.17249461126035</v>
      </c>
      <c r="BT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255.00000000000006</v>
      </c>
      <c r="BZ100" s="13">
        <f>BY100*VLOOKUP('Données projet'!$B$12,Paramètres!$A$1:$I$89,3,0)*VLOOKUP('Données projet'!$B$12,Paramètres!$A$1:$I$89,5,0)</f>
        <v>186.96600000000004</v>
      </c>
      <c r="CA100" s="13">
        <f t="shared" si="93"/>
        <v>46.868551400324648</v>
      </c>
      <c r="CB100" s="20">
        <f t="shared" si="64"/>
        <v>407.26184368889881</v>
      </c>
      <c r="CC100" s="59">
        <f t="shared" si="65"/>
        <v>695.89456304712598</v>
      </c>
      <c r="CD100" s="59">
        <f ca="1">AVERAGE(OFFSET($CC$3,0,0,'Données projet'!$E$12+1,1))-AVERAGE(OFFSET($H$3,0,0,'Données projet'!$E$12+1,1))</f>
        <v>242.65851607945316</v>
      </c>
      <c r="CE100" s="59">
        <f t="shared" si="94"/>
        <v>218.9349999985487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249.0000000000002</v>
      </c>
      <c r="CU100" s="17">
        <f>CT100*VLOOKUP('Données projet'!$B$13,Paramètres!$A$1:$I$89,3,0)*VLOOKUP('Données projet'!$B$13,Paramètres!$A$1:$I$89,5,0)</f>
        <v>217.52640000000019</v>
      </c>
      <c r="CV100" s="13">
        <f t="shared" si="95"/>
        <v>53.576907690651304</v>
      </c>
      <c r="CW100" s="20">
        <f t="shared" si="67"/>
        <v>472.17159422788467</v>
      </c>
      <c r="CX100" s="59">
        <f t="shared" si="68"/>
        <v>760.8043135861119</v>
      </c>
      <c r="CY100" s="59">
        <f ca="1">AVERAGE(OFFSET($CX$3,0,0,'Données projet'!$E$13+1,1))-AVERAGE(OFFSET($H$3,0,0,'Données projet'!$E$13+1,1))</f>
        <v>326.9460696675867</v>
      </c>
      <c r="CZ100" s="59">
        <f t="shared" si="96"/>
        <v>393.4020374592568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36.585944002858696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36.585944002858696</v>
      </c>
      <c r="DJ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349.00000000000017</v>
      </c>
      <c r="DP100" s="17">
        <f>DO100*VLOOKUP('Données projet'!$B$14,Paramètres!$A$1:$I$89,3,0)*VLOOKUP('Données projet'!$B$14,Paramètres!$A$1:$I$89,5,0)</f>
        <v>272.22000000000014</v>
      </c>
      <c r="DQ100" s="13">
        <f t="shared" si="97"/>
        <v>65.320184547527205</v>
      </c>
      <c r="DR100" s="20">
        <f t="shared" si="70"/>
        <v>587.88248808694345</v>
      </c>
      <c r="DS100" s="59">
        <f t="shared" si="71"/>
        <v>876.51520744517063</v>
      </c>
      <c r="DT100" s="59">
        <f ca="1">AVERAGE(OFFSET($DS$3,0,0,'Données projet'!$E$14+1,1))-AVERAGE(OFFSET($H$3,0,0,'Données projet'!$E$14+1,1))</f>
        <v>364.34528546733799</v>
      </c>
      <c r="DU100" s="59">
        <f t="shared" si="98"/>
        <v>346.5839763411152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50.775155736275792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50.775155736275792</v>
      </c>
      <c r="EE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213.98519999999999</v>
      </c>
      <c r="EL100" s="13">
        <f t="shared" si="99"/>
        <v>52.805497044008654</v>
      </c>
      <c r="EM100" s="20">
        <f t="shared" si="73"/>
        <v>464.66046401831505</v>
      </c>
      <c r="EN100" s="59">
        <f t="shared" si="74"/>
        <v>753.29318337654217</v>
      </c>
      <c r="EO100" s="59">
        <f ca="1">AVERAGE(OFFSET($EN$3,0,0,'Données projet'!$E$15+1,1))-AVERAGE(OFFSET($H$3,0,0,'Données projet'!$E$15+1,1))</f>
        <v>310.38232870602445</v>
      </c>
      <c r="EP100" s="59">
        <f t="shared" si="100"/>
        <v>303.45934457265537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32.01370769567643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32.01370769567643</v>
      </c>
      <c r="EZ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4.5999999999999996</v>
      </c>
      <c r="FE100" s="12">
        <f>IF('Données projet'!$A$218&gt;35,FE99+FD100-FM99,IF(A100&lt;'Données projet'!$A$218,$FB$205^A100,IF(A100='Données projet'!$A$218,'Données projet'!$B$218,FE99+FD100-FM99)))</f>
        <v>253.19999999999996</v>
      </c>
      <c r="FF100" s="17">
        <f>FE100*VLOOKUP('Données projet'!$B$16,Paramètres!$A$1:$I$89,3,0)*VLOOKUP('Données projet'!$B$16,Paramètres!$A$1:$I$89,5,0)</f>
        <v>240.94511999999997</v>
      </c>
      <c r="FG100" s="13">
        <f t="shared" si="101"/>
        <v>58.642831116957332</v>
      </c>
      <c r="FH100" s="20">
        <f t="shared" si="76"/>
        <v>521.78234819536726</v>
      </c>
      <c r="FI100" s="59">
        <f t="shared" si="77"/>
        <v>810.41506755359444</v>
      </c>
      <c r="FJ100" s="59">
        <f ca="1">AVERAGE(OFFSET($FI$3,0,0,'Données projet'!$E$16+1,1))-AVERAGE(OFFSET($H$3,0,0,'Données projet'!$E$16+1,1))</f>
        <v>457.706832425622</v>
      </c>
      <c r="FK100" s="59">
        <f t="shared" si="102"/>
        <v>474.61768219844873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89.684747812694795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89.684747812694795</v>
      </c>
      <c r="FU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319</v>
      </c>
      <c r="GA100" s="17">
        <f>FZ100*VLOOKUP('Données projet'!$B$17,Paramètres!$A$1:$I$89,3,0)*VLOOKUP('Données projet'!$B$17,Paramètres!$A$1:$I$89,5,0)</f>
        <v>308.53680000000003</v>
      </c>
      <c r="GB100" s="13">
        <f t="shared" si="103"/>
        <v>72.963171684496103</v>
      </c>
      <c r="GC100" s="20">
        <f t="shared" si="79"/>
        <v>664.4457840171641</v>
      </c>
      <c r="GD100" s="59">
        <f t="shared" si="80"/>
        <v>953.07850337539128</v>
      </c>
      <c r="GE100" s="59">
        <f ca="1">AVERAGE(OFFSET($GD$3,0,0,'Données projet'!$E$17+1,1))-AVERAGE(OFFSET($H$3,0,0,'Données projet'!$E$17+1,1))</f>
        <v>428.11167311086814</v>
      </c>
      <c r="GF100" s="59">
        <f t="shared" si="104"/>
        <v>415.69449942923609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37.4499976817347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37.4499976817347</v>
      </c>
      <c r="GP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1.1368683772161603E-13</v>
      </c>
      <c r="GV100" s="17">
        <f>GU100*VLOOKUP('Données projet'!$B$18,Paramètres!$A$1:$I$89,3,0)*VLOOKUP('Données projet'!$B$18,Paramètres!$A$1:$I$89,5,0)</f>
        <v>6.5087988332379613E-14</v>
      </c>
      <c r="GW100" s="13">
        <f t="shared" si="105"/>
        <v>1.0279249680474958E-12</v>
      </c>
      <c r="GX100" s="20">
        <f t="shared" si="82"/>
        <v>1.9036642323616162E-12</v>
      </c>
      <c r="GY100" s="59">
        <f t="shared" si="83"/>
        <v>288.63271935822905</v>
      </c>
      <c r="GZ100" s="59">
        <f ca="1">AVERAGE(OFFSET($GY$3,0,0,'Données projet'!$E$18+1,1))-AVERAGE(OFFSET($H$3,0,0,'Données projet'!$E$18+1,1))</f>
        <v>249.88816678272056</v>
      </c>
      <c r="HA100" s="59">
        <f t="shared" si="106"/>
        <v>432.10802787437319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22.033989261445214</v>
      </c>
      <c r="HH100" s="21">
        <f>EXP(-LN(2)/25)*HH99+(1-EXP(-LN(2)/25))/(LN(2)/25)*Calculateur!HC100*Calculateur!HE100*VLOOKUP('Données projet'!$B$18,Paramètres!$A$1:$I$89,3,0)*0.475*44/12</f>
        <v>3.3570925936018452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25.391081855047059</v>
      </c>
    </row>
    <row r="101" spans="1:218" x14ac:dyDescent="0.3">
      <c r="A101" s="10">
        <f t="shared" si="85"/>
        <v>98</v>
      </c>
      <c r="B101" s="71">
        <f>'Scénario référence'!$B$16*5+'Scénario référence'!$B$17*0+'Scénario référence'!$B$18*5</f>
        <v>1.4000000000000001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5.1333333333333337</v>
      </c>
      <c r="H101" s="65">
        <f t="shared" si="56"/>
        <v>236.13333333333335</v>
      </c>
      <c r="I101" s="6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319</v>
      </c>
      <c r="O101" s="13">
        <f>N101*VLOOKUP('Données projet'!$B$9,Paramètres!$A$1:$I$89,3,0)*VLOOKUP('Données projet'!$B$9,Paramètres!$A$1:$I$89,5,0)</f>
        <v>253.79640000000001</v>
      </c>
      <c r="P101" s="13">
        <f t="shared" si="87"/>
        <v>61.39816832228076</v>
      </c>
      <c r="Q101" s="20">
        <f t="shared" si="107"/>
        <v>548.96387316130563</v>
      </c>
      <c r="R101" s="59">
        <f t="shared" si="55"/>
        <v>837.67813766300242</v>
      </c>
      <c r="S101" s="59">
        <f ca="1">AVERAGE(OFFSET($R$3,0,0,'Données projet'!$E$9+1,1))-AVERAGE(OFFSET($H$3,0,0,'Données projet'!$E$9+1,1))</f>
        <v>360.06385535620069</v>
      </c>
      <c r="T101" s="59">
        <f t="shared" si="88"/>
        <v>350.82516032456408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37.22518277032767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37.22518277032767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291.16463999999991</v>
      </c>
      <c r="AK101" s="13">
        <f t="shared" si="89"/>
        <v>69.321022467464644</v>
      </c>
      <c r="AL101" s="20">
        <f t="shared" si="58"/>
        <v>627.84586213083401</v>
      </c>
      <c r="AM101" s="59">
        <f t="shared" si="59"/>
        <v>916.5601266325308</v>
      </c>
      <c r="AN101" s="59">
        <f ca="1">AVERAGE(OFFSET($AM$3,0,0,'Données projet'!$E$10+1,1))-AVERAGE(OFFSET($H$3,0,0,'Données projet'!$E$10+1,1))</f>
        <v>448.65237942538027</v>
      </c>
      <c r="AO101" s="59">
        <f t="shared" si="90"/>
        <v>283.56749129825107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87.145720728396498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87.145720728396498</v>
      </c>
      <c r="AY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</v>
      </c>
      <c r="BD101" s="12">
        <f>IF('Données projet'!$A$88&gt;35,BD100+BC101-BL100,IF(A101&lt;'Données projet'!$A$88,$BA$205^A101,IF(A101='Données projet'!$A$88,'Données projet'!$B$88,BD100+BC101-BL100)))</f>
        <v>385.59999999999991</v>
      </c>
      <c r="BE101" s="13">
        <f>BD101*VLOOKUP('Données projet'!$B$11,Paramètres!$A$1:$I$89,3,0)*VLOOKUP('Données projet'!$B$11,Paramètres!$A$1:$I$89,5,0)</f>
        <v>330.84479999999996</v>
      </c>
      <c r="BF101" s="13">
        <f t="shared" si="91"/>
        <v>77.605429694617001</v>
      </c>
      <c r="BG101" s="20">
        <f t="shared" si="61"/>
        <v>711.38415005145782</v>
      </c>
      <c r="BH101" s="59">
        <f t="shared" si="62"/>
        <v>1000.0984145531546</v>
      </c>
      <c r="BI101" s="59">
        <f ca="1">AVERAGE(OFFSET($BH$3,0,0,'Données projet'!$E$11+1,1))-AVERAGE(OFFSET($H$3,0,0,'Données projet'!$E$11+1,1))</f>
        <v>456.76871853389395</v>
      </c>
      <c r="BJ101" s="59">
        <f t="shared" si="92"/>
        <v>262.12425810289176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99.18856370106198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99.18856370106198</v>
      </c>
      <c r="BT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255.00000000000006</v>
      </c>
      <c r="BZ101" s="13">
        <f>BY101*VLOOKUP('Données projet'!$B$12,Paramètres!$A$1:$I$89,3,0)*VLOOKUP('Données projet'!$B$12,Paramètres!$A$1:$I$89,5,0)</f>
        <v>186.96600000000004</v>
      </c>
      <c r="CA101" s="13">
        <f t="shared" si="93"/>
        <v>46.868551400324648</v>
      </c>
      <c r="CB101" s="20">
        <f t="shared" si="64"/>
        <v>407.26184368889881</v>
      </c>
      <c r="CC101" s="59">
        <f t="shared" si="65"/>
        <v>695.9761081905956</v>
      </c>
      <c r="CD101" s="59">
        <f ca="1">AVERAGE(OFFSET($CC$3,0,0,'Données projet'!$E$12+1,1))-AVERAGE(OFFSET($H$3,0,0,'Données projet'!$E$12+1,1))</f>
        <v>242.65851607945316</v>
      </c>
      <c r="CE101" s="59">
        <f t="shared" si="94"/>
        <v>218.9349999985487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249.0000000000002</v>
      </c>
      <c r="CU101" s="17">
        <f>CT101*VLOOKUP('Données projet'!$B$13,Paramètres!$A$1:$I$89,3,0)*VLOOKUP('Données projet'!$B$13,Paramètres!$A$1:$I$89,5,0)</f>
        <v>217.52640000000019</v>
      </c>
      <c r="CV101" s="13">
        <f t="shared" si="95"/>
        <v>53.576907690651304</v>
      </c>
      <c r="CW101" s="20">
        <f t="shared" si="67"/>
        <v>472.17159422788467</v>
      </c>
      <c r="CX101" s="59">
        <f t="shared" si="68"/>
        <v>760.88585872958151</v>
      </c>
      <c r="CY101" s="59">
        <f ca="1">AVERAGE(OFFSET($CX$3,0,0,'Données projet'!$E$13+1,1))-AVERAGE(OFFSET($H$3,0,0,'Données projet'!$E$13+1,1))</f>
        <v>326.9460696675867</v>
      </c>
      <c r="CZ101" s="59">
        <f t="shared" si="96"/>
        <v>393.4020374592568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35.868515956185036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35.868515956185036</v>
      </c>
      <c r="DJ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349.00000000000017</v>
      </c>
      <c r="DP101" s="17">
        <f>DO101*VLOOKUP('Données projet'!$B$14,Paramètres!$A$1:$I$89,3,0)*VLOOKUP('Données projet'!$B$14,Paramètres!$A$1:$I$89,5,0)</f>
        <v>272.22000000000014</v>
      </c>
      <c r="DQ101" s="13">
        <f t="shared" si="97"/>
        <v>65.320184547527205</v>
      </c>
      <c r="DR101" s="20">
        <f t="shared" si="70"/>
        <v>587.88248808694345</v>
      </c>
      <c r="DS101" s="59">
        <f t="shared" si="71"/>
        <v>876.59675258864024</v>
      </c>
      <c r="DT101" s="59">
        <f ca="1">AVERAGE(OFFSET($DS$3,0,0,'Données projet'!$E$14+1,1))-AVERAGE(OFFSET($H$3,0,0,'Données projet'!$E$14+1,1))</f>
        <v>364.34528546733799</v>
      </c>
      <c r="DU101" s="59">
        <f t="shared" si="98"/>
        <v>346.5839763411152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49.779485902074413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49.779485902074413</v>
      </c>
      <c r="EE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213.98519999999999</v>
      </c>
      <c r="EL101" s="13">
        <f t="shared" si="99"/>
        <v>52.805497044008654</v>
      </c>
      <c r="EM101" s="20">
        <f t="shared" si="73"/>
        <v>464.66046401831505</v>
      </c>
      <c r="EN101" s="59">
        <f t="shared" si="74"/>
        <v>753.37472852001179</v>
      </c>
      <c r="EO101" s="59">
        <f ca="1">AVERAGE(OFFSET($EN$3,0,0,'Données projet'!$E$15+1,1))-AVERAGE(OFFSET($H$3,0,0,'Données projet'!$E$15+1,1))</f>
        <v>310.38232870602445</v>
      </c>
      <c r="EP101" s="59">
        <f t="shared" si="100"/>
        <v>303.45934457265537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31.385938414197835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31.385938414197835</v>
      </c>
      <c r="EZ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4.5999999999999996</v>
      </c>
      <c r="FE101" s="12">
        <f>IF('Données projet'!$A$218&gt;35,FE100+FD101-FM100,IF(A101&lt;'Données projet'!$A$218,$FB$205^A101,IF(A101='Données projet'!$A$218,'Données projet'!$B$218,FE100+FD101-FM100)))</f>
        <v>257.79999999999995</v>
      </c>
      <c r="FF101" s="17">
        <f>FE101*VLOOKUP('Données projet'!$B$16,Paramètres!$A$1:$I$89,3,0)*VLOOKUP('Données projet'!$B$16,Paramètres!$A$1:$I$89,5,0)</f>
        <v>245.32247999999998</v>
      </c>
      <c r="FG101" s="13">
        <f t="shared" si="101"/>
        <v>59.583221982635983</v>
      </c>
      <c r="FH101" s="20">
        <f t="shared" si="76"/>
        <v>531.04409761975751</v>
      </c>
      <c r="FI101" s="59">
        <f t="shared" si="77"/>
        <v>819.7583621214543</v>
      </c>
      <c r="FJ101" s="59">
        <f ca="1">AVERAGE(OFFSET($FI$3,0,0,'Données projet'!$E$16+1,1))-AVERAGE(OFFSET($H$3,0,0,'Données projet'!$E$16+1,1))</f>
        <v>457.706832425622</v>
      </c>
      <c r="FK101" s="59">
        <f t="shared" si="102"/>
        <v>474.61768219844873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87.926084610382617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87.926084610382617</v>
      </c>
      <c r="FU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319</v>
      </c>
      <c r="GA101" s="17">
        <f>FZ101*VLOOKUP('Données projet'!$B$17,Paramètres!$A$1:$I$89,3,0)*VLOOKUP('Données projet'!$B$17,Paramètres!$A$1:$I$89,5,0)</f>
        <v>308.53680000000003</v>
      </c>
      <c r="GB101" s="13">
        <f t="shared" si="103"/>
        <v>72.963171684496103</v>
      </c>
      <c r="GC101" s="20">
        <f t="shared" si="79"/>
        <v>664.4457840171641</v>
      </c>
      <c r="GD101" s="59">
        <f t="shared" si="80"/>
        <v>953.16004851886089</v>
      </c>
      <c r="GE101" s="59">
        <f ca="1">AVERAGE(OFFSET($GD$3,0,0,'Données projet'!$E$17+1,1))-AVERAGE(OFFSET($H$3,0,0,'Données projet'!$E$17+1,1))</f>
        <v>428.11167311086814</v>
      </c>
      <c r="GF101" s="59">
        <f t="shared" si="104"/>
        <v>415.69449942923609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36.715626069438983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36.715626069438983</v>
      </c>
      <c r="GP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1.1368683772161603E-13</v>
      </c>
      <c r="GV101" s="17">
        <f>GU101*VLOOKUP('Données projet'!$B$18,Paramètres!$A$1:$I$89,3,0)*VLOOKUP('Données projet'!$B$18,Paramètres!$A$1:$I$89,5,0)</f>
        <v>6.5087988332379613E-14</v>
      </c>
      <c r="GW101" s="13">
        <f t="shared" si="105"/>
        <v>1.0279249680474958E-12</v>
      </c>
      <c r="GX101" s="20">
        <f t="shared" si="82"/>
        <v>1.9036642323616162E-12</v>
      </c>
      <c r="GY101" s="59">
        <f t="shared" si="83"/>
        <v>288.71426450169866</v>
      </c>
      <c r="GZ101" s="59">
        <f ca="1">AVERAGE(OFFSET($GY$3,0,0,'Données projet'!$E$18+1,1))-AVERAGE(OFFSET($H$3,0,0,'Données projet'!$E$18+1,1))</f>
        <v>249.88816678272056</v>
      </c>
      <c r="HA101" s="59">
        <f t="shared" si="106"/>
        <v>432.10802787437319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21.601916171434691</v>
      </c>
      <c r="HH101" s="21">
        <f>EXP(-LN(2)/25)*HH100+(1-EXP(-LN(2)/25))/(LN(2)/25)*Calculateur!HC101*Calculateur!HE101*VLOOKUP('Données projet'!$B$18,Paramètres!$A$1:$I$89,3,0)*0.475*44/12</f>
        <v>3.265292720087976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24.867208891522669</v>
      </c>
    </row>
    <row r="102" spans="1:218" x14ac:dyDescent="0.3">
      <c r="A102" s="10">
        <f t="shared" si="85"/>
        <v>99</v>
      </c>
      <c r="B102" s="71">
        <f>'Scénario référence'!$B$16*5+'Scénario référence'!$B$17*0+'Scénario référence'!$B$18*5</f>
        <v>1.4000000000000001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5.1333333333333337</v>
      </c>
      <c r="H102" s="65">
        <f t="shared" si="56"/>
        <v>236.13333333333335</v>
      </c>
      <c r="I102" s="6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319</v>
      </c>
      <c r="O102" s="13">
        <f>N102*VLOOKUP('Données projet'!$B$9,Paramètres!$A$1:$I$89,3,0)*VLOOKUP('Données projet'!$B$9,Paramètres!$A$1:$I$89,5,0)</f>
        <v>253.79640000000001</v>
      </c>
      <c r="P102" s="13">
        <f t="shared" si="87"/>
        <v>61.39816832228076</v>
      </c>
      <c r="Q102" s="20">
        <f t="shared" si="107"/>
        <v>548.96387316130563</v>
      </c>
      <c r="R102" s="59">
        <f t="shared" si="55"/>
        <v>837.75826818054043</v>
      </c>
      <c r="S102" s="59">
        <f ca="1">AVERAGE(OFFSET($R$3,0,0,'Données projet'!$E$9+1,1))-AVERAGE(OFFSET($H$3,0,0,'Données projet'!$E$9+1,1))</f>
        <v>360.06385535620069</v>
      </c>
      <c r="T102" s="59">
        <f t="shared" si="88"/>
        <v>350.82516032456408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36.495219641321093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36.495219641321093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296.23151999999993</v>
      </c>
      <c r="AK102" s="13">
        <f t="shared" si="89"/>
        <v>70.385865030263986</v>
      </c>
      <c r="AL102" s="20">
        <f t="shared" si="58"/>
        <v>638.52527892770956</v>
      </c>
      <c r="AM102" s="59">
        <f t="shared" si="59"/>
        <v>927.31967394694436</v>
      </c>
      <c r="AN102" s="59">
        <f ca="1">AVERAGE(OFFSET($AM$3,0,0,'Données projet'!$E$10+1,1))-AVERAGE(OFFSET($H$3,0,0,'Données projet'!$E$10+1,1))</f>
        <v>448.65237942538027</v>
      </c>
      <c r="AO102" s="59">
        <f t="shared" si="90"/>
        <v>283.56749129825107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85.436846298553803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85.436846298553803</v>
      </c>
      <c r="AY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</v>
      </c>
      <c r="BD102" s="12">
        <f>IF('Données projet'!$A$88&gt;35,BD101+BC102-BL101,IF(A102&lt;'Données projet'!$A$88,$BA$205^A102,IF(A102='Données projet'!$A$88,'Données projet'!$B$88,BD101+BC102-BL101)))</f>
        <v>392.7999999999999</v>
      </c>
      <c r="BE102" s="13">
        <f>BD102*VLOOKUP('Données projet'!$B$11,Paramètres!$A$1:$I$89,3,0)*VLOOKUP('Données projet'!$B$11,Paramètres!$A$1:$I$89,5,0)</f>
        <v>337.02239999999995</v>
      </c>
      <c r="BF102" s="13">
        <f t="shared" si="91"/>
        <v>78.884440823098231</v>
      </c>
      <c r="BG102" s="20">
        <f t="shared" si="61"/>
        <v>724.37108110022928</v>
      </c>
      <c r="BH102" s="59">
        <f t="shared" si="62"/>
        <v>1013.1654761194641</v>
      </c>
      <c r="BI102" s="59">
        <f ca="1">AVERAGE(OFFSET($BH$3,0,0,'Données projet'!$E$11+1,1))-AVERAGE(OFFSET($H$3,0,0,'Données projet'!$E$11+1,1))</f>
        <v>456.76871853389395</v>
      </c>
      <c r="BJ102" s="59">
        <f t="shared" si="92"/>
        <v>262.12425810289176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97.243536465934227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97.243536465934227</v>
      </c>
      <c r="BT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255.00000000000006</v>
      </c>
      <c r="BZ102" s="13">
        <f>BY102*VLOOKUP('Données projet'!$B$12,Paramètres!$A$1:$I$89,3,0)*VLOOKUP('Données projet'!$B$12,Paramètres!$A$1:$I$89,5,0)</f>
        <v>186.96600000000004</v>
      </c>
      <c r="CA102" s="13">
        <f t="shared" si="93"/>
        <v>46.868551400324648</v>
      </c>
      <c r="CB102" s="20">
        <f t="shared" si="64"/>
        <v>407.26184368889881</v>
      </c>
      <c r="CC102" s="59">
        <f t="shared" si="65"/>
        <v>696.05623870813361</v>
      </c>
      <c r="CD102" s="59">
        <f ca="1">AVERAGE(OFFSET($CC$3,0,0,'Données projet'!$E$12+1,1))-AVERAGE(OFFSET($H$3,0,0,'Données projet'!$E$12+1,1))</f>
        <v>242.65851607945316</v>
      </c>
      <c r="CE102" s="59">
        <f t="shared" si="94"/>
        <v>218.9349999985487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249.0000000000002</v>
      </c>
      <c r="CU102" s="17">
        <f>CT102*VLOOKUP('Données projet'!$B$13,Paramètres!$A$1:$I$89,3,0)*VLOOKUP('Données projet'!$B$13,Paramètres!$A$1:$I$89,5,0)</f>
        <v>217.52640000000019</v>
      </c>
      <c r="CV102" s="13">
        <f t="shared" si="95"/>
        <v>53.576907690651304</v>
      </c>
      <c r="CW102" s="20">
        <f t="shared" si="67"/>
        <v>472.17159422788467</v>
      </c>
      <c r="CX102" s="59">
        <f t="shared" si="68"/>
        <v>760.96598924711952</v>
      </c>
      <c r="CY102" s="59">
        <f ca="1">AVERAGE(OFFSET($CX$3,0,0,'Données projet'!$E$13+1,1))-AVERAGE(OFFSET($H$3,0,0,'Données projet'!$E$13+1,1))</f>
        <v>326.9460696675867</v>
      </c>
      <c r="CZ102" s="59">
        <f t="shared" si="96"/>
        <v>393.4020374592568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35.165156235918744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35.165156235918744</v>
      </c>
      <c r="DJ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349.00000000000017</v>
      </c>
      <c r="DP102" s="17">
        <f>DO102*VLOOKUP('Données projet'!$B$14,Paramètres!$A$1:$I$89,3,0)*VLOOKUP('Données projet'!$B$14,Paramètres!$A$1:$I$89,5,0)</f>
        <v>272.22000000000014</v>
      </c>
      <c r="DQ102" s="13">
        <f t="shared" si="97"/>
        <v>65.320184547527205</v>
      </c>
      <c r="DR102" s="20">
        <f t="shared" si="70"/>
        <v>587.88248808694345</v>
      </c>
      <c r="DS102" s="59">
        <f t="shared" si="71"/>
        <v>876.67688310617825</v>
      </c>
      <c r="DT102" s="59">
        <f ca="1">AVERAGE(OFFSET($DS$3,0,0,'Données projet'!$E$14+1,1))-AVERAGE(OFFSET($H$3,0,0,'Données projet'!$E$14+1,1))</f>
        <v>364.34528546733799</v>
      </c>
      <c r="DU102" s="59">
        <f t="shared" si="98"/>
        <v>346.5839763411152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48.803340546023087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48.803340546023087</v>
      </c>
      <c r="EE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213.98519999999999</v>
      </c>
      <c r="EL102" s="13">
        <f t="shared" si="99"/>
        <v>52.805497044008654</v>
      </c>
      <c r="EM102" s="20">
        <f t="shared" si="73"/>
        <v>464.66046401831505</v>
      </c>
      <c r="EN102" s="59">
        <f t="shared" si="74"/>
        <v>753.4548590375498</v>
      </c>
      <c r="EO102" s="59">
        <f ca="1">AVERAGE(OFFSET($EN$3,0,0,'Données projet'!$E$15+1,1))-AVERAGE(OFFSET($H$3,0,0,'Données projet'!$E$15+1,1))</f>
        <v>310.38232870602445</v>
      </c>
      <c r="EP102" s="59">
        <f t="shared" si="100"/>
        <v>303.45934457265537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30.770479305427582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30.770479305427582</v>
      </c>
      <c r="EZ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4.5999999999999996</v>
      </c>
      <c r="FE102" s="12">
        <f>IF('Données projet'!$A$218&gt;35,FE101+FD102-FM101,IF(A102&lt;'Données projet'!$A$218,$FB$205^A102,IF(A102='Données projet'!$A$218,'Données projet'!$B$218,FE101+FD102-FM101)))</f>
        <v>262.39999999999998</v>
      </c>
      <c r="FF102" s="17">
        <f>FE102*VLOOKUP('Données projet'!$B$16,Paramètres!$A$1:$I$89,3,0)*VLOOKUP('Données projet'!$B$16,Paramètres!$A$1:$I$89,5,0)</f>
        <v>249.69983999999999</v>
      </c>
      <c r="FG102" s="13">
        <f t="shared" si="101"/>
        <v>60.521661612597903</v>
      </c>
      <c r="FH102" s="20">
        <f t="shared" si="76"/>
        <v>540.30244864194128</v>
      </c>
      <c r="FI102" s="59">
        <f t="shared" si="77"/>
        <v>829.09684366117608</v>
      </c>
      <c r="FJ102" s="59">
        <f ca="1">AVERAGE(OFFSET($FI$3,0,0,'Données projet'!$E$16+1,1))-AVERAGE(OFFSET($H$3,0,0,'Données projet'!$E$16+1,1))</f>
        <v>457.706832425622</v>
      </c>
      <c r="FK102" s="59">
        <f t="shared" si="102"/>
        <v>474.61768219844873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86.201907720789137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86.201907720789137</v>
      </c>
      <c r="FU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319</v>
      </c>
      <c r="GA102" s="17">
        <f>FZ102*VLOOKUP('Données projet'!$B$17,Paramètres!$A$1:$I$89,3,0)*VLOOKUP('Données projet'!$B$17,Paramètres!$A$1:$I$89,5,0)</f>
        <v>308.53680000000003</v>
      </c>
      <c r="GB102" s="13">
        <f t="shared" si="103"/>
        <v>72.963171684496103</v>
      </c>
      <c r="GC102" s="20">
        <f t="shared" si="79"/>
        <v>664.4457840171641</v>
      </c>
      <c r="GD102" s="59">
        <f t="shared" si="80"/>
        <v>953.2401790363989</v>
      </c>
      <c r="GE102" s="59">
        <f ca="1">AVERAGE(OFFSET($GD$3,0,0,'Données projet'!$E$17+1,1))-AVERAGE(OFFSET($H$3,0,0,'Données projet'!$E$17+1,1))</f>
        <v>428.11167311086814</v>
      </c>
      <c r="GF102" s="59">
        <f t="shared" si="104"/>
        <v>415.69449942923609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35.995655036537933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35.995655036537933</v>
      </c>
      <c r="GP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1.1368683772161603E-13</v>
      </c>
      <c r="GV102" s="17">
        <f>GU102*VLOOKUP('Données projet'!$B$18,Paramètres!$A$1:$I$89,3,0)*VLOOKUP('Données projet'!$B$18,Paramètres!$A$1:$I$89,5,0)</f>
        <v>6.5087988332379613E-14</v>
      </c>
      <c r="GW102" s="13">
        <f t="shared" si="105"/>
        <v>1.0279249680474958E-12</v>
      </c>
      <c r="GX102" s="20">
        <f t="shared" si="82"/>
        <v>1.9036642323616162E-12</v>
      </c>
      <c r="GY102" s="59">
        <f t="shared" si="83"/>
        <v>288.79439501923667</v>
      </c>
      <c r="GZ102" s="59">
        <f ca="1">AVERAGE(OFFSET($GY$3,0,0,'Données projet'!$E$18+1,1))-AVERAGE(OFFSET($H$3,0,0,'Données projet'!$E$18+1,1))</f>
        <v>249.88816678272056</v>
      </c>
      <c r="HA102" s="59">
        <f t="shared" si="106"/>
        <v>432.10802787437319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21.178315771180714</v>
      </c>
      <c r="HH102" s="21">
        <f>EXP(-LN(2)/25)*HH101+(1-EXP(-LN(2)/25))/(LN(2)/25)*Calculateur!HC102*Calculateur!HE102*VLOOKUP('Données projet'!$B$18,Paramètres!$A$1:$I$89,3,0)*0.475*44/12</f>
        <v>3.176003118942889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24.354318890123601</v>
      </c>
    </row>
    <row r="103" spans="1:218" x14ac:dyDescent="0.3">
      <c r="A103" s="10">
        <f t="shared" si="85"/>
        <v>100</v>
      </c>
      <c r="B103" s="71">
        <f>'Scénario référence'!$B$16*5+'Scénario référence'!$B$17*0+'Scénario référence'!$B$18*5</f>
        <v>1.4000000000000001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5.1333333333333337</v>
      </c>
      <c r="H103" s="65">
        <f t="shared" si="56"/>
        <v>236.13333333333335</v>
      </c>
      <c r="I103" s="6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319</v>
      </c>
      <c r="O103" s="13">
        <f>N103*VLOOKUP('Données projet'!$B$9,Paramètres!$A$1:$I$89,3,0)*VLOOKUP('Données projet'!$B$9,Paramètres!$A$1:$I$89,5,0)</f>
        <v>253.79640000000001</v>
      </c>
      <c r="P103" s="13">
        <f t="shared" si="87"/>
        <v>61.39816832228076</v>
      </c>
      <c r="Q103" s="20">
        <f t="shared" si="107"/>
        <v>548.96387316130563</v>
      </c>
      <c r="R103" s="59">
        <f t="shared" si="55"/>
        <v>837.83700861274417</v>
      </c>
      <c r="S103" s="59">
        <f ca="1">AVERAGE(OFFSET($R$3,0,0,'Données projet'!$E$9+1,1))-AVERAGE(OFFSET($H$3,0,0,'Données projet'!$E$9+1,1))</f>
        <v>360.06385535620069</v>
      </c>
      <c r="T103" s="59">
        <f t="shared" si="88"/>
        <v>350.82516032456408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35.779570644040788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35.779570644040788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301.29840000000002</v>
      </c>
      <c r="AK103" s="13">
        <f t="shared" si="89"/>
        <v>71.448589534990518</v>
      </c>
      <c r="AL103" s="20">
        <f t="shared" si="58"/>
        <v>649.2010067734418</v>
      </c>
      <c r="AM103" s="59">
        <f t="shared" si="59"/>
        <v>938.07414222488035</v>
      </c>
      <c r="AN103" s="59">
        <f ca="1">AVERAGE(OFFSET($AM$3,0,0,'Données projet'!$E$10+1,1))-AVERAGE(OFFSET($H$3,0,0,'Données projet'!$E$10+1,1))</f>
        <v>448.65237942538027</v>
      </c>
      <c r="AO103" s="59">
        <f t="shared" si="90"/>
        <v>283.56749129825107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95.374147503020254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95.374147503020254</v>
      </c>
      <c r="AY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400</v>
      </c>
      <c r="BB103" s="12">
        <f>VLOOKUP(A103,'Données projet'!$A$87:$I$107,9,0)</f>
        <v>7.2</v>
      </c>
      <c r="BC103" s="12">
        <f t="array" ref="BC103">INDEX(BB:BB,MIN(IF(ISNUMBER(BB103:BB299),ROW(BB103:BB299),"")))</f>
        <v>7.2</v>
      </c>
      <c r="BD103" s="12">
        <f>IF('Données projet'!$A$88&gt;35,BD102+BC103-BL102,IF(A103&lt;'Données projet'!$A$88,$BA$205^A103,IF(A103='Données projet'!$A$88,'Données projet'!$B$88,BD102+BC103-BL102)))</f>
        <v>399.99999999999989</v>
      </c>
      <c r="BE103" s="13">
        <f>BD103*VLOOKUP('Données projet'!$B$11,Paramètres!$A$1:$I$89,3,0)*VLOOKUP('Données projet'!$B$11,Paramètres!$A$1:$I$89,5,0)</f>
        <v>343.19999999999993</v>
      </c>
      <c r="BF103" s="13">
        <f t="shared" si="91"/>
        <v>80.160725794932105</v>
      </c>
      <c r="BG103" s="20">
        <f t="shared" si="61"/>
        <v>737.35326409283982</v>
      </c>
      <c r="BH103" s="59">
        <f t="shared" si="62"/>
        <v>1026.2263995442784</v>
      </c>
      <c r="BI103" s="59">
        <f ca="1">AVERAGE(OFFSET($BH$3,0,0,'Données projet'!$E$11+1,1))-AVERAGE(OFFSET($H$3,0,0,'Données projet'!$E$11+1,1))</f>
        <v>456.76871853389395</v>
      </c>
      <c r="BJ103" s="59">
        <f t="shared" si="92"/>
        <v>262.12425810289176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24</v>
      </c>
      <c r="BM103" s="16">
        <f>IF(ISNA(VLOOKUP(A103,'Données projet'!$A$87:$I$107,5,0)),0%,VLOOKUP(A103,'Données projet'!$A$87:$I$107,5,0)*VLOOKUP('Données projet'!$B$11,Paramètres!$A$1:$I$89,7,0))</f>
        <v>0.53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107.40148843786939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107.40148843786939</v>
      </c>
      <c r="BT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255.00000000000006</v>
      </c>
      <c r="BZ103" s="13">
        <f>BY103*VLOOKUP('Données projet'!$B$12,Paramètres!$A$1:$I$89,3,0)*VLOOKUP('Données projet'!$B$12,Paramètres!$A$1:$I$89,5,0)</f>
        <v>186.96600000000004</v>
      </c>
      <c r="CA103" s="13">
        <f t="shared" si="93"/>
        <v>46.868551400324648</v>
      </c>
      <c r="CB103" s="20">
        <f t="shared" si="64"/>
        <v>407.26184368889881</v>
      </c>
      <c r="CC103" s="59">
        <f t="shared" si="65"/>
        <v>696.13497914033735</v>
      </c>
      <c r="CD103" s="59">
        <f ca="1">AVERAGE(OFFSET($CC$3,0,0,'Données projet'!$E$12+1,1))-AVERAGE(OFFSET($H$3,0,0,'Données projet'!$E$12+1,1))</f>
        <v>242.65851607945316</v>
      </c>
      <c r="CE103" s="59">
        <f t="shared" si="94"/>
        <v>218.9349999985487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249.0000000000002</v>
      </c>
      <c r="CU103" s="17">
        <f>CT103*VLOOKUP('Données projet'!$B$13,Paramètres!$A$1:$I$89,3,0)*VLOOKUP('Données projet'!$B$13,Paramètres!$A$1:$I$89,5,0)</f>
        <v>217.52640000000019</v>
      </c>
      <c r="CV103" s="13">
        <f t="shared" si="95"/>
        <v>53.576907690651304</v>
      </c>
      <c r="CW103" s="20">
        <f t="shared" si="67"/>
        <v>472.17159422788467</v>
      </c>
      <c r="CX103" s="59">
        <f t="shared" si="68"/>
        <v>761.04472967932315</v>
      </c>
      <c r="CY103" s="59">
        <f ca="1">AVERAGE(OFFSET($CX$3,0,0,'Données projet'!$E$13+1,1))-AVERAGE(OFFSET($H$3,0,0,'Données projet'!$E$13+1,1))</f>
        <v>326.9460696675867</v>
      </c>
      <c r="CZ103" s="59">
        <f t="shared" si="96"/>
        <v>393.4020374592568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34.475588970759802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34.475588970759802</v>
      </c>
      <c r="DJ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349.00000000000017</v>
      </c>
      <c r="DP103" s="17">
        <f>DO103*VLOOKUP('Données projet'!$B$14,Paramètres!$A$1:$I$89,3,0)*VLOOKUP('Données projet'!$B$14,Paramètres!$A$1:$I$89,5,0)</f>
        <v>272.22000000000014</v>
      </c>
      <c r="DQ103" s="13">
        <f t="shared" si="97"/>
        <v>65.320184547527205</v>
      </c>
      <c r="DR103" s="20">
        <f t="shared" si="70"/>
        <v>587.88248808694345</v>
      </c>
      <c r="DS103" s="59">
        <f t="shared" si="71"/>
        <v>876.755623538382</v>
      </c>
      <c r="DT103" s="59">
        <f ca="1">AVERAGE(OFFSET($DS$3,0,0,'Données projet'!$E$14+1,1))-AVERAGE(OFFSET($H$3,0,0,'Données projet'!$E$14+1,1))</f>
        <v>364.34528546733799</v>
      </c>
      <c r="DU103" s="59">
        <f t="shared" si="98"/>
        <v>346.5839763411152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47.846336805014047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47.846336805014047</v>
      </c>
      <c r="EE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213.98519999999999</v>
      </c>
      <c r="EL103" s="13">
        <f t="shared" si="99"/>
        <v>52.805497044008654</v>
      </c>
      <c r="EM103" s="20">
        <f t="shared" si="73"/>
        <v>464.66046401831505</v>
      </c>
      <c r="EN103" s="59">
        <f t="shared" si="74"/>
        <v>753.53359946975365</v>
      </c>
      <c r="EO103" s="59">
        <f ca="1">AVERAGE(OFFSET($EN$3,0,0,'Données projet'!$E$15+1,1))-AVERAGE(OFFSET($H$3,0,0,'Données projet'!$E$15+1,1))</f>
        <v>310.38232870602445</v>
      </c>
      <c r="EP103" s="59">
        <f t="shared" si="100"/>
        <v>303.45934457265537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30.167088974387323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30.167088974387323</v>
      </c>
      <c r="EZ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267</v>
      </c>
      <c r="FC103" s="12">
        <f>VLOOKUP(A103,'Données projet'!$A$217:$I$237,9,0)</f>
        <v>4.5999999999999996</v>
      </c>
      <c r="FD103" s="12">
        <f t="array" ref="FD103">INDEX(FC:FC,MIN(IF(ISNUMBER(FC103:FC299),ROW(FC103:FC299),"")))</f>
        <v>4.5999999999999996</v>
      </c>
      <c r="FE103" s="12">
        <f>IF('Données projet'!$A$218&gt;35,FE102+FD103-FM102,IF(A103&lt;'Données projet'!$A$218,$FB$205^A103,IF(A103='Données projet'!$A$218,'Données projet'!$B$218,FE102+FD103-FM102)))</f>
        <v>267</v>
      </c>
      <c r="FF103" s="17">
        <f>FE103*VLOOKUP('Données projet'!$B$16,Paramètres!$A$1:$I$89,3,0)*VLOOKUP('Données projet'!$B$16,Paramètres!$A$1:$I$89,5,0)</f>
        <v>254.0772</v>
      </c>
      <c r="FG103" s="13">
        <f t="shared" si="101"/>
        <v>61.458188159552755</v>
      </c>
      <c r="FH103" s="20">
        <f t="shared" si="76"/>
        <v>549.55746771122097</v>
      </c>
      <c r="FI103" s="59">
        <f t="shared" si="77"/>
        <v>838.43060316265951</v>
      </c>
      <c r="FJ103" s="59">
        <f ca="1">AVERAGE(OFFSET($FI$3,0,0,'Données projet'!$E$16+1,1))-AVERAGE(OFFSET($H$3,0,0,'Données projet'!$E$16+1,1))</f>
        <v>457.706832425622</v>
      </c>
      <c r="FK103" s="59">
        <f t="shared" si="102"/>
        <v>474.61768219844873</v>
      </c>
      <c r="FL103" s="15">
        <f>IF(ISNA(VLOOKUP(A103,'Données projet'!$A$217:$I$237,3,0)),0,VLOOKUP(A103,'Données projet'!$A$217:$I$237,3,0))</f>
        <v>19</v>
      </c>
      <c r="FM103" s="15">
        <f>IF(ISNA(VLOOKUP(A103,'Données projet'!$A$217:$I$237,4,0)),0,VLOOKUP(A103,'Données projet'!$A$217:$I$237,4,0))</f>
        <v>22</v>
      </c>
      <c r="FN103" s="16">
        <f>IF(ISNA(VLOOKUP(A103,'Données projet'!$A$217:$I$237,5,0)),0%,VLOOKUP(A103,'Données projet'!$A$217:$I$237,5,0)*VLOOKUP('Données projet'!$B$16,Paramètres!$A$1:$I$89,7,0))</f>
        <v>0.43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94.463135588883773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94.463135588883773</v>
      </c>
      <c r="FU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319</v>
      </c>
      <c r="GA103" s="17">
        <f>FZ103*VLOOKUP('Données projet'!$B$17,Paramètres!$A$1:$I$89,3,0)*VLOOKUP('Données projet'!$B$17,Paramètres!$A$1:$I$89,5,0)</f>
        <v>308.53680000000003</v>
      </c>
      <c r="GB103" s="13">
        <f t="shared" si="103"/>
        <v>72.963171684496103</v>
      </c>
      <c r="GC103" s="20">
        <f t="shared" si="79"/>
        <v>664.4457840171641</v>
      </c>
      <c r="GD103" s="59">
        <f t="shared" si="80"/>
        <v>953.31891946860264</v>
      </c>
      <c r="GE103" s="59">
        <f ca="1">AVERAGE(OFFSET($GD$3,0,0,'Données projet'!$E$17+1,1))-AVERAGE(OFFSET($H$3,0,0,'Données projet'!$E$17+1,1))</f>
        <v>428.11167311086814</v>
      </c>
      <c r="GF103" s="59">
        <f t="shared" si="104"/>
        <v>415.69449942923609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35.289802196453103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35.289802196453103</v>
      </c>
      <c r="GP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1.1368683772161603E-13</v>
      </c>
      <c r="GV103" s="17">
        <f>GU103*VLOOKUP('Données projet'!$B$18,Paramètres!$A$1:$I$89,3,0)*VLOOKUP('Données projet'!$B$18,Paramètres!$A$1:$I$89,5,0)</f>
        <v>6.5087988332379613E-14</v>
      </c>
      <c r="GW103" s="13">
        <f t="shared" si="105"/>
        <v>1.0279249680474958E-12</v>
      </c>
      <c r="GX103" s="20">
        <f t="shared" si="82"/>
        <v>1.9036642323616162E-12</v>
      </c>
      <c r="GY103" s="59">
        <f t="shared" si="83"/>
        <v>288.87313545144042</v>
      </c>
      <c r="GZ103" s="59">
        <f ca="1">AVERAGE(OFFSET($GY$3,0,0,'Données projet'!$E$18+1,1))-AVERAGE(OFFSET($H$3,0,0,'Données projet'!$E$18+1,1))</f>
        <v>249.88816678272056</v>
      </c>
      <c r="HA103" s="59">
        <f t="shared" si="106"/>
        <v>432.10802787437319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20.763021916404984</v>
      </c>
      <c r="HH103" s="21">
        <f>EXP(-LN(2)/25)*HH102+(1-EXP(-LN(2)/25))/(LN(2)/25)*Calculateur!HC103*Calculateur!HE103*VLOOKUP('Données projet'!$B$18,Paramètres!$A$1:$I$89,3,0)*0.475*44/12</f>
        <v>3.0891551466366507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23.852177063041633</v>
      </c>
    </row>
    <row r="104" spans="1:218" x14ac:dyDescent="0.3">
      <c r="A104" s="10">
        <f t="shared" si="85"/>
        <v>101</v>
      </c>
      <c r="B104" s="71">
        <f>'Scénario référence'!$B$16*5+'Scénario référence'!$B$17*0+'Scénario référence'!$B$18*5</f>
        <v>1.4000000000000001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5.1333333333333337</v>
      </c>
      <c r="H104" s="65">
        <f t="shared" si="56"/>
        <v>236.13333333333335</v>
      </c>
      <c r="I104" s="6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319</v>
      </c>
      <c r="O104" s="13">
        <f>N104*VLOOKUP('Données projet'!$B$9,Paramètres!$A$1:$I$89,3,0)*VLOOKUP('Données projet'!$B$9,Paramètres!$A$1:$I$89,5,0)</f>
        <v>253.79640000000001</v>
      </c>
      <c r="P104" s="13">
        <f t="shared" si="87"/>
        <v>61.39816832228076</v>
      </c>
      <c r="Q104" s="20">
        <f t="shared" si="107"/>
        <v>548.96387316130563</v>
      </c>
      <c r="R104" s="59">
        <f t="shared" si="55"/>
        <v>837.91438307448652</v>
      </c>
      <c r="S104" s="59">
        <f ca="1">AVERAGE(OFFSET($R$3,0,0,'Données projet'!$E$9+1,1))-AVERAGE(OFFSET($H$3,0,0,'Données projet'!$E$9+1,1))</f>
        <v>360.06385535620069</v>
      </c>
      <c r="T104" s="59">
        <f t="shared" si="88"/>
        <v>350.82516032456408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35.077955087094359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35.077955087094359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281.75471999999996</v>
      </c>
      <c r="AK104" s="13">
        <f t="shared" si="89"/>
        <v>67.337696723120317</v>
      </c>
      <c r="AL104" s="20">
        <f t="shared" si="58"/>
        <v>608.00262579276773</v>
      </c>
      <c r="AM104" s="59">
        <f t="shared" si="59"/>
        <v>896.95313570594863</v>
      </c>
      <c r="AN104" s="59">
        <f ca="1">AVERAGE(OFFSET($AM$3,0,0,'Données projet'!$E$10+1,1))-AVERAGE(OFFSET($H$3,0,0,'Données projet'!$E$10+1,1))</f>
        <v>448.65237942538027</v>
      </c>
      <c r="AO104" s="59">
        <f t="shared" si="90"/>
        <v>283.56749129825107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93.503918642971954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93.503918642971954</v>
      </c>
      <c r="AY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6.6</v>
      </c>
      <c r="BD104" s="12">
        <f>IF('Données projet'!$A$88&gt;35,BD103+BC104-BL103,IF(A104&lt;'Données projet'!$A$88,$BA$205^A104,IF(A104='Données projet'!$A$88,'Données projet'!$B$88,BD103+BC104-BL103)))</f>
        <v>382.59999999999991</v>
      </c>
      <c r="BE104" s="13">
        <f>BD104*VLOOKUP('Données projet'!$B$11,Paramètres!$A$1:$I$89,3,0)*VLOOKUP('Données projet'!$B$11,Paramètres!$A$1:$I$89,5,0)</f>
        <v>328.27079999999995</v>
      </c>
      <c r="BF104" s="13">
        <f t="shared" si="91"/>
        <v>77.071690347038668</v>
      </c>
      <c r="BG104" s="20">
        <f t="shared" si="61"/>
        <v>705.97150402109219</v>
      </c>
      <c r="BH104" s="59">
        <f t="shared" si="62"/>
        <v>994.92201393427308</v>
      </c>
      <c r="BI104" s="59">
        <f ca="1">AVERAGE(OFFSET($BH$3,0,0,'Données projet'!$E$11+1,1))-AVERAGE(OFFSET($H$3,0,0,'Données projet'!$E$11+1,1))</f>
        <v>456.76871853389395</v>
      </c>
      <c r="BJ104" s="59">
        <f t="shared" si="92"/>
        <v>262.12425810289176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105.29541075804229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105.29541075804229</v>
      </c>
      <c r="BT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255.00000000000006</v>
      </c>
      <c r="BZ104" s="13">
        <f>BY104*VLOOKUP('Données projet'!$B$12,Paramètres!$A$1:$I$89,3,0)*VLOOKUP('Données projet'!$B$12,Paramètres!$A$1:$I$89,5,0)</f>
        <v>186.96600000000004</v>
      </c>
      <c r="CA104" s="13">
        <f t="shared" si="93"/>
        <v>46.868551400324648</v>
      </c>
      <c r="CB104" s="20">
        <f t="shared" si="64"/>
        <v>407.26184368889881</v>
      </c>
      <c r="CC104" s="59">
        <f t="shared" si="65"/>
        <v>696.2123536020797</v>
      </c>
      <c r="CD104" s="59">
        <f ca="1">AVERAGE(OFFSET($CC$3,0,0,'Données projet'!$E$12+1,1))-AVERAGE(OFFSET($H$3,0,0,'Données projet'!$E$12+1,1))</f>
        <v>242.65851607945316</v>
      </c>
      <c r="CE104" s="59">
        <f t="shared" si="94"/>
        <v>218.9349999985487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249.0000000000002</v>
      </c>
      <c r="CU104" s="17">
        <f>CT104*VLOOKUP('Données projet'!$B$13,Paramètres!$A$1:$I$89,3,0)*VLOOKUP('Données projet'!$B$13,Paramètres!$A$1:$I$89,5,0)</f>
        <v>217.52640000000019</v>
      </c>
      <c r="CV104" s="13">
        <f t="shared" si="95"/>
        <v>53.576907690651304</v>
      </c>
      <c r="CW104" s="20">
        <f t="shared" si="67"/>
        <v>472.17159422788467</v>
      </c>
      <c r="CX104" s="59">
        <f t="shared" si="68"/>
        <v>761.12210414106551</v>
      </c>
      <c r="CY104" s="59">
        <f ca="1">AVERAGE(OFFSET($CX$3,0,0,'Données projet'!$E$13+1,1))-AVERAGE(OFFSET($H$3,0,0,'Données projet'!$E$13+1,1))</f>
        <v>326.9460696675867</v>
      </c>
      <c r="CZ104" s="59">
        <f t="shared" si="96"/>
        <v>393.4020374592568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33.799543699076125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33.799543699076125</v>
      </c>
      <c r="DJ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349.00000000000017</v>
      </c>
      <c r="DP104" s="17">
        <f>DO104*VLOOKUP('Données projet'!$B$14,Paramètres!$A$1:$I$89,3,0)*VLOOKUP('Données projet'!$B$14,Paramètres!$A$1:$I$89,5,0)</f>
        <v>272.22000000000014</v>
      </c>
      <c r="DQ104" s="13">
        <f t="shared" si="97"/>
        <v>65.320184547527205</v>
      </c>
      <c r="DR104" s="20">
        <f t="shared" si="70"/>
        <v>587.88248808694345</v>
      </c>
      <c r="DS104" s="59">
        <f t="shared" si="71"/>
        <v>876.83299800012423</v>
      </c>
      <c r="DT104" s="59">
        <f ca="1">AVERAGE(OFFSET($DS$3,0,0,'Données projet'!$E$14+1,1))-AVERAGE(OFFSET($H$3,0,0,'Données projet'!$E$14+1,1))</f>
        <v>364.34528546733799</v>
      </c>
      <c r="DU104" s="59">
        <f t="shared" si="98"/>
        <v>346.5839763411152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46.908099323651555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46.908099323651555</v>
      </c>
      <c r="EE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213.98519999999999</v>
      </c>
      <c r="EL104" s="13">
        <f t="shared" si="99"/>
        <v>52.805497044008654</v>
      </c>
      <c r="EM104" s="20">
        <f t="shared" si="73"/>
        <v>464.66046401831505</v>
      </c>
      <c r="EN104" s="59">
        <f t="shared" si="74"/>
        <v>753.61097393149589</v>
      </c>
      <c r="EO104" s="59">
        <f ca="1">AVERAGE(OFFSET($EN$3,0,0,'Données projet'!$E$15+1,1))-AVERAGE(OFFSET($H$3,0,0,'Données projet'!$E$15+1,1))</f>
        <v>310.38232870602445</v>
      </c>
      <c r="EP104" s="59">
        <f t="shared" si="100"/>
        <v>303.45934457265537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29.575530759707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29.575530759707</v>
      </c>
      <c r="EZ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4.4000000000000004</v>
      </c>
      <c r="FE104" s="12">
        <f>IF('Données projet'!$A$218&gt;35,FE103+FD104-FM103,IF(A104&lt;'Données projet'!$A$218,$FB$205^A104,IF(A104='Données projet'!$A$218,'Données projet'!$B$218,FE103+FD104-FM103)))</f>
        <v>249.39999999999998</v>
      </c>
      <c r="FF104" s="17">
        <f>FE104*VLOOKUP('Données projet'!$B$16,Paramètres!$A$1:$I$89,3,0)*VLOOKUP('Données projet'!$B$16,Paramètres!$A$1:$I$89,5,0)</f>
        <v>237.32903999999999</v>
      </c>
      <c r="FG104" s="13">
        <f t="shared" si="101"/>
        <v>57.864486657972002</v>
      </c>
      <c r="FH104" s="20">
        <f t="shared" si="76"/>
        <v>514.12872559596781</v>
      </c>
      <c r="FI104" s="59">
        <f t="shared" si="77"/>
        <v>803.0792355091487</v>
      </c>
      <c r="FJ104" s="59">
        <f ca="1">AVERAGE(OFFSET($FI$3,0,0,'Données projet'!$E$16+1,1))-AVERAGE(OFFSET($H$3,0,0,'Données projet'!$E$16+1,1))</f>
        <v>457.706832425622</v>
      </c>
      <c r="FK104" s="59">
        <f t="shared" si="102"/>
        <v>474.61768219844873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92.610771116809289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92.610771116809289</v>
      </c>
      <c r="FU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319</v>
      </c>
      <c r="GA104" s="17">
        <f>FZ104*VLOOKUP('Données projet'!$B$17,Paramètres!$A$1:$I$89,3,0)*VLOOKUP('Données projet'!$B$17,Paramètres!$A$1:$I$89,5,0)</f>
        <v>308.53680000000003</v>
      </c>
      <c r="GB104" s="13">
        <f t="shared" si="103"/>
        <v>72.963171684496103</v>
      </c>
      <c r="GC104" s="20">
        <f t="shared" si="79"/>
        <v>664.4457840171641</v>
      </c>
      <c r="GD104" s="59">
        <f t="shared" si="80"/>
        <v>953.39629393034488</v>
      </c>
      <c r="GE104" s="59">
        <f ca="1">AVERAGE(OFFSET($GD$3,0,0,'Données projet'!$E$17+1,1))-AVERAGE(OFFSET($H$3,0,0,'Données projet'!$E$17+1,1))</f>
        <v>428.11167311086814</v>
      </c>
      <c r="GF104" s="59">
        <f t="shared" si="104"/>
        <v>415.69449942923609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34.597790700034615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34.597790700034615</v>
      </c>
      <c r="GP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1.1368683772161603E-13</v>
      </c>
      <c r="GV104" s="17">
        <f>GU104*VLOOKUP('Données projet'!$B$18,Paramètres!$A$1:$I$89,3,0)*VLOOKUP('Données projet'!$B$18,Paramètres!$A$1:$I$89,5,0)</f>
        <v>6.5087988332379613E-14</v>
      </c>
      <c r="GW104" s="13">
        <f t="shared" si="105"/>
        <v>1.0279249680474958E-12</v>
      </c>
      <c r="GX104" s="20">
        <f t="shared" si="82"/>
        <v>1.9036642323616162E-12</v>
      </c>
      <c r="GY104" s="59">
        <f t="shared" si="83"/>
        <v>288.95050991318271</v>
      </c>
      <c r="GZ104" s="59">
        <f ca="1">AVERAGE(OFFSET($GY$3,0,0,'Données projet'!$E$18+1,1))-AVERAGE(OFFSET($H$3,0,0,'Données projet'!$E$18+1,1))</f>
        <v>249.88816678272056</v>
      </c>
      <c r="HA104" s="59">
        <f t="shared" si="106"/>
        <v>432.10802787437319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20.355871720817166</v>
      </c>
      <c r="HH104" s="21">
        <f>EXP(-LN(2)/25)*HH103+(1-EXP(-LN(2)/25))/(LN(2)/25)*Calculateur!HC104*Calculateur!HE104*VLOOKUP('Données projet'!$B$18,Paramètres!$A$1:$I$89,3,0)*0.475*44/12</f>
        <v>3.0046820367002627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23.36055375751743</v>
      </c>
    </row>
    <row r="105" spans="1:218" x14ac:dyDescent="0.3">
      <c r="A105" s="10">
        <f t="shared" si="85"/>
        <v>102</v>
      </c>
      <c r="B105" s="71">
        <f>'Scénario référence'!$B$16*5+'Scénario référence'!$B$17*0+'Scénario référence'!$B$18*5</f>
        <v>1.4000000000000001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5.1333333333333337</v>
      </c>
      <c r="H105" s="65">
        <f t="shared" si="56"/>
        <v>236.13333333333335</v>
      </c>
      <c r="I105" s="6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319</v>
      </c>
      <c r="O105" s="13">
        <f>N105*VLOOKUP('Données projet'!$B$9,Paramètres!$A$1:$I$89,3,0)*VLOOKUP('Données projet'!$B$9,Paramètres!$A$1:$I$89,5,0)</f>
        <v>253.79640000000001</v>
      </c>
      <c r="P105" s="13">
        <f t="shared" si="87"/>
        <v>61.39816832228076</v>
      </c>
      <c r="Q105" s="20">
        <f t="shared" si="107"/>
        <v>548.96387316130563</v>
      </c>
      <c r="R105" s="59">
        <f t="shared" si="55"/>
        <v>837.99041526230076</v>
      </c>
      <c r="S105" s="59">
        <f ca="1">AVERAGE(OFFSET($R$3,0,0,'Données projet'!$E$9+1,1))-AVERAGE(OFFSET($H$3,0,0,'Données projet'!$E$9+1,1))</f>
        <v>360.06385535620069</v>
      </c>
      <c r="T105" s="59">
        <f t="shared" si="88"/>
        <v>350.82516032456408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34.390097783276417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34.390097783276417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286.64063999999996</v>
      </c>
      <c r="AK105" s="13">
        <f t="shared" si="89"/>
        <v>68.368446832003599</v>
      </c>
      <c r="AL105" s="20">
        <f t="shared" si="58"/>
        <v>618.30749289907283</v>
      </c>
      <c r="AM105" s="59">
        <f t="shared" si="59"/>
        <v>907.33403500006807</v>
      </c>
      <c r="AN105" s="59">
        <f ca="1">AVERAGE(OFFSET($AM$3,0,0,'Données projet'!$E$10+1,1))-AVERAGE(OFFSET($H$3,0,0,'Données projet'!$E$10+1,1))</f>
        <v>448.65237942538027</v>
      </c>
      <c r="AO105" s="59">
        <f t="shared" si="90"/>
        <v>283.56749129825107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91.670363830142222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91.670363830142222</v>
      </c>
      <c r="AY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6.6</v>
      </c>
      <c r="BD105" s="12">
        <f>IF('Données projet'!$A$88&gt;35,BD104+BC105-BL104,IF(A105&lt;'Données projet'!$A$88,$BA$205^A105,IF(A105='Données projet'!$A$88,'Données projet'!$B$88,BD104+BC105-BL104)))</f>
        <v>389.19999999999993</v>
      </c>
      <c r="BE105" s="13">
        <f>BD105*VLOOKUP('Données projet'!$B$11,Paramètres!$A$1:$I$89,3,0)*VLOOKUP('Données projet'!$B$11,Paramètres!$A$1:$I$89,5,0)</f>
        <v>333.93359999999996</v>
      </c>
      <c r="BF105" s="13">
        <f t="shared" si="91"/>
        <v>78.245279532276854</v>
      </c>
      <c r="BG105" s="20">
        <f t="shared" si="61"/>
        <v>717.87821518538203</v>
      </c>
      <c r="BH105" s="59">
        <f t="shared" si="62"/>
        <v>1006.9047572863772</v>
      </c>
      <c r="BI105" s="59">
        <f ca="1">AVERAGE(OFFSET($BH$3,0,0,'Données projet'!$E$11+1,1))-AVERAGE(OFFSET($H$3,0,0,'Données projet'!$E$11+1,1))</f>
        <v>456.76871853389395</v>
      </c>
      <c r="BJ105" s="59">
        <f t="shared" si="92"/>
        <v>262.12425810289176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103.23063197693607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103.23063197693607</v>
      </c>
      <c r="BT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255.00000000000006</v>
      </c>
      <c r="BZ105" s="13">
        <f>BY105*VLOOKUP('Données projet'!$B$12,Paramètres!$A$1:$I$89,3,0)*VLOOKUP('Données projet'!$B$12,Paramètres!$A$1:$I$89,5,0)</f>
        <v>186.96600000000004</v>
      </c>
      <c r="CA105" s="13">
        <f t="shared" si="93"/>
        <v>46.868551400324648</v>
      </c>
      <c r="CB105" s="20">
        <f t="shared" si="64"/>
        <v>407.26184368889881</v>
      </c>
      <c r="CC105" s="59">
        <f t="shared" si="65"/>
        <v>696.28838578989394</v>
      </c>
      <c r="CD105" s="59">
        <f ca="1">AVERAGE(OFFSET($CC$3,0,0,'Données projet'!$E$12+1,1))-AVERAGE(OFFSET($H$3,0,0,'Données projet'!$E$12+1,1))</f>
        <v>242.65851607945316</v>
      </c>
      <c r="CE105" s="59">
        <f t="shared" si="94"/>
        <v>218.9349999985487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249.0000000000002</v>
      </c>
      <c r="CU105" s="17">
        <f>CT105*VLOOKUP('Données projet'!$B$13,Paramètres!$A$1:$I$89,3,0)*VLOOKUP('Données projet'!$B$13,Paramètres!$A$1:$I$89,5,0)</f>
        <v>217.52640000000019</v>
      </c>
      <c r="CV105" s="13">
        <f t="shared" si="95"/>
        <v>53.576907690651304</v>
      </c>
      <c r="CW105" s="20">
        <f t="shared" si="67"/>
        <v>472.17159422788467</v>
      </c>
      <c r="CX105" s="59">
        <f t="shared" si="68"/>
        <v>761.19813632887985</v>
      </c>
      <c r="CY105" s="59">
        <f ca="1">AVERAGE(OFFSET($CX$3,0,0,'Données projet'!$E$13+1,1))-AVERAGE(OFFSET($H$3,0,0,'Données projet'!$E$13+1,1))</f>
        <v>326.9460696675867</v>
      </c>
      <c r="CZ105" s="59">
        <f t="shared" si="96"/>
        <v>393.4020374592568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33.136755262823272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33.136755262823272</v>
      </c>
      <c r="DJ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349.00000000000017</v>
      </c>
      <c r="DP105" s="17">
        <f>DO105*VLOOKUP('Données projet'!$B$14,Paramètres!$A$1:$I$89,3,0)*VLOOKUP('Données projet'!$B$14,Paramètres!$A$1:$I$89,5,0)</f>
        <v>272.22000000000014</v>
      </c>
      <c r="DQ105" s="13">
        <f t="shared" si="97"/>
        <v>65.320184547527205</v>
      </c>
      <c r="DR105" s="20">
        <f t="shared" si="70"/>
        <v>587.88248808694345</v>
      </c>
      <c r="DS105" s="59">
        <f t="shared" si="71"/>
        <v>876.9090301879387</v>
      </c>
      <c r="DT105" s="59">
        <f ca="1">AVERAGE(OFFSET($DS$3,0,0,'Données projet'!$E$14+1,1))-AVERAGE(OFFSET($H$3,0,0,'Données projet'!$E$14+1,1))</f>
        <v>364.34528546733799</v>
      </c>
      <c r="DU105" s="59">
        <f t="shared" si="98"/>
        <v>346.5839763411152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45.988260107030221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45.988260107030221</v>
      </c>
      <c r="EE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213.98519999999999</v>
      </c>
      <c r="EL105" s="13">
        <f t="shared" si="99"/>
        <v>52.805497044008654</v>
      </c>
      <c r="EM105" s="20">
        <f t="shared" si="73"/>
        <v>464.66046401831505</v>
      </c>
      <c r="EN105" s="59">
        <f t="shared" si="74"/>
        <v>753.68700611931024</v>
      </c>
      <c r="EO105" s="59">
        <f ca="1">AVERAGE(OFFSET($EN$3,0,0,'Données projet'!$E$15+1,1))-AVERAGE(OFFSET($H$3,0,0,'Données projet'!$E$15+1,1))</f>
        <v>310.38232870602445</v>
      </c>
      <c r="EP105" s="59">
        <f t="shared" si="100"/>
        <v>303.45934457265537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28.995572640801676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28.995572640801676</v>
      </c>
      <c r="EZ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4.4000000000000004</v>
      </c>
      <c r="FE105" s="12">
        <f>IF('Données projet'!$A$218&gt;35,FE104+FD105-FM104,IF(A105&lt;'Données projet'!$A$218,$FB$205^A105,IF(A105='Données projet'!$A$218,'Données projet'!$B$218,FE104+FD105-FM104)))</f>
        <v>253.79999999999998</v>
      </c>
      <c r="FF105" s="17">
        <f>FE105*VLOOKUP('Données projet'!$B$16,Paramètres!$A$1:$I$89,3,0)*VLOOKUP('Données projet'!$B$16,Paramètres!$A$1:$I$89,5,0)</f>
        <v>241.51607999999999</v>
      </c>
      <c r="FG105" s="13">
        <f t="shared" si="101"/>
        <v>58.765602836317846</v>
      </c>
      <c r="FH105" s="20">
        <f t="shared" si="76"/>
        <v>522.9905976065869</v>
      </c>
      <c r="FI105" s="59">
        <f t="shared" si="77"/>
        <v>812.01713970758215</v>
      </c>
      <c r="FJ105" s="59">
        <f ca="1">AVERAGE(OFFSET($FI$3,0,0,'Données projet'!$E$16+1,1))-AVERAGE(OFFSET($H$3,0,0,'Données projet'!$E$16+1,1))</f>
        <v>457.706832425622</v>
      </c>
      <c r="FK105" s="59">
        <f t="shared" si="102"/>
        <v>474.61768219844873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90.794730382201408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90.794730382201408</v>
      </c>
      <c r="FU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319</v>
      </c>
      <c r="GA105" s="17">
        <f>FZ105*VLOOKUP('Données projet'!$B$17,Paramètres!$A$1:$I$89,3,0)*VLOOKUP('Données projet'!$B$17,Paramètres!$A$1:$I$89,5,0)</f>
        <v>308.53680000000003</v>
      </c>
      <c r="GB105" s="13">
        <f t="shared" si="103"/>
        <v>72.963171684496103</v>
      </c>
      <c r="GC105" s="20">
        <f t="shared" si="79"/>
        <v>664.4457840171641</v>
      </c>
      <c r="GD105" s="59">
        <f t="shared" si="80"/>
        <v>953.47232611815934</v>
      </c>
      <c r="GE105" s="59">
        <f ca="1">AVERAGE(OFFSET($GD$3,0,0,'Données projet'!$E$17+1,1))-AVERAGE(OFFSET($H$3,0,0,'Données projet'!$E$17+1,1))</f>
        <v>428.11167311086814</v>
      </c>
      <c r="GF105" s="59">
        <f t="shared" si="104"/>
        <v>415.69449942923609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33.919349126975561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33.919349126975561</v>
      </c>
      <c r="GP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1.1368683772161603E-13</v>
      </c>
      <c r="GV105" s="17">
        <f>GU105*VLOOKUP('Données projet'!$B$18,Paramètres!$A$1:$I$89,3,0)*VLOOKUP('Données projet'!$B$18,Paramètres!$A$1:$I$89,5,0)</f>
        <v>6.5087988332379613E-14</v>
      </c>
      <c r="GW105" s="13">
        <f t="shared" si="105"/>
        <v>1.0279249680474958E-12</v>
      </c>
      <c r="GX105" s="20">
        <f t="shared" si="82"/>
        <v>1.9036642323616162E-12</v>
      </c>
      <c r="GY105" s="59">
        <f t="shared" si="83"/>
        <v>289.02654210099706</v>
      </c>
      <c r="GZ105" s="59">
        <f ca="1">AVERAGE(OFFSET($GY$3,0,0,'Données projet'!$E$18+1,1))-AVERAGE(OFFSET($H$3,0,0,'Données projet'!$E$18+1,1))</f>
        <v>249.88816678272056</v>
      </c>
      <c r="HA105" s="59">
        <f t="shared" si="106"/>
        <v>432.10802787437319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19.956705492227726</v>
      </c>
      <c r="HH105" s="21">
        <f>EXP(-LN(2)/25)*HH104+(1-EXP(-LN(2)/25))/(LN(2)/25)*Calculateur!HC105*Calculateur!HE105*VLOOKUP('Données projet'!$B$18,Paramètres!$A$1:$I$89,3,0)*0.475*44/12</f>
        <v>2.922518848397333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22.879224340625058</v>
      </c>
    </row>
    <row r="106" spans="1:218" x14ac:dyDescent="0.3">
      <c r="A106" s="10">
        <f t="shared" si="85"/>
        <v>103</v>
      </c>
      <c r="B106" s="71">
        <f>'Scénario référence'!$B$16*5+'Scénario référence'!$B$17*0+'Scénario référence'!$B$18*5</f>
        <v>1.4000000000000001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5.1333333333333337</v>
      </c>
      <c r="H106" s="65">
        <f t="shared" si="56"/>
        <v>236.13333333333335</v>
      </c>
      <c r="I106" s="6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319</v>
      </c>
      <c r="O106" s="13">
        <f>N106*VLOOKUP('Données projet'!$B$9,Paramètres!$A$1:$I$89,3,0)*VLOOKUP('Données projet'!$B$9,Paramètres!$A$1:$I$89,5,0)</f>
        <v>253.79640000000001</v>
      </c>
      <c r="P106" s="13">
        <f t="shared" si="87"/>
        <v>61.39816832228076</v>
      </c>
      <c r="Q106" s="20">
        <f t="shared" si="107"/>
        <v>548.96387316130563</v>
      </c>
      <c r="R106" s="59">
        <f t="shared" si="55"/>
        <v>838.06512846163923</v>
      </c>
      <c r="S106" s="59">
        <f ca="1">AVERAGE(OFFSET($R$3,0,0,'Données projet'!$E$9+1,1))-AVERAGE(OFFSET($H$3,0,0,'Données projet'!$E$9+1,1))</f>
        <v>360.06385535620069</v>
      </c>
      <c r="T106" s="59">
        <f t="shared" si="88"/>
        <v>350.82516032456408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33.715728941634815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33.715728941634815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291.5265599999999</v>
      </c>
      <c r="AK106" s="13">
        <f t="shared" si="89"/>
        <v>69.397153761857183</v>
      </c>
      <c r="AL106" s="20">
        <f t="shared" si="58"/>
        <v>628.60880146856778</v>
      </c>
      <c r="AM106" s="59">
        <f t="shared" si="59"/>
        <v>917.71005676890127</v>
      </c>
      <c r="AN106" s="59">
        <f ca="1">AVERAGE(OFFSET($AM$3,0,0,'Données projet'!$E$10+1,1))-AVERAGE(OFFSET($H$3,0,0,'Données projet'!$E$10+1,1))</f>
        <v>448.65237942538027</v>
      </c>
      <c r="AO106" s="59">
        <f t="shared" si="90"/>
        <v>283.56749129825107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89.872763908834074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89.872763908834074</v>
      </c>
      <c r="AY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6.6</v>
      </c>
      <c r="BD106" s="12">
        <f>IF('Données projet'!$A$88&gt;35,BD105+BC106-BL105,IF(A106&lt;'Données projet'!$A$88,$BA$205^A106,IF(A106='Données projet'!$A$88,'Données projet'!$B$88,BD105+BC106-BL105)))</f>
        <v>395.79999999999995</v>
      </c>
      <c r="BE106" s="13">
        <f>BD106*VLOOKUP('Données projet'!$B$11,Paramètres!$A$1:$I$89,3,0)*VLOOKUP('Données projet'!$B$11,Paramètres!$A$1:$I$89,5,0)</f>
        <v>339.59640000000002</v>
      </c>
      <c r="BF106" s="13">
        <f t="shared" si="91"/>
        <v>79.416554343021332</v>
      </c>
      <c r="BG106" s="20">
        <f t="shared" si="61"/>
        <v>729.7808954807623</v>
      </c>
      <c r="BH106" s="59">
        <f t="shared" si="62"/>
        <v>1018.8821507810958</v>
      </c>
      <c r="BI106" s="59">
        <f ca="1">AVERAGE(OFFSET($BH$3,0,0,'Données projet'!$E$11+1,1))-AVERAGE(OFFSET($H$3,0,0,'Données projet'!$E$11+1,1))</f>
        <v>456.76871853389395</v>
      </c>
      <c r="BJ106" s="59">
        <f t="shared" si="92"/>
        <v>262.12425810289176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101.20634224833663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101.20634224833663</v>
      </c>
      <c r="BT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255.00000000000006</v>
      </c>
      <c r="BZ106" s="13">
        <f>BY106*VLOOKUP('Données projet'!$B$12,Paramètres!$A$1:$I$89,3,0)*VLOOKUP('Données projet'!$B$12,Paramètres!$A$1:$I$89,5,0)</f>
        <v>186.96600000000004</v>
      </c>
      <c r="CA106" s="13">
        <f t="shared" si="93"/>
        <v>46.868551400324648</v>
      </c>
      <c r="CB106" s="20">
        <f t="shared" si="64"/>
        <v>407.26184368889881</v>
      </c>
      <c r="CC106" s="59">
        <f t="shared" si="65"/>
        <v>696.36309898923241</v>
      </c>
      <c r="CD106" s="59">
        <f ca="1">AVERAGE(OFFSET($CC$3,0,0,'Données projet'!$E$12+1,1))-AVERAGE(OFFSET($H$3,0,0,'Données projet'!$E$12+1,1))</f>
        <v>242.65851607945316</v>
      </c>
      <c r="CE106" s="59">
        <f t="shared" si="94"/>
        <v>218.9349999985487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249.0000000000002</v>
      </c>
      <c r="CU106" s="17">
        <f>CT106*VLOOKUP('Données projet'!$B$13,Paramètres!$A$1:$I$89,3,0)*VLOOKUP('Données projet'!$B$13,Paramètres!$A$1:$I$89,5,0)</f>
        <v>217.52640000000019</v>
      </c>
      <c r="CV106" s="13">
        <f t="shared" si="95"/>
        <v>53.576907690651304</v>
      </c>
      <c r="CW106" s="20">
        <f t="shared" si="67"/>
        <v>472.17159422788467</v>
      </c>
      <c r="CX106" s="59">
        <f t="shared" si="68"/>
        <v>761.27284952821822</v>
      </c>
      <c r="CY106" s="59">
        <f ca="1">AVERAGE(OFFSET($CX$3,0,0,'Données projet'!$E$13+1,1))-AVERAGE(OFFSET($H$3,0,0,'Données projet'!$E$13+1,1))</f>
        <v>326.9460696675867</v>
      </c>
      <c r="CZ106" s="59">
        <f t="shared" si="96"/>
        <v>393.4020374592568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32.486963703544305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32.486963703544305</v>
      </c>
      <c r="DJ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349.00000000000017</v>
      </c>
      <c r="DP106" s="17">
        <f>DO106*VLOOKUP('Données projet'!$B$14,Paramètres!$A$1:$I$89,3,0)*VLOOKUP('Données projet'!$B$14,Paramètres!$A$1:$I$89,5,0)</f>
        <v>272.22000000000014</v>
      </c>
      <c r="DQ106" s="13">
        <f t="shared" si="97"/>
        <v>65.320184547527205</v>
      </c>
      <c r="DR106" s="20">
        <f t="shared" si="70"/>
        <v>587.88248808694345</v>
      </c>
      <c r="DS106" s="59">
        <f t="shared" si="71"/>
        <v>876.98374338727695</v>
      </c>
      <c r="DT106" s="59">
        <f ca="1">AVERAGE(OFFSET($DS$3,0,0,'Données projet'!$E$14+1,1))-AVERAGE(OFFSET($H$3,0,0,'Données projet'!$E$14+1,1))</f>
        <v>364.34528546733799</v>
      </c>
      <c r="DU106" s="59">
        <f t="shared" si="98"/>
        <v>346.5839763411152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45.086458376400309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45.086458376400309</v>
      </c>
      <c r="EE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213.98519999999999</v>
      </c>
      <c r="EL106" s="13">
        <f t="shared" si="99"/>
        <v>52.805497044008654</v>
      </c>
      <c r="EM106" s="20">
        <f t="shared" si="73"/>
        <v>464.66046401831505</v>
      </c>
      <c r="EN106" s="59">
        <f t="shared" si="74"/>
        <v>753.7617193186486</v>
      </c>
      <c r="EO106" s="59">
        <f ca="1">AVERAGE(OFFSET($EN$3,0,0,'Données projet'!$E$15+1,1))-AVERAGE(OFFSET($H$3,0,0,'Données projet'!$E$15+1,1))</f>
        <v>310.38232870602445</v>
      </c>
      <c r="EP106" s="59">
        <f t="shared" si="100"/>
        <v>303.45934457265537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28.426987146868562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28.426987146868562</v>
      </c>
      <c r="EZ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4.4000000000000004</v>
      </c>
      <c r="FE106" s="12">
        <f>IF('Données projet'!$A$218&gt;35,FE105+FD106-FM105,IF(A106&lt;'Données projet'!$A$218,$FB$205^A106,IF(A106='Données projet'!$A$218,'Données projet'!$B$218,FE105+FD106-FM105)))</f>
        <v>258.2</v>
      </c>
      <c r="FF106" s="17">
        <f>FE106*VLOOKUP('Données projet'!$B$16,Paramètres!$A$1:$I$89,3,0)*VLOOKUP('Données projet'!$B$16,Paramètres!$A$1:$I$89,5,0)</f>
        <v>245.70311999999998</v>
      </c>
      <c r="FG106" s="13">
        <f t="shared" si="101"/>
        <v>59.664902329356607</v>
      </c>
      <c r="FH106" s="20">
        <f t="shared" si="76"/>
        <v>531.84930555696269</v>
      </c>
      <c r="FI106" s="59">
        <f t="shared" si="77"/>
        <v>820.9505608572963</v>
      </c>
      <c r="FJ106" s="59">
        <f ca="1">AVERAGE(OFFSET($FI$3,0,0,'Données projet'!$E$16+1,1))-AVERAGE(OFFSET($H$3,0,0,'Données projet'!$E$16+1,1))</f>
        <v>457.706832425622</v>
      </c>
      <c r="FK106" s="59">
        <f t="shared" si="102"/>
        <v>474.61768219844873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89.01430109872372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89.01430109872372</v>
      </c>
      <c r="FU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319</v>
      </c>
      <c r="GA106" s="17">
        <f>FZ106*VLOOKUP('Données projet'!$B$17,Paramètres!$A$1:$I$89,3,0)*VLOOKUP('Données projet'!$B$17,Paramètres!$A$1:$I$89,5,0)</f>
        <v>308.53680000000003</v>
      </c>
      <c r="GB106" s="13">
        <f t="shared" si="103"/>
        <v>72.963171684496103</v>
      </c>
      <c r="GC106" s="20">
        <f t="shared" si="79"/>
        <v>664.4457840171641</v>
      </c>
      <c r="GD106" s="59">
        <f t="shared" si="80"/>
        <v>953.54703931749759</v>
      </c>
      <c r="GE106" s="59">
        <f ca="1">AVERAGE(OFFSET($GD$3,0,0,'Données projet'!$E$17+1,1))-AVERAGE(OFFSET($H$3,0,0,'Données projet'!$E$17+1,1))</f>
        <v>428.11167311086814</v>
      </c>
      <c r="GF106" s="59">
        <f t="shared" si="104"/>
        <v>415.69449942923609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33.254211379355695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33.254211379355695</v>
      </c>
      <c r="GP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1.1368683772161603E-13</v>
      </c>
      <c r="GV106" s="17">
        <f>GU106*VLOOKUP('Données projet'!$B$18,Paramètres!$A$1:$I$89,3,0)*VLOOKUP('Données projet'!$B$18,Paramètres!$A$1:$I$89,5,0)</f>
        <v>6.5087988332379613E-14</v>
      </c>
      <c r="GW106" s="13">
        <f t="shared" si="105"/>
        <v>1.0279249680474958E-12</v>
      </c>
      <c r="GX106" s="20">
        <f t="shared" si="82"/>
        <v>1.9036642323616162E-12</v>
      </c>
      <c r="GY106" s="59">
        <f t="shared" si="83"/>
        <v>289.10125530033542</v>
      </c>
      <c r="GZ106" s="59">
        <f ca="1">AVERAGE(OFFSET($GY$3,0,0,'Données projet'!$E$18+1,1))-AVERAGE(OFFSET($H$3,0,0,'Données projet'!$E$18+1,1))</f>
        <v>249.88816678272056</v>
      </c>
      <c r="HA106" s="59">
        <f t="shared" si="106"/>
        <v>432.10802787437319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19.565366669913569</v>
      </c>
      <c r="HH106" s="21">
        <f>EXP(-LN(2)/25)*HH105+(1-EXP(-LN(2)/25))/(LN(2)/25)*Calculateur!HC106*Calculateur!HE106*VLOOKUP('Données projet'!$B$18,Paramètres!$A$1:$I$89,3,0)*0.475*44/12</f>
        <v>2.8426024167993211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22.407969086712889</v>
      </c>
    </row>
    <row r="107" spans="1:218" x14ac:dyDescent="0.3">
      <c r="A107" s="10">
        <f t="shared" si="85"/>
        <v>104</v>
      </c>
      <c r="B107" s="71">
        <f>'Scénario référence'!$B$16*5+'Scénario référence'!$B$17*0+'Scénario référence'!$B$18*5</f>
        <v>1.4000000000000001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5.1333333333333337</v>
      </c>
      <c r="H107" s="65">
        <f t="shared" si="56"/>
        <v>236.13333333333335</v>
      </c>
      <c r="I107" s="6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319</v>
      </c>
      <c r="O107" s="13">
        <f>N107*VLOOKUP('Données projet'!$B$9,Paramètres!$A$1:$I$89,3,0)*VLOOKUP('Données projet'!$B$9,Paramètres!$A$1:$I$89,5,0)</f>
        <v>253.79640000000001</v>
      </c>
      <c r="P107" s="13">
        <f t="shared" si="87"/>
        <v>61.39816832228076</v>
      </c>
      <c r="Q107" s="20">
        <f t="shared" si="107"/>
        <v>548.96387316130563</v>
      </c>
      <c r="R107" s="59">
        <f t="shared" si="55"/>
        <v>838.13854555400269</v>
      </c>
      <c r="S107" s="59">
        <f ca="1">AVERAGE(OFFSET($R$3,0,0,'Données projet'!$E$9+1,1))-AVERAGE(OFFSET($H$3,0,0,'Données projet'!$E$9+1,1))</f>
        <v>360.06385535620069</v>
      </c>
      <c r="T107" s="59">
        <f t="shared" si="88"/>
        <v>350.82516032456408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33.054584061653429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33.054584061653429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296.4124799999999</v>
      </c>
      <c r="AK107" s="13">
        <f t="shared" si="89"/>
        <v>70.423855708154704</v>
      </c>
      <c r="AL107" s="20">
        <f t="shared" si="58"/>
        <v>638.90661802503598</v>
      </c>
      <c r="AM107" s="59">
        <f t="shared" si="59"/>
        <v>928.08129041773304</v>
      </c>
      <c r="AN107" s="59">
        <f ca="1">AVERAGE(OFFSET($AM$3,0,0,'Données projet'!$E$10+1,1))-AVERAGE(OFFSET($H$3,0,0,'Données projet'!$E$10+1,1))</f>
        <v>448.65237942538027</v>
      </c>
      <c r="AO107" s="59">
        <f t="shared" si="90"/>
        <v>283.56749129825107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88.110413825555099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88.110413825555099</v>
      </c>
      <c r="AY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6.6</v>
      </c>
      <c r="BD107" s="12">
        <f>IF('Données projet'!$A$88&gt;35,BD106+BC107-BL106,IF(A107&lt;'Données projet'!$A$88,$BA$205^A107,IF(A107='Données projet'!$A$88,'Données projet'!$B$88,BD106+BC107-BL106)))</f>
        <v>402.4</v>
      </c>
      <c r="BE107" s="13">
        <f>BD107*VLOOKUP('Données projet'!$B$11,Paramètres!$A$1:$I$89,3,0)*VLOOKUP('Données projet'!$B$11,Paramètres!$A$1:$I$89,5,0)</f>
        <v>345.25920000000002</v>
      </c>
      <c r="BF107" s="13">
        <f t="shared" si="91"/>
        <v>80.585557826060622</v>
      </c>
      <c r="BG107" s="20">
        <f t="shared" si="61"/>
        <v>741.67961988038894</v>
      </c>
      <c r="BH107" s="59">
        <f t="shared" si="62"/>
        <v>1030.854292273086</v>
      </c>
      <c r="BI107" s="59">
        <f ca="1">AVERAGE(OFFSET($BH$3,0,0,'Données projet'!$E$11+1,1))-AVERAGE(OFFSET($H$3,0,0,'Données projet'!$E$11+1,1))</f>
        <v>456.76871853389395</v>
      </c>
      <c r="BJ107" s="59">
        <f t="shared" si="92"/>
        <v>262.12425810289176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99.221747606620212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99.221747606620212</v>
      </c>
      <c r="BT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255.00000000000006</v>
      </c>
      <c r="BZ107" s="13">
        <f>BY107*VLOOKUP('Données projet'!$B$12,Paramètres!$A$1:$I$89,3,0)*VLOOKUP('Données projet'!$B$12,Paramètres!$A$1:$I$89,5,0)</f>
        <v>186.96600000000004</v>
      </c>
      <c r="CA107" s="13">
        <f t="shared" si="93"/>
        <v>46.868551400324648</v>
      </c>
      <c r="CB107" s="20">
        <f t="shared" si="64"/>
        <v>407.26184368889881</v>
      </c>
      <c r="CC107" s="59">
        <f t="shared" si="65"/>
        <v>696.43651608159587</v>
      </c>
      <c r="CD107" s="59">
        <f ca="1">AVERAGE(OFFSET($CC$3,0,0,'Données projet'!$E$12+1,1))-AVERAGE(OFFSET($H$3,0,0,'Données projet'!$E$12+1,1))</f>
        <v>242.65851607945316</v>
      </c>
      <c r="CE107" s="59">
        <f t="shared" si="94"/>
        <v>218.9349999985487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249.0000000000002</v>
      </c>
      <c r="CU107" s="17">
        <f>CT107*VLOOKUP('Données projet'!$B$13,Paramètres!$A$1:$I$89,3,0)*VLOOKUP('Données projet'!$B$13,Paramètres!$A$1:$I$89,5,0)</f>
        <v>217.52640000000019</v>
      </c>
      <c r="CV107" s="13">
        <f t="shared" si="95"/>
        <v>53.576907690651304</v>
      </c>
      <c r="CW107" s="20">
        <f t="shared" si="67"/>
        <v>472.17159422788467</v>
      </c>
      <c r="CX107" s="59">
        <f t="shared" si="68"/>
        <v>761.34626662058167</v>
      </c>
      <c r="CY107" s="59">
        <f ca="1">AVERAGE(OFFSET($CX$3,0,0,'Données projet'!$E$13+1,1))-AVERAGE(OFFSET($H$3,0,0,'Données projet'!$E$13+1,1))</f>
        <v>326.9460696675867</v>
      </c>
      <c r="CZ107" s="59">
        <f t="shared" si="96"/>
        <v>393.4020374592568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31.849914160409082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31.849914160409082</v>
      </c>
      <c r="DJ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349.00000000000017</v>
      </c>
      <c r="DP107" s="17">
        <f>DO107*VLOOKUP('Données projet'!$B$14,Paramètres!$A$1:$I$89,3,0)*VLOOKUP('Données projet'!$B$14,Paramètres!$A$1:$I$89,5,0)</f>
        <v>272.22000000000014</v>
      </c>
      <c r="DQ107" s="13">
        <f t="shared" si="97"/>
        <v>65.320184547527205</v>
      </c>
      <c r="DR107" s="20">
        <f t="shared" si="70"/>
        <v>587.88248808694345</v>
      </c>
      <c r="DS107" s="59">
        <f t="shared" si="71"/>
        <v>877.05716047964052</v>
      </c>
      <c r="DT107" s="59">
        <f ca="1">AVERAGE(OFFSET($DS$3,0,0,'Données projet'!$E$14+1,1))-AVERAGE(OFFSET($H$3,0,0,'Données projet'!$E$14+1,1))</f>
        <v>364.34528546733799</v>
      </c>
      <c r="DU107" s="59">
        <f t="shared" si="98"/>
        <v>346.5839763411152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44.202340427663309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44.202340427663309</v>
      </c>
      <c r="EE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213.98519999999999</v>
      </c>
      <c r="EL107" s="13">
        <f t="shared" si="99"/>
        <v>52.805497044008654</v>
      </c>
      <c r="EM107" s="20">
        <f t="shared" si="73"/>
        <v>464.66046401831505</v>
      </c>
      <c r="EN107" s="59">
        <f t="shared" si="74"/>
        <v>753.83513641101217</v>
      </c>
      <c r="EO107" s="59">
        <f ca="1">AVERAGE(OFFSET($EN$3,0,0,'Données projet'!$E$15+1,1))-AVERAGE(OFFSET($H$3,0,0,'Données projet'!$E$15+1,1))</f>
        <v>310.38232870602445</v>
      </c>
      <c r="EP107" s="59">
        <f t="shared" si="100"/>
        <v>303.45934457265537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27.869551267668569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27.869551267668569</v>
      </c>
      <c r="EZ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4.4000000000000004</v>
      </c>
      <c r="FE107" s="12">
        <f>IF('Données projet'!$A$218&gt;35,FE106+FD107-FM106,IF(A107&lt;'Données projet'!$A$218,$FB$205^A107,IF(A107='Données projet'!$A$218,'Données projet'!$B$218,FE106+FD107-FM106)))</f>
        <v>262.59999999999997</v>
      </c>
      <c r="FF107" s="17">
        <f>FE107*VLOOKUP('Données projet'!$B$16,Paramètres!$A$1:$I$89,3,0)*VLOOKUP('Données projet'!$B$16,Paramètres!$A$1:$I$89,5,0)</f>
        <v>249.89015999999998</v>
      </c>
      <c r="FG107" s="13">
        <f t="shared" si="101"/>
        <v>60.562419667970957</v>
      </c>
      <c r="FH107" s="20">
        <f t="shared" si="76"/>
        <v>540.70490958838275</v>
      </c>
      <c r="FI107" s="59">
        <f t="shared" si="77"/>
        <v>829.87958198107981</v>
      </c>
      <c r="FJ107" s="59">
        <f ca="1">AVERAGE(OFFSET($FI$3,0,0,'Données projet'!$E$16+1,1))-AVERAGE(OFFSET($H$3,0,0,'Données projet'!$E$16+1,1))</f>
        <v>457.706832425622</v>
      </c>
      <c r="FK107" s="59">
        <f t="shared" si="102"/>
        <v>474.61768219844873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87.268784947540397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87.268784947540397</v>
      </c>
      <c r="FU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319</v>
      </c>
      <c r="GA107" s="17">
        <f>FZ107*VLOOKUP('Données projet'!$B$17,Paramètres!$A$1:$I$89,3,0)*VLOOKUP('Données projet'!$B$17,Paramètres!$A$1:$I$89,5,0)</f>
        <v>308.53680000000003</v>
      </c>
      <c r="GB107" s="13">
        <f t="shared" si="103"/>
        <v>72.963171684496103</v>
      </c>
      <c r="GC107" s="20">
        <f t="shared" si="79"/>
        <v>664.4457840171641</v>
      </c>
      <c r="GD107" s="59">
        <f t="shared" si="80"/>
        <v>953.62045640986116</v>
      </c>
      <c r="GE107" s="59">
        <f ca="1">AVERAGE(OFFSET($GD$3,0,0,'Données projet'!$E$17+1,1))-AVERAGE(OFFSET($H$3,0,0,'Données projet'!$E$17+1,1))</f>
        <v>428.11167311086814</v>
      </c>
      <c r="GF107" s="59">
        <f t="shared" si="104"/>
        <v>415.69449942923609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32.602116577272682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32.602116577272682</v>
      </c>
      <c r="GP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1.1368683772161603E-13</v>
      </c>
      <c r="GV107" s="17">
        <f>GU107*VLOOKUP('Données projet'!$B$18,Paramètres!$A$1:$I$89,3,0)*VLOOKUP('Données projet'!$B$18,Paramètres!$A$1:$I$89,5,0)</f>
        <v>6.5087988332379613E-14</v>
      </c>
      <c r="GW107" s="13">
        <f t="shared" si="105"/>
        <v>1.0279249680474958E-12</v>
      </c>
      <c r="GX107" s="20">
        <f t="shared" si="82"/>
        <v>1.9036642323616162E-12</v>
      </c>
      <c r="GY107" s="59">
        <f t="shared" si="83"/>
        <v>289.17467239269894</v>
      </c>
      <c r="GZ107" s="59">
        <f ca="1">AVERAGE(OFFSET($GY$3,0,0,'Données projet'!$E$18+1,1))-AVERAGE(OFFSET($H$3,0,0,'Données projet'!$E$18+1,1))</f>
        <v>249.88816678272056</v>
      </c>
      <c r="HA107" s="59">
        <f t="shared" si="106"/>
        <v>432.10802787437319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19.18170176321188</v>
      </c>
      <c r="HH107" s="21">
        <f>EXP(-LN(2)/25)*HH106+(1-EXP(-LN(2)/25))/(LN(2)/25)*Calculateur!HC107*Calculateur!HE107*VLOOKUP('Données projet'!$B$18,Paramètres!$A$1:$I$89,3,0)*0.475*44/12</f>
        <v>2.7648713042259794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21.946573067437861</v>
      </c>
    </row>
    <row r="108" spans="1:218" x14ac:dyDescent="0.3">
      <c r="A108" s="10">
        <f t="shared" si="85"/>
        <v>105</v>
      </c>
      <c r="B108" s="71">
        <f>'Scénario référence'!$B$16*5+'Scénario référence'!$B$17*0+'Scénario référence'!$B$18*5</f>
        <v>1.4000000000000001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5.1333333333333337</v>
      </c>
      <c r="H108" s="65">
        <f t="shared" si="56"/>
        <v>236.13333333333335</v>
      </c>
      <c r="I108" s="6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319</v>
      </c>
      <c r="O108" s="13">
        <f>N108*VLOOKUP('Données projet'!$B$9,Paramètres!$A$1:$I$89,3,0)*VLOOKUP('Données projet'!$B$9,Paramètres!$A$1:$I$89,5,0)</f>
        <v>253.79640000000001</v>
      </c>
      <c r="P108" s="13">
        <f t="shared" si="87"/>
        <v>61.39816832228076</v>
      </c>
      <c r="Q108" s="20">
        <f t="shared" si="107"/>
        <v>548.96387316130563</v>
      </c>
      <c r="R108" s="59">
        <f t="shared" si="55"/>
        <v>838.21068902394973</v>
      </c>
      <c r="S108" s="59">
        <f ca="1">AVERAGE(OFFSET($R$3,0,0,'Données projet'!$E$9+1,1))-AVERAGE(OFFSET($H$3,0,0,'Données projet'!$E$9+1,1))</f>
        <v>360.06385535620069</v>
      </c>
      <c r="T108" s="59">
        <f t="shared" si="88"/>
        <v>350.82516032456408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32.406403829509919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32.406403829509919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301.2983999999999</v>
      </c>
      <c r="AK108" s="13">
        <f t="shared" si="89"/>
        <v>71.448589534990518</v>
      </c>
      <c r="AL108" s="20">
        <f t="shared" si="58"/>
        <v>649.20100677344158</v>
      </c>
      <c r="AM108" s="59">
        <f t="shared" si="59"/>
        <v>938.44782263608568</v>
      </c>
      <c r="AN108" s="59">
        <f ca="1">AVERAGE(OFFSET($AM$3,0,0,'Données projet'!$E$10+1,1))-AVERAGE(OFFSET($H$3,0,0,'Données projet'!$E$10+1,1))</f>
        <v>448.65237942538027</v>
      </c>
      <c r="AO108" s="59">
        <f t="shared" si="90"/>
        <v>283.56749129825107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97.565189273789613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97.565189273789613</v>
      </c>
      <c r="AY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409</v>
      </c>
      <c r="BB108" s="12">
        <f>VLOOKUP(A108,'Données projet'!$A$87:$I$107,9,0)</f>
        <v>6.6</v>
      </c>
      <c r="BC108" s="12">
        <f t="array" ref="BC108">INDEX(BB:BB,MIN(IF(ISNUMBER(BB108:BB304),ROW(BB108:BB304),"")))</f>
        <v>6.6</v>
      </c>
      <c r="BD108" s="12">
        <f>IF('Données projet'!$A$88&gt;35,BD107+BC108-BL107,IF(A108&lt;'Données projet'!$A$88,$BA$205^A108,IF(A108='Données projet'!$A$88,'Données projet'!$B$88,BD107+BC108-BL107)))</f>
        <v>409</v>
      </c>
      <c r="BE108" s="13">
        <f>BD108*VLOOKUP('Données projet'!$B$11,Paramètres!$A$1:$I$89,3,0)*VLOOKUP('Données projet'!$B$11,Paramètres!$A$1:$I$89,5,0)</f>
        <v>350.92200000000003</v>
      </c>
      <c r="BF108" s="13">
        <f t="shared" si="91"/>
        <v>81.752331535154511</v>
      </c>
      <c r="BG108" s="20">
        <f t="shared" si="61"/>
        <v>753.57446075706082</v>
      </c>
      <c r="BH108" s="59">
        <f t="shared" si="62"/>
        <v>1042.8212766197048</v>
      </c>
      <c r="BI108" s="59">
        <f ca="1">AVERAGE(OFFSET($BH$3,0,0,'Données projet'!$E$11+1,1))-AVERAGE(OFFSET($H$3,0,0,'Données projet'!$E$11+1,1))</f>
        <v>456.76871853389395</v>
      </c>
      <c r="BJ108" s="59">
        <f t="shared" si="92"/>
        <v>262.12425810289176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23</v>
      </c>
      <c r="BM108" s="16">
        <f>IF(ISNA(VLOOKUP(A108,'Données projet'!$A$87:$I$107,5,0)),0%,VLOOKUP(A108,'Données projet'!$A$87:$I$107,5,0)*VLOOKUP('Données projet'!$B$11,Paramètres!$A$1:$I$89,7,0))</f>
        <v>0.53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108.83820646428737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108.83820646428737</v>
      </c>
      <c r="BT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255.00000000000006</v>
      </c>
      <c r="BZ108" s="13">
        <f>BY108*VLOOKUP('Données projet'!$B$12,Paramètres!$A$1:$I$89,3,0)*VLOOKUP('Données projet'!$B$12,Paramètres!$A$1:$I$89,5,0)</f>
        <v>186.96600000000004</v>
      </c>
      <c r="CA108" s="13">
        <f t="shared" si="93"/>
        <v>46.868551400324648</v>
      </c>
      <c r="CB108" s="20">
        <f t="shared" si="64"/>
        <v>407.26184368889881</v>
      </c>
      <c r="CC108" s="59">
        <f t="shared" si="65"/>
        <v>696.50865955154291</v>
      </c>
      <c r="CD108" s="59">
        <f ca="1">AVERAGE(OFFSET($CC$3,0,0,'Données projet'!$E$12+1,1))-AVERAGE(OFFSET($H$3,0,0,'Données projet'!$E$12+1,1))</f>
        <v>242.65851607945316</v>
      </c>
      <c r="CE108" s="59">
        <f t="shared" si="94"/>
        <v>218.9349999985487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249.0000000000002</v>
      </c>
      <c r="CU108" s="17">
        <f>CT108*VLOOKUP('Données projet'!$B$13,Paramètres!$A$1:$I$89,3,0)*VLOOKUP('Données projet'!$B$13,Paramètres!$A$1:$I$89,5,0)</f>
        <v>217.52640000000019</v>
      </c>
      <c r="CV108" s="13">
        <f t="shared" si="95"/>
        <v>53.576907690651304</v>
      </c>
      <c r="CW108" s="20">
        <f t="shared" si="67"/>
        <v>472.17159422788467</v>
      </c>
      <c r="CX108" s="59">
        <f t="shared" si="68"/>
        <v>761.41841009052882</v>
      </c>
      <c r="CY108" s="59">
        <f ca="1">AVERAGE(OFFSET($CX$3,0,0,'Données projet'!$E$13+1,1))-AVERAGE(OFFSET($H$3,0,0,'Données projet'!$E$13+1,1))</f>
        <v>326.9460696675867</v>
      </c>
      <c r="CZ108" s="59">
        <f t="shared" si="96"/>
        <v>393.4020374592568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31.225356770252887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31.225356770252887</v>
      </c>
      <c r="DJ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349.00000000000017</v>
      </c>
      <c r="DP108" s="17">
        <f>DO108*VLOOKUP('Données projet'!$B$14,Paramètres!$A$1:$I$89,3,0)*VLOOKUP('Données projet'!$B$14,Paramètres!$A$1:$I$89,5,0)</f>
        <v>272.22000000000014</v>
      </c>
      <c r="DQ108" s="13">
        <f t="shared" si="97"/>
        <v>65.320184547527205</v>
      </c>
      <c r="DR108" s="20">
        <f t="shared" si="70"/>
        <v>587.88248808694345</v>
      </c>
      <c r="DS108" s="59">
        <f t="shared" si="71"/>
        <v>877.12930394958755</v>
      </c>
      <c r="DT108" s="59">
        <f ca="1">AVERAGE(OFFSET($DS$3,0,0,'Données projet'!$E$14+1,1))-AVERAGE(OFFSET($H$3,0,0,'Données projet'!$E$14+1,1))</f>
        <v>364.34528546733799</v>
      </c>
      <c r="DU108" s="59">
        <f t="shared" si="98"/>
        <v>346.5839763411152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43.335559492642339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43.335559492642339</v>
      </c>
      <c r="EE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213.98519999999999</v>
      </c>
      <c r="EL108" s="13">
        <f t="shared" si="99"/>
        <v>52.805497044008654</v>
      </c>
      <c r="EM108" s="20">
        <f t="shared" si="73"/>
        <v>464.66046401831505</v>
      </c>
      <c r="EN108" s="59">
        <f t="shared" si="74"/>
        <v>753.90727988095909</v>
      </c>
      <c r="EO108" s="59">
        <f ca="1">AVERAGE(OFFSET($EN$3,0,0,'Données projet'!$E$15+1,1))-AVERAGE(OFFSET($H$3,0,0,'Données projet'!$E$15+1,1))</f>
        <v>310.38232870602445</v>
      </c>
      <c r="EP108" s="59">
        <f t="shared" si="100"/>
        <v>303.45934457265537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27.323046366057376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27.323046366057376</v>
      </c>
      <c r="EZ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267</v>
      </c>
      <c r="FC108" s="12">
        <f>VLOOKUP(A108,'Données projet'!$A$217:$I$237,9,0)</f>
        <v>4.4000000000000004</v>
      </c>
      <c r="FD108" s="12">
        <f t="array" ref="FD108">INDEX(FC:FC,MIN(IF(ISNUMBER(FC108:FC304),ROW(FC108:FC304),"")))</f>
        <v>4.4000000000000004</v>
      </c>
      <c r="FE108" s="12">
        <f>IF('Données projet'!$A$218&gt;35,FE107+FD108-FM107,IF(A108&lt;'Données projet'!$A$218,$FB$205^A108,IF(A108='Données projet'!$A$218,'Données projet'!$B$218,FE107+FD108-FM107)))</f>
        <v>266.99999999999994</v>
      </c>
      <c r="FF108" s="17">
        <f>FE108*VLOOKUP('Données projet'!$B$16,Paramètres!$A$1:$I$89,3,0)*VLOOKUP('Données projet'!$B$16,Paramètres!$A$1:$I$89,5,0)</f>
        <v>254.07719999999992</v>
      </c>
      <c r="FG108" s="13">
        <f t="shared" si="101"/>
        <v>61.458188159552705</v>
      </c>
      <c r="FH108" s="20">
        <f t="shared" si="76"/>
        <v>549.55746771122074</v>
      </c>
      <c r="FI108" s="59">
        <f t="shared" si="77"/>
        <v>838.80428357386484</v>
      </c>
      <c r="FJ108" s="59">
        <f ca="1">AVERAGE(OFFSET($FI$3,0,0,'Données projet'!$E$16+1,1))-AVERAGE(OFFSET($H$3,0,0,'Données projet'!$E$16+1,1))</f>
        <v>457.706832425622</v>
      </c>
      <c r="FK108" s="59">
        <f t="shared" si="102"/>
        <v>474.61768219844873</v>
      </c>
      <c r="FL108" s="15">
        <f>IF(ISNA(VLOOKUP(A108,'Données projet'!$A$217:$I$237,3,0)),0,VLOOKUP(A108,'Données projet'!$A$217:$I$237,3,0))</f>
        <v>20</v>
      </c>
      <c r="FM108" s="15">
        <f>IF(ISNA(VLOOKUP(A108,'Données projet'!$A$217:$I$237,4,0)),0,VLOOKUP(A108,'Données projet'!$A$217:$I$237,4,0))</f>
        <v>21</v>
      </c>
      <c r="FN108" s="16">
        <f>IF(ISNA(VLOOKUP(A108,'Données projet'!$A$217:$I$237,5,0)),0%,VLOOKUP(A108,'Données projet'!$A$217:$I$237,5,0)*VLOOKUP('Données projet'!$B$16,Paramètres!$A$1:$I$89,7,0))</f>
        <v>0.43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95.056746790288955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95.056746790288955</v>
      </c>
      <c r="FU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319</v>
      </c>
      <c r="GA108" s="17">
        <f>FZ108*VLOOKUP('Données projet'!$B$17,Paramètres!$A$1:$I$89,3,0)*VLOOKUP('Données projet'!$B$17,Paramètres!$A$1:$I$89,5,0)</f>
        <v>308.53680000000003</v>
      </c>
      <c r="GB108" s="13">
        <f t="shared" si="103"/>
        <v>72.963171684496103</v>
      </c>
      <c r="GC108" s="20">
        <f t="shared" si="79"/>
        <v>664.4457840171641</v>
      </c>
      <c r="GD108" s="59">
        <f t="shared" si="80"/>
        <v>953.6925998798082</v>
      </c>
      <c r="GE108" s="59">
        <f ca="1">AVERAGE(OFFSET($GD$3,0,0,'Données projet'!$E$17+1,1))-AVERAGE(OFFSET($H$3,0,0,'Données projet'!$E$17+1,1))</f>
        <v>428.11167311086814</v>
      </c>
      <c r="GF108" s="59">
        <f t="shared" si="104"/>
        <v>415.69449942923609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31.962808956519964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31.962808956519964</v>
      </c>
      <c r="GP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1.1368683772161603E-13</v>
      </c>
      <c r="GV108" s="17">
        <f>GU108*VLOOKUP('Données projet'!$B$18,Paramètres!$A$1:$I$89,3,0)*VLOOKUP('Données projet'!$B$18,Paramètres!$A$1:$I$89,5,0)</f>
        <v>6.5087988332379613E-14</v>
      </c>
      <c r="GW108" s="13">
        <f t="shared" si="105"/>
        <v>1.0279249680474958E-12</v>
      </c>
      <c r="GX108" s="20">
        <f t="shared" si="82"/>
        <v>1.9036642323616162E-12</v>
      </c>
      <c r="GY108" s="59">
        <f t="shared" si="83"/>
        <v>289.24681586264597</v>
      </c>
      <c r="GZ108" s="59">
        <f ca="1">AVERAGE(OFFSET($GY$3,0,0,'Données projet'!$E$18+1,1))-AVERAGE(OFFSET($H$3,0,0,'Données projet'!$E$18+1,1))</f>
        <v>249.88816678272056</v>
      </c>
      <c r="HA108" s="59">
        <f t="shared" si="106"/>
        <v>432.10802787437319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18.805560291318123</v>
      </c>
      <c r="HH108" s="21">
        <f>EXP(-LN(2)/25)*HH107+(1-EXP(-LN(2)/25))/(LN(2)/25)*Calculateur!HC108*Calculateur!HE108*VLOOKUP('Données projet'!$B$18,Paramètres!$A$1:$I$89,3,0)*0.475*44/12</f>
        <v>2.6892657530136574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21.494826044331781</v>
      </c>
    </row>
    <row r="109" spans="1:218" x14ac:dyDescent="0.3">
      <c r="A109" s="10">
        <f t="shared" si="85"/>
        <v>106</v>
      </c>
      <c r="B109" s="71">
        <f>'Scénario référence'!$B$16*5+'Scénario référence'!$B$17*0+'Scénario référence'!$B$18*5</f>
        <v>1.4000000000000001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5.1333333333333337</v>
      </c>
      <c r="H109" s="65">
        <f t="shared" si="56"/>
        <v>236.13333333333335</v>
      </c>
      <c r="I109" s="6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319</v>
      </c>
      <c r="O109" s="13">
        <f>N109*VLOOKUP('Données projet'!$B$9,Paramètres!$A$1:$I$89,3,0)*VLOOKUP('Données projet'!$B$9,Paramètres!$A$1:$I$89,5,0)</f>
        <v>253.79640000000001</v>
      </c>
      <c r="P109" s="13">
        <f t="shared" si="87"/>
        <v>61.39816832228076</v>
      </c>
      <c r="Q109" s="20">
        <f t="shared" si="107"/>
        <v>548.96387316130563</v>
      </c>
      <c r="R109" s="59">
        <f t="shared" si="55"/>
        <v>838.2815809659819</v>
      </c>
      <c r="S109" s="59">
        <f ca="1">AVERAGE(OFFSET($R$3,0,0,'Données projet'!$E$9+1,1))-AVERAGE(OFFSET($H$3,0,0,'Données projet'!$E$9+1,1))</f>
        <v>360.06385535620069</v>
      </c>
      <c r="T109" s="59">
        <f t="shared" si="88"/>
        <v>350.82516032456408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31.770934016367839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31.770934016367839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282.29759999999987</v>
      </c>
      <c r="AK109" s="13">
        <f t="shared" si="89"/>
        <v>67.452326629470178</v>
      </c>
      <c r="AL109" s="20">
        <f t="shared" si="58"/>
        <v>609.14778887966042</v>
      </c>
      <c r="AM109" s="59">
        <f t="shared" si="59"/>
        <v>898.46549668433659</v>
      </c>
      <c r="AN109" s="59">
        <f ca="1">AVERAGE(OFFSET($AM$3,0,0,'Données projet'!$E$10+1,1))-AVERAGE(OFFSET($H$3,0,0,'Données projet'!$E$10+1,1))</f>
        <v>448.65237942538027</v>
      </c>
      <c r="AO109" s="59">
        <f t="shared" si="90"/>
        <v>283.56749129825107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95.651995421020047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95.651995421020047</v>
      </c>
      <c r="AY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6.4</v>
      </c>
      <c r="BD109" s="12">
        <f>IF('Données projet'!$A$88&gt;35,BD108+BC109-BL108,IF(A109&lt;'Données projet'!$A$88,$BA$205^A109,IF(A109='Données projet'!$A$88,'Données projet'!$B$88,BD108+BC109-BL108)))</f>
        <v>392.4</v>
      </c>
      <c r="BE109" s="13">
        <f>BD109*VLOOKUP('Données projet'!$B$11,Paramètres!$A$1:$I$89,3,0)*VLOOKUP('Données projet'!$B$11,Paramètres!$A$1:$I$89,5,0)</f>
        <v>336.67919999999998</v>
      </c>
      <c r="BF109" s="13">
        <f t="shared" si="91"/>
        <v>78.813456684086404</v>
      </c>
      <c r="BG109" s="20">
        <f t="shared" si="61"/>
        <v>723.64971039145041</v>
      </c>
      <c r="BH109" s="59">
        <f t="shared" si="62"/>
        <v>1012.9674181961266</v>
      </c>
      <c r="BI109" s="59">
        <f ca="1">AVERAGE(OFFSET($BH$3,0,0,'Données projet'!$E$11+1,1))-AVERAGE(OFFSET($H$3,0,0,'Données projet'!$E$11+1,1))</f>
        <v>456.76871853389395</v>
      </c>
      <c r="BJ109" s="59">
        <f t="shared" si="92"/>
        <v>262.12425810289176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106.70395562027369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106.70395562027369</v>
      </c>
      <c r="BT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255.00000000000006</v>
      </c>
      <c r="BZ109" s="13">
        <f>BY109*VLOOKUP('Données projet'!$B$12,Paramètres!$A$1:$I$89,3,0)*VLOOKUP('Données projet'!$B$12,Paramètres!$A$1:$I$89,5,0)</f>
        <v>186.96600000000004</v>
      </c>
      <c r="CA109" s="13">
        <f t="shared" si="93"/>
        <v>46.868551400324648</v>
      </c>
      <c r="CB109" s="20">
        <f t="shared" si="64"/>
        <v>407.26184368889881</v>
      </c>
      <c r="CC109" s="59">
        <f t="shared" si="65"/>
        <v>696.57955149357508</v>
      </c>
      <c r="CD109" s="59">
        <f ca="1">AVERAGE(OFFSET($CC$3,0,0,'Données projet'!$E$12+1,1))-AVERAGE(OFFSET($H$3,0,0,'Données projet'!$E$12+1,1))</f>
        <v>242.65851607945316</v>
      </c>
      <c r="CE109" s="59">
        <f t="shared" si="94"/>
        <v>218.9349999985487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249.0000000000002</v>
      </c>
      <c r="CU109" s="17">
        <f>CT109*VLOOKUP('Données projet'!$B$13,Paramètres!$A$1:$I$89,3,0)*VLOOKUP('Données projet'!$B$13,Paramètres!$A$1:$I$89,5,0)</f>
        <v>217.52640000000019</v>
      </c>
      <c r="CV109" s="13">
        <f t="shared" si="95"/>
        <v>53.576907690651304</v>
      </c>
      <c r="CW109" s="20">
        <f t="shared" si="67"/>
        <v>472.17159422788467</v>
      </c>
      <c r="CX109" s="59">
        <f t="shared" si="68"/>
        <v>761.48930203256089</v>
      </c>
      <c r="CY109" s="59">
        <f ca="1">AVERAGE(OFFSET($CX$3,0,0,'Données projet'!$E$13+1,1))-AVERAGE(OFFSET($H$3,0,0,'Données projet'!$E$13+1,1))</f>
        <v>326.9460696675867</v>
      </c>
      <c r="CZ109" s="59">
        <f t="shared" si="96"/>
        <v>393.4020374592568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30.61304656957526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30.61304656957526</v>
      </c>
      <c r="DJ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349.00000000000017</v>
      </c>
      <c r="DP109" s="17">
        <f>DO109*VLOOKUP('Données projet'!$B$14,Paramètres!$A$1:$I$89,3,0)*VLOOKUP('Données projet'!$B$14,Paramètres!$A$1:$I$89,5,0)</f>
        <v>272.22000000000014</v>
      </c>
      <c r="DQ109" s="13">
        <f t="shared" si="97"/>
        <v>65.320184547527205</v>
      </c>
      <c r="DR109" s="20">
        <f t="shared" si="70"/>
        <v>587.88248808694345</v>
      </c>
      <c r="DS109" s="59">
        <f t="shared" si="71"/>
        <v>877.20019589161961</v>
      </c>
      <c r="DT109" s="59">
        <f ca="1">AVERAGE(OFFSET($DS$3,0,0,'Données projet'!$E$14+1,1))-AVERAGE(OFFSET($H$3,0,0,'Données projet'!$E$14+1,1))</f>
        <v>364.34528546733799</v>
      </c>
      <c r="DU109" s="59">
        <f t="shared" si="98"/>
        <v>346.5839763411152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42.485775603072959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42.485775603072959</v>
      </c>
      <c r="EE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213.98519999999999</v>
      </c>
      <c r="EL109" s="13">
        <f t="shared" si="99"/>
        <v>52.805497044008654</v>
      </c>
      <c r="EM109" s="20">
        <f t="shared" si="73"/>
        <v>464.66046401831505</v>
      </c>
      <c r="EN109" s="59">
        <f t="shared" si="74"/>
        <v>753.97817182299127</v>
      </c>
      <c r="EO109" s="59">
        <f ca="1">AVERAGE(OFFSET($EN$3,0,0,'Données projet'!$E$15+1,1))-AVERAGE(OFFSET($H$3,0,0,'Données projet'!$E$15+1,1))</f>
        <v>310.38232870602445</v>
      </c>
      <c r="EP109" s="59">
        <f t="shared" si="100"/>
        <v>303.45934457265537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26.787258092231703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26.787258092231703</v>
      </c>
      <c r="EZ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245.99999999999994</v>
      </c>
      <c r="FF109" s="17">
        <f>FE109*VLOOKUP('Données projet'!$B$16,Paramètres!$A$1:$I$89,3,0)*VLOOKUP('Données projet'!$B$16,Paramètres!$A$1:$I$89,5,0)</f>
        <v>234.09359999999998</v>
      </c>
      <c r="FG109" s="13">
        <f t="shared" si="101"/>
        <v>57.166902703920208</v>
      </c>
      <c r="FH109" s="20">
        <f t="shared" si="76"/>
        <v>507.27870887599425</v>
      </c>
      <c r="FI109" s="59">
        <f t="shared" si="77"/>
        <v>796.59641668067047</v>
      </c>
      <c r="FJ109" s="59">
        <f ca="1">AVERAGE(OFFSET($FI$3,0,0,'Données projet'!$E$16+1,1))-AVERAGE(OFFSET($H$3,0,0,'Données projet'!$E$16+1,1))</f>
        <v>457.706832425622</v>
      </c>
      <c r="FK109" s="59">
        <f t="shared" si="102"/>
        <v>474.61768219844873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93.192741964621987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93.192741964621987</v>
      </c>
      <c r="FU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319</v>
      </c>
      <c r="GA109" s="17">
        <f>FZ109*VLOOKUP('Données projet'!$B$17,Paramètres!$A$1:$I$89,3,0)*VLOOKUP('Données projet'!$B$17,Paramètres!$A$1:$I$89,5,0)</f>
        <v>308.53680000000003</v>
      </c>
      <c r="GB109" s="13">
        <f t="shared" si="103"/>
        <v>72.963171684496103</v>
      </c>
      <c r="GC109" s="20">
        <f t="shared" si="79"/>
        <v>664.4457840171641</v>
      </c>
      <c r="GD109" s="59">
        <f t="shared" si="80"/>
        <v>953.76349182184026</v>
      </c>
      <c r="GE109" s="59">
        <f ca="1">AVERAGE(OFFSET($GD$3,0,0,'Données projet'!$E$17+1,1))-AVERAGE(OFFSET($H$3,0,0,'Données projet'!$E$17+1,1))</f>
        <v>428.11167311086814</v>
      </c>
      <c r="GF109" s="59">
        <f t="shared" si="104"/>
        <v>415.69449942923609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31.336037768271062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31.336037768271062</v>
      </c>
      <c r="GP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1.1368683772161603E-13</v>
      </c>
      <c r="GV109" s="17">
        <f>GU109*VLOOKUP('Données projet'!$B$18,Paramètres!$A$1:$I$89,3,0)*VLOOKUP('Données projet'!$B$18,Paramètres!$A$1:$I$89,5,0)</f>
        <v>6.5087988332379613E-14</v>
      </c>
      <c r="GW109" s="13">
        <f t="shared" si="105"/>
        <v>1.0279249680474958E-12</v>
      </c>
      <c r="GX109" s="20">
        <f t="shared" si="82"/>
        <v>1.9036642323616162E-12</v>
      </c>
      <c r="GY109" s="59">
        <f t="shared" si="83"/>
        <v>289.31770780467809</v>
      </c>
      <c r="GZ109" s="59">
        <f ca="1">AVERAGE(OFFSET($GY$3,0,0,'Données projet'!$E$18+1,1))-AVERAGE(OFFSET($H$3,0,0,'Données projet'!$E$18+1,1))</f>
        <v>249.88816678272056</v>
      </c>
      <c r="HA109" s="59">
        <f t="shared" si="106"/>
        <v>432.10802787437319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18.436794724264558</v>
      </c>
      <c r="HH109" s="21">
        <f>EXP(-LN(2)/25)*HH108+(1-EXP(-LN(2)/25))/(LN(2)/25)*Calculateur!HC109*Calculateur!HE109*VLOOKUP('Données projet'!$B$18,Paramètres!$A$1:$I$89,3,0)*0.475*44/12</f>
        <v>2.6157276395751596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21.052522363839717</v>
      </c>
    </row>
    <row r="110" spans="1:218" x14ac:dyDescent="0.3">
      <c r="A110" s="10">
        <f t="shared" si="85"/>
        <v>107</v>
      </c>
      <c r="B110" s="71">
        <f>'Scénario référence'!$B$16*5+'Scénario référence'!$B$17*0+'Scénario référence'!$B$18*5</f>
        <v>1.4000000000000001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5.1333333333333337</v>
      </c>
      <c r="H110" s="65">
        <f t="shared" si="56"/>
        <v>236.13333333333335</v>
      </c>
      <c r="I110" s="6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319</v>
      </c>
      <c r="O110" s="13">
        <f>N110*VLOOKUP('Données projet'!$B$9,Paramètres!$A$1:$I$89,3,0)*VLOOKUP('Données projet'!$B$9,Paramètres!$A$1:$I$89,5,0)</f>
        <v>253.79640000000001</v>
      </c>
      <c r="P110" s="13">
        <f t="shared" si="87"/>
        <v>61.39816832228076</v>
      </c>
      <c r="Q110" s="20">
        <f t="shared" si="107"/>
        <v>548.96387316130563</v>
      </c>
      <c r="R110" s="59">
        <f t="shared" si="55"/>
        <v>838.35124309131027</v>
      </c>
      <c r="S110" s="59">
        <f ca="1">AVERAGE(OFFSET($R$3,0,0,'Données projet'!$E$9+1,1))-AVERAGE(OFFSET($H$3,0,0,'Données projet'!$E$9+1,1))</f>
        <v>360.06385535620069</v>
      </c>
      <c r="T110" s="59">
        <f t="shared" si="88"/>
        <v>350.82516032456408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31.14792537866316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31.14792537866316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286.82159999999988</v>
      </c>
      <c r="AK110" s="13">
        <f t="shared" si="89"/>
        <v>68.406583284351413</v>
      </c>
      <c r="AL110" s="20">
        <f t="shared" si="58"/>
        <v>618.68908588691181</v>
      </c>
      <c r="AM110" s="59">
        <f t="shared" si="59"/>
        <v>908.07645581691645</v>
      </c>
      <c r="AN110" s="59">
        <f ca="1">AVERAGE(OFFSET($AM$3,0,0,'Données projet'!$E$10+1,1))-AVERAGE(OFFSET($H$3,0,0,'Données projet'!$E$10+1,1))</f>
        <v>448.65237942538027</v>
      </c>
      <c r="AO110" s="59">
        <f t="shared" si="90"/>
        <v>283.56749129825107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93.776318132770257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93.776318132770257</v>
      </c>
      <c r="AY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6.4</v>
      </c>
      <c r="BD110" s="12">
        <f>IF('Données projet'!$A$88&gt;35,BD109+BC110-BL109,IF(A110&lt;'Données projet'!$A$88,$BA$205^A110,IF(A110='Données projet'!$A$88,'Données projet'!$B$88,BD109+BC110-BL109)))</f>
        <v>398.79999999999995</v>
      </c>
      <c r="BE110" s="13">
        <f>BD110*VLOOKUP('Données projet'!$B$11,Paramètres!$A$1:$I$89,3,0)*VLOOKUP('Données projet'!$B$11,Paramètres!$A$1:$I$89,5,0)</f>
        <v>342.17040000000003</v>
      </c>
      <c r="BF110" s="13">
        <f t="shared" si="91"/>
        <v>79.948198600746707</v>
      </c>
      <c r="BG110" s="20">
        <f t="shared" si="61"/>
        <v>735.1898925629672</v>
      </c>
      <c r="BH110" s="59">
        <f t="shared" si="62"/>
        <v>1024.5772624929718</v>
      </c>
      <c r="BI110" s="59">
        <f ca="1">AVERAGE(OFFSET($BH$3,0,0,'Données projet'!$E$11+1,1))-AVERAGE(OFFSET($H$3,0,0,'Données projet'!$E$11+1,1))</f>
        <v>456.76871853389395</v>
      </c>
      <c r="BJ110" s="59">
        <f t="shared" si="92"/>
        <v>262.12425810289176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104.61155613354664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104.61155613354664</v>
      </c>
      <c r="BT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255.00000000000006</v>
      </c>
      <c r="BZ110" s="13">
        <f>BY110*VLOOKUP('Données projet'!$B$12,Paramètres!$A$1:$I$89,3,0)*VLOOKUP('Données projet'!$B$12,Paramètres!$A$1:$I$89,5,0)</f>
        <v>186.96600000000004</v>
      </c>
      <c r="CA110" s="13">
        <f t="shared" si="93"/>
        <v>46.868551400324648</v>
      </c>
      <c r="CB110" s="20">
        <f t="shared" si="64"/>
        <v>407.26184368889881</v>
      </c>
      <c r="CC110" s="59">
        <f t="shared" si="65"/>
        <v>696.64921361890345</v>
      </c>
      <c r="CD110" s="59">
        <f ca="1">AVERAGE(OFFSET($CC$3,0,0,'Données projet'!$E$12+1,1))-AVERAGE(OFFSET($H$3,0,0,'Données projet'!$E$12+1,1))</f>
        <v>242.65851607945316</v>
      </c>
      <c r="CE110" s="59">
        <f t="shared" si="94"/>
        <v>218.9349999985487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249.0000000000002</v>
      </c>
      <c r="CU110" s="17">
        <f>CT110*VLOOKUP('Données projet'!$B$13,Paramètres!$A$1:$I$89,3,0)*VLOOKUP('Données projet'!$B$13,Paramètres!$A$1:$I$89,5,0)</f>
        <v>217.52640000000019</v>
      </c>
      <c r="CV110" s="13">
        <f t="shared" si="95"/>
        <v>53.576907690651304</v>
      </c>
      <c r="CW110" s="20">
        <f t="shared" si="67"/>
        <v>472.17159422788467</v>
      </c>
      <c r="CX110" s="59">
        <f t="shared" si="68"/>
        <v>761.55896415788925</v>
      </c>
      <c r="CY110" s="59">
        <f ca="1">AVERAGE(OFFSET($CX$3,0,0,'Données projet'!$E$13+1,1))-AVERAGE(OFFSET($H$3,0,0,'Données projet'!$E$13+1,1))</f>
        <v>326.9460696675867</v>
      </c>
      <c r="CZ110" s="59">
        <f t="shared" si="96"/>
        <v>393.4020374592568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30.012743398460579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30.012743398460579</v>
      </c>
      <c r="DJ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349.00000000000017</v>
      </c>
      <c r="DP110" s="17">
        <f>DO110*VLOOKUP('Données projet'!$B$14,Paramètres!$A$1:$I$89,3,0)*VLOOKUP('Données projet'!$B$14,Paramètres!$A$1:$I$89,5,0)</f>
        <v>272.22000000000014</v>
      </c>
      <c r="DQ110" s="13">
        <f t="shared" si="97"/>
        <v>65.320184547527205</v>
      </c>
      <c r="DR110" s="20">
        <f t="shared" si="70"/>
        <v>587.88248808694345</v>
      </c>
      <c r="DS110" s="59">
        <f t="shared" si="71"/>
        <v>877.26985801694809</v>
      </c>
      <c r="DT110" s="59">
        <f ca="1">AVERAGE(OFFSET($DS$3,0,0,'Données projet'!$E$14+1,1))-AVERAGE(OFFSET($H$3,0,0,'Données projet'!$E$14+1,1))</f>
        <v>364.34528546733799</v>
      </c>
      <c r="DU110" s="59">
        <f t="shared" si="98"/>
        <v>346.5839763411152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41.652655457261048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41.652655457261048</v>
      </c>
      <c r="EE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213.98519999999999</v>
      </c>
      <c r="EL110" s="13">
        <f t="shared" si="99"/>
        <v>52.805497044008654</v>
      </c>
      <c r="EM110" s="20">
        <f t="shared" si="73"/>
        <v>464.66046401831505</v>
      </c>
      <c r="EN110" s="59">
        <f t="shared" si="74"/>
        <v>754.04783394831975</v>
      </c>
      <c r="EO110" s="59">
        <f ca="1">AVERAGE(OFFSET($EN$3,0,0,'Données projet'!$E$15+1,1))-AVERAGE(OFFSET($H$3,0,0,'Données projet'!$E$15+1,1))</f>
        <v>310.38232870602445</v>
      </c>
      <c r="EP110" s="59">
        <f t="shared" si="100"/>
        <v>303.45934457265537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26.261976299657171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26.261976299657171</v>
      </c>
      <c r="EZ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245.99999999999994</v>
      </c>
      <c r="FF110" s="17">
        <f>FE110*VLOOKUP('Données projet'!$B$16,Paramètres!$A$1:$I$89,3,0)*VLOOKUP('Données projet'!$B$16,Paramètres!$A$1:$I$89,5,0)</f>
        <v>234.09359999999998</v>
      </c>
      <c r="FG110" s="13">
        <f t="shared" si="101"/>
        <v>57.166902703920208</v>
      </c>
      <c r="FH110" s="20">
        <f t="shared" si="76"/>
        <v>507.27870887599425</v>
      </c>
      <c r="FI110" s="59">
        <f t="shared" si="77"/>
        <v>796.66607880599895</v>
      </c>
      <c r="FJ110" s="59">
        <f ca="1">AVERAGE(OFFSET($FI$3,0,0,'Données projet'!$E$16+1,1))-AVERAGE(OFFSET($H$3,0,0,'Données projet'!$E$16+1,1))</f>
        <v>457.706832425622</v>
      </c>
      <c r="FK110" s="59">
        <f t="shared" si="102"/>
        <v>474.61768219844873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91.365289136655676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91.365289136655676</v>
      </c>
      <c r="FU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319</v>
      </c>
      <c r="GA110" s="17">
        <f>FZ110*VLOOKUP('Données projet'!$B$17,Paramètres!$A$1:$I$89,3,0)*VLOOKUP('Données projet'!$B$17,Paramètres!$A$1:$I$89,5,0)</f>
        <v>308.53680000000003</v>
      </c>
      <c r="GB110" s="13">
        <f t="shared" si="103"/>
        <v>72.963171684496103</v>
      </c>
      <c r="GC110" s="20">
        <f t="shared" si="79"/>
        <v>664.4457840171641</v>
      </c>
      <c r="GD110" s="59">
        <f t="shared" si="80"/>
        <v>953.83315394716874</v>
      </c>
      <c r="GE110" s="59">
        <f ca="1">AVERAGE(OFFSET($GD$3,0,0,'Données projet'!$E$17+1,1))-AVERAGE(OFFSET($H$3,0,0,'Données projet'!$E$17+1,1))</f>
        <v>428.11167311086814</v>
      </c>
      <c r="GF110" s="59">
        <f t="shared" si="104"/>
        <v>415.69449942923609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30.721557180731043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30.721557180731043</v>
      </c>
      <c r="GP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1.1368683772161603E-13</v>
      </c>
      <c r="GV110" s="17">
        <f>GU110*VLOOKUP('Données projet'!$B$18,Paramètres!$A$1:$I$89,3,0)*VLOOKUP('Données projet'!$B$18,Paramètres!$A$1:$I$89,5,0)</f>
        <v>6.5087988332379613E-14</v>
      </c>
      <c r="GW110" s="13">
        <f t="shared" si="105"/>
        <v>1.0279249680474958E-12</v>
      </c>
      <c r="GX110" s="20">
        <f t="shared" si="82"/>
        <v>1.9036642323616162E-12</v>
      </c>
      <c r="GY110" s="59">
        <f t="shared" si="83"/>
        <v>289.38736993000651</v>
      </c>
      <c r="GZ110" s="59">
        <f ca="1">AVERAGE(OFFSET($GY$3,0,0,'Données projet'!$E$18+1,1))-AVERAGE(OFFSET($H$3,0,0,'Données projet'!$E$18+1,1))</f>
        <v>249.88816678272056</v>
      </c>
      <c r="HA110" s="59">
        <f t="shared" si="106"/>
        <v>432.10802787437319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18.075260425056129</v>
      </c>
      <c r="HH110" s="21">
        <f>EXP(-LN(2)/25)*HH109+(1-EXP(-LN(2)/25))/(LN(2)/25)*Calculateur!HC110*Calculateur!HE110*VLOOKUP('Données projet'!$B$18,Paramètres!$A$1:$I$89,3,0)*0.475*44/12</f>
        <v>2.5442004297158385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20.619460854771969</v>
      </c>
    </row>
    <row r="111" spans="1:218" x14ac:dyDescent="0.3">
      <c r="A111" s="10">
        <f t="shared" si="85"/>
        <v>108</v>
      </c>
      <c r="B111" s="71">
        <f>'Scénario référence'!$B$16*5+'Scénario référence'!$B$17*0+'Scénario référence'!$B$18*5</f>
        <v>1.4000000000000001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5.1333333333333337</v>
      </c>
      <c r="H111" s="65">
        <f t="shared" si="56"/>
        <v>236.13333333333335</v>
      </c>
      <c r="I111" s="6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319</v>
      </c>
      <c r="O111" s="13">
        <f>N111*VLOOKUP('Données projet'!$B$9,Paramètres!$A$1:$I$89,3,0)*VLOOKUP('Données projet'!$B$9,Paramètres!$A$1:$I$89,5,0)</f>
        <v>253.79640000000001</v>
      </c>
      <c r="P111" s="13">
        <f t="shared" si="87"/>
        <v>61.39816832228076</v>
      </c>
      <c r="Q111" s="20">
        <f t="shared" si="107"/>
        <v>548.96387316130563</v>
      </c>
      <c r="R111" s="59">
        <f t="shared" si="55"/>
        <v>838.41969673450558</v>
      </c>
      <c r="S111" s="59">
        <f ca="1">AVERAGE(OFFSET($R$3,0,0,'Données projet'!$E$9+1,1))-AVERAGE(OFFSET($H$3,0,0,'Données projet'!$E$9+1,1))</f>
        <v>360.06385535620069</v>
      </c>
      <c r="T111" s="59">
        <f t="shared" si="88"/>
        <v>350.82516032456408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30.537133560346124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30.537133560346124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291.34559999999993</v>
      </c>
      <c r="AK111" s="13">
        <f t="shared" si="89"/>
        <v>69.359089490698707</v>
      </c>
      <c r="AL111" s="20">
        <f t="shared" si="58"/>
        <v>628.22733419630015</v>
      </c>
      <c r="AM111" s="59">
        <f t="shared" si="59"/>
        <v>917.68315776949999</v>
      </c>
      <c r="AN111" s="59">
        <f ca="1">AVERAGE(OFFSET($AM$3,0,0,'Données projet'!$E$10+1,1))-AVERAGE(OFFSET($H$3,0,0,'Données projet'!$E$10+1,1))</f>
        <v>448.65237942538027</v>
      </c>
      <c r="AO111" s="59">
        <f t="shared" si="90"/>
        <v>283.56749129825107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91.937421732092872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91.937421732092872</v>
      </c>
      <c r="AY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6.4</v>
      </c>
      <c r="BD111" s="12">
        <f>IF('Données projet'!$A$88&gt;35,BD110+BC111-BL110,IF(A111&lt;'Données projet'!$A$88,$BA$205^A111,IF(A111='Données projet'!$A$88,'Données projet'!$B$88,BD110+BC111-BL110)))</f>
        <v>405.19999999999993</v>
      </c>
      <c r="BE111" s="13">
        <f>BD111*VLOOKUP('Données projet'!$B$11,Paramètres!$A$1:$I$89,3,0)*VLOOKUP('Données projet'!$B$11,Paramètres!$A$1:$I$89,5,0)</f>
        <v>347.66159999999996</v>
      </c>
      <c r="BF111" s="13">
        <f t="shared" si="91"/>
        <v>81.080822697416465</v>
      </c>
      <c r="BG111" s="20">
        <f t="shared" si="61"/>
        <v>746.72638619800034</v>
      </c>
      <c r="BH111" s="59">
        <f t="shared" si="62"/>
        <v>1036.1822097712002</v>
      </c>
      <c r="BI111" s="59">
        <f ca="1">AVERAGE(OFFSET($BH$3,0,0,'Données projet'!$E$11+1,1))-AVERAGE(OFFSET($H$3,0,0,'Données projet'!$E$11+1,1))</f>
        <v>456.76871853389395</v>
      </c>
      <c r="BJ111" s="59">
        <f t="shared" si="92"/>
        <v>262.12425810289176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102.56018732451665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102.56018732451665</v>
      </c>
      <c r="BT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255.00000000000006</v>
      </c>
      <c r="BZ111" s="13">
        <f>BY111*VLOOKUP('Données projet'!$B$12,Paramètres!$A$1:$I$89,3,0)*VLOOKUP('Données projet'!$B$12,Paramètres!$A$1:$I$89,5,0)</f>
        <v>186.96600000000004</v>
      </c>
      <c r="CA111" s="13">
        <f t="shared" si="93"/>
        <v>46.868551400324648</v>
      </c>
      <c r="CB111" s="20">
        <f t="shared" si="64"/>
        <v>407.26184368889881</v>
      </c>
      <c r="CC111" s="59">
        <f t="shared" si="65"/>
        <v>696.71766726209876</v>
      </c>
      <c r="CD111" s="59">
        <f ca="1">AVERAGE(OFFSET($CC$3,0,0,'Données projet'!$E$12+1,1))-AVERAGE(OFFSET($H$3,0,0,'Données projet'!$E$12+1,1))</f>
        <v>242.65851607945316</v>
      </c>
      <c r="CE111" s="59">
        <f t="shared" si="94"/>
        <v>218.9349999985487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249.0000000000002</v>
      </c>
      <c r="CU111" s="17">
        <f>CT111*VLOOKUP('Données projet'!$B$13,Paramètres!$A$1:$I$89,3,0)*VLOOKUP('Données projet'!$B$13,Paramètres!$A$1:$I$89,5,0)</f>
        <v>217.52640000000019</v>
      </c>
      <c r="CV111" s="13">
        <f t="shared" si="95"/>
        <v>53.576907690651304</v>
      </c>
      <c r="CW111" s="20">
        <f t="shared" si="67"/>
        <v>472.17159422788467</v>
      </c>
      <c r="CX111" s="59">
        <f t="shared" si="68"/>
        <v>761.62741780108456</v>
      </c>
      <c r="CY111" s="59">
        <f ca="1">AVERAGE(OFFSET($CX$3,0,0,'Données projet'!$E$13+1,1))-AVERAGE(OFFSET($H$3,0,0,'Données projet'!$E$13+1,1))</f>
        <v>326.9460696675867</v>
      </c>
      <c r="CZ111" s="59">
        <f t="shared" si="96"/>
        <v>393.4020374592568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29.424211806382676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29.424211806382676</v>
      </c>
      <c r="DJ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349.00000000000017</v>
      </c>
      <c r="DP111" s="17">
        <f>DO111*VLOOKUP('Données projet'!$B$14,Paramètres!$A$1:$I$89,3,0)*VLOOKUP('Données projet'!$B$14,Paramètres!$A$1:$I$89,5,0)</f>
        <v>272.22000000000014</v>
      </c>
      <c r="DQ111" s="13">
        <f t="shared" si="97"/>
        <v>65.320184547527205</v>
      </c>
      <c r="DR111" s="20">
        <f t="shared" si="70"/>
        <v>587.88248808694345</v>
      </c>
      <c r="DS111" s="59">
        <f t="shared" si="71"/>
        <v>877.33831166014329</v>
      </c>
      <c r="DT111" s="59">
        <f ca="1">AVERAGE(OFFSET($DS$3,0,0,'Données projet'!$E$14+1,1))-AVERAGE(OFFSET($H$3,0,0,'Données projet'!$E$14+1,1))</f>
        <v>364.34528546733799</v>
      </c>
      <c r="DU111" s="59">
        <f t="shared" si="98"/>
        <v>346.5839763411152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40.835872289355393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40.835872289355393</v>
      </c>
      <c r="EE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213.98519999999999</v>
      </c>
      <c r="EL111" s="13">
        <f t="shared" si="99"/>
        <v>52.805497044008654</v>
      </c>
      <c r="EM111" s="20">
        <f t="shared" si="73"/>
        <v>464.66046401831505</v>
      </c>
      <c r="EN111" s="59">
        <f t="shared" si="74"/>
        <v>754.11628759151495</v>
      </c>
      <c r="EO111" s="59">
        <f ca="1">AVERAGE(OFFSET($EN$3,0,0,'Données projet'!$E$15+1,1))-AVERAGE(OFFSET($H$3,0,0,'Données projet'!$E$15+1,1))</f>
        <v>310.38232870602445</v>
      </c>
      <c r="EP111" s="59">
        <f t="shared" si="100"/>
        <v>303.45934457265537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25.746994962644767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25.746994962644767</v>
      </c>
      <c r="EZ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245.99999999999994</v>
      </c>
      <c r="FF111" s="17">
        <f>FE111*VLOOKUP('Données projet'!$B$16,Paramètres!$A$1:$I$89,3,0)*VLOOKUP('Données projet'!$B$16,Paramètres!$A$1:$I$89,5,0)</f>
        <v>234.09359999999998</v>
      </c>
      <c r="FG111" s="13">
        <f t="shared" si="101"/>
        <v>57.166902703920208</v>
      </c>
      <c r="FH111" s="20">
        <f t="shared" si="76"/>
        <v>507.27870887599425</v>
      </c>
      <c r="FI111" s="59">
        <f t="shared" si="77"/>
        <v>796.73453244919415</v>
      </c>
      <c r="FJ111" s="59">
        <f ca="1">AVERAGE(OFFSET($FI$3,0,0,'Données projet'!$E$16+1,1))-AVERAGE(OFFSET($H$3,0,0,'Données projet'!$E$16+1,1))</f>
        <v>457.706832425622</v>
      </c>
      <c r="FK111" s="59">
        <f t="shared" si="102"/>
        <v>474.61768219844873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89.573671544009613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89.573671544009613</v>
      </c>
      <c r="FU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319</v>
      </c>
      <c r="GA111" s="17">
        <f>FZ111*VLOOKUP('Données projet'!$B$17,Paramètres!$A$1:$I$89,3,0)*VLOOKUP('Données projet'!$B$17,Paramètres!$A$1:$I$89,5,0)</f>
        <v>308.53680000000003</v>
      </c>
      <c r="GB111" s="13">
        <f t="shared" si="103"/>
        <v>72.963171684496103</v>
      </c>
      <c r="GC111" s="20">
        <f t="shared" si="79"/>
        <v>664.4457840171641</v>
      </c>
      <c r="GD111" s="59">
        <f t="shared" si="80"/>
        <v>953.90160759036394</v>
      </c>
      <c r="GE111" s="59">
        <f ca="1">AVERAGE(OFFSET($GD$3,0,0,'Données projet'!$E$17+1,1))-AVERAGE(OFFSET($H$3,0,0,'Données projet'!$E$17+1,1))</f>
        <v>428.11167311086814</v>
      </c>
      <c r="GF111" s="59">
        <f t="shared" si="104"/>
        <v>415.69449942923609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30.119126182716535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30.119126182716535</v>
      </c>
      <c r="GP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1.1368683772161603E-13</v>
      </c>
      <c r="GV111" s="17">
        <f>GU111*VLOOKUP('Données projet'!$B$18,Paramètres!$A$1:$I$89,3,0)*VLOOKUP('Données projet'!$B$18,Paramètres!$A$1:$I$89,5,0)</f>
        <v>6.5087988332379613E-14</v>
      </c>
      <c r="GW111" s="13">
        <f t="shared" si="105"/>
        <v>1.0279249680474958E-12</v>
      </c>
      <c r="GX111" s="20">
        <f t="shared" si="82"/>
        <v>1.9036642323616162E-12</v>
      </c>
      <c r="GY111" s="59">
        <f t="shared" si="83"/>
        <v>289.45582357320177</v>
      </c>
      <c r="GZ111" s="59">
        <f ca="1">AVERAGE(OFFSET($GY$3,0,0,'Données projet'!$E$18+1,1))-AVERAGE(OFFSET($H$3,0,0,'Données projet'!$E$18+1,1))</f>
        <v>249.88816678272056</v>
      </c>
      <c r="HA111" s="59">
        <f t="shared" si="106"/>
        <v>432.10802787437319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17.720815592941026</v>
      </c>
      <c r="HH111" s="21">
        <f>EXP(-LN(2)/25)*HH110+(1-EXP(-LN(2)/25))/(LN(2)/25)*Calculateur!HC111*Calculateur!HE111*VLOOKUP('Données projet'!$B$18,Paramètres!$A$1:$I$89,3,0)*0.475*44/12</f>
        <v>2.4746291351715732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20.195444728112598</v>
      </c>
    </row>
    <row r="112" spans="1:218" x14ac:dyDescent="0.3">
      <c r="A112" s="10">
        <f t="shared" si="85"/>
        <v>109</v>
      </c>
      <c r="B112" s="71">
        <f>'Scénario référence'!$B$16*5+'Scénario référence'!$B$17*0+'Scénario référence'!$B$18*5</f>
        <v>1.4000000000000001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5.1333333333333337</v>
      </c>
      <c r="H112" s="65">
        <f t="shared" si="56"/>
        <v>236.13333333333335</v>
      </c>
      <c r="I112" s="6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319</v>
      </c>
      <c r="O112" s="13">
        <f>N112*VLOOKUP('Données projet'!$B$9,Paramètres!$A$1:$I$89,3,0)*VLOOKUP('Données projet'!$B$9,Paramètres!$A$1:$I$89,5,0)</f>
        <v>253.79640000000001</v>
      </c>
      <c r="P112" s="13">
        <f t="shared" si="87"/>
        <v>61.39816832228076</v>
      </c>
      <c r="Q112" s="20">
        <f t="shared" si="107"/>
        <v>548.96387316130563</v>
      </c>
      <c r="R112" s="59">
        <f t="shared" si="55"/>
        <v>838.48696286003064</v>
      </c>
      <c r="S112" s="59">
        <f ca="1">AVERAGE(OFFSET($R$3,0,0,'Données projet'!$E$9+1,1))-AVERAGE(OFFSET($H$3,0,0,'Données projet'!$E$9+1,1))</f>
        <v>360.06385535620069</v>
      </c>
      <c r="T112" s="59">
        <f t="shared" si="88"/>
        <v>350.82516032456408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29.938318997040064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29.938318997040064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295.86959999999988</v>
      </c>
      <c r="AK112" s="13">
        <f t="shared" si="89"/>
        <v>70.309875568291218</v>
      </c>
      <c r="AL112" s="20">
        <f t="shared" si="58"/>
        <v>637.76258661477357</v>
      </c>
      <c r="AM112" s="59">
        <f t="shared" si="59"/>
        <v>927.28567631349858</v>
      </c>
      <c r="AN112" s="59">
        <f ca="1">AVERAGE(OFFSET($AM$3,0,0,'Données projet'!$E$10+1,1))-AVERAGE(OFFSET($H$3,0,0,'Données projet'!$E$10+1,1))</f>
        <v>448.65237942538027</v>
      </c>
      <c r="AO112" s="59">
        <f t="shared" si="90"/>
        <v>283.56749129825107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90.134584968216714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90.134584968216714</v>
      </c>
      <c r="AY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6.4</v>
      </c>
      <c r="BD112" s="12">
        <f>IF('Données projet'!$A$88&gt;35,BD111+BC112-BL111,IF(A112&lt;'Données projet'!$A$88,$BA$205^A112,IF(A112='Données projet'!$A$88,'Données projet'!$B$88,BD111+BC112-BL111)))</f>
        <v>411.59999999999991</v>
      </c>
      <c r="BE112" s="13">
        <f>BD112*VLOOKUP('Données projet'!$B$11,Paramètres!$A$1:$I$89,3,0)*VLOOKUP('Données projet'!$B$11,Paramètres!$A$1:$I$89,5,0)</f>
        <v>353.15279999999996</v>
      </c>
      <c r="BF112" s="13">
        <f t="shared" si="91"/>
        <v>82.211366286790636</v>
      </c>
      <c r="BG112" s="20">
        <f t="shared" si="61"/>
        <v>758.25925628282687</v>
      </c>
      <c r="BH112" s="59">
        <f t="shared" si="62"/>
        <v>1047.7823459815518</v>
      </c>
      <c r="BI112" s="59">
        <f ca="1">AVERAGE(OFFSET($BH$3,0,0,'Données projet'!$E$11+1,1))-AVERAGE(OFFSET($H$3,0,0,'Données projet'!$E$11+1,1))</f>
        <v>456.76871853389395</v>
      </c>
      <c r="BJ112" s="59">
        <f t="shared" si="92"/>
        <v>262.12425810289176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100.5490446066203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100.5490446066203</v>
      </c>
      <c r="BT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255.00000000000006</v>
      </c>
      <c r="BZ112" s="13">
        <f>BY112*VLOOKUP('Données projet'!$B$12,Paramètres!$A$1:$I$89,3,0)*VLOOKUP('Données projet'!$B$12,Paramètres!$A$1:$I$89,5,0)</f>
        <v>186.96600000000004</v>
      </c>
      <c r="CA112" s="13">
        <f t="shared" si="93"/>
        <v>46.868551400324648</v>
      </c>
      <c r="CB112" s="20">
        <f t="shared" si="64"/>
        <v>407.26184368889881</v>
      </c>
      <c r="CC112" s="59">
        <f t="shared" si="65"/>
        <v>696.78493338762382</v>
      </c>
      <c r="CD112" s="59">
        <f ca="1">AVERAGE(OFFSET($CC$3,0,0,'Données projet'!$E$12+1,1))-AVERAGE(OFFSET($H$3,0,0,'Données projet'!$E$12+1,1))</f>
        <v>242.65851607945316</v>
      </c>
      <c r="CE112" s="59">
        <f t="shared" si="94"/>
        <v>218.9349999985487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249.0000000000002</v>
      </c>
      <c r="CU112" s="17">
        <f>CT112*VLOOKUP('Données projet'!$B$13,Paramètres!$A$1:$I$89,3,0)*VLOOKUP('Données projet'!$B$13,Paramètres!$A$1:$I$89,5,0)</f>
        <v>217.52640000000019</v>
      </c>
      <c r="CV112" s="13">
        <f t="shared" si="95"/>
        <v>53.576907690651304</v>
      </c>
      <c r="CW112" s="20">
        <f t="shared" si="67"/>
        <v>472.17159422788467</v>
      </c>
      <c r="CX112" s="59">
        <f t="shared" si="68"/>
        <v>761.69468392660974</v>
      </c>
      <c r="CY112" s="59">
        <f ca="1">AVERAGE(OFFSET($CX$3,0,0,'Données projet'!$E$13+1,1))-AVERAGE(OFFSET($H$3,0,0,'Données projet'!$E$13+1,1))</f>
        <v>326.9460696675867</v>
      </c>
      <c r="CZ112" s="59">
        <f t="shared" si="96"/>
        <v>393.4020374592568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28.847220959856596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28.847220959856596</v>
      </c>
      <c r="DJ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349.00000000000017</v>
      </c>
      <c r="DP112" s="17">
        <f>DO112*VLOOKUP('Données projet'!$B$14,Paramètres!$A$1:$I$89,3,0)*VLOOKUP('Données projet'!$B$14,Paramètres!$A$1:$I$89,5,0)</f>
        <v>272.22000000000014</v>
      </c>
      <c r="DQ112" s="13">
        <f t="shared" si="97"/>
        <v>65.320184547527205</v>
      </c>
      <c r="DR112" s="20">
        <f t="shared" si="70"/>
        <v>587.88248808694345</v>
      </c>
      <c r="DS112" s="59">
        <f t="shared" si="71"/>
        <v>877.40557778566847</v>
      </c>
      <c r="DT112" s="59">
        <f ca="1">AVERAGE(OFFSET($DS$3,0,0,'Données projet'!$E$14+1,1))-AVERAGE(OFFSET($H$3,0,0,'Données projet'!$E$14+1,1))</f>
        <v>364.34528546733799</v>
      </c>
      <c r="DU112" s="59">
        <f t="shared" si="98"/>
        <v>346.5839763411152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40.035105741183827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40.035105741183827</v>
      </c>
      <c r="EE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213.98519999999999</v>
      </c>
      <c r="EL112" s="13">
        <f t="shared" si="99"/>
        <v>52.805497044008654</v>
      </c>
      <c r="EM112" s="20">
        <f t="shared" si="73"/>
        <v>464.66046401831505</v>
      </c>
      <c r="EN112" s="59">
        <f t="shared" si="74"/>
        <v>754.18355371704001</v>
      </c>
      <c r="EO112" s="59">
        <f ca="1">AVERAGE(OFFSET($EN$3,0,0,'Données projet'!$E$15+1,1))-AVERAGE(OFFSET($H$3,0,0,'Données projet'!$E$15+1,1))</f>
        <v>310.38232870602445</v>
      </c>
      <c r="EP112" s="59">
        <f t="shared" si="100"/>
        <v>303.45934457265537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25.242112095543579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25.242112095543579</v>
      </c>
      <c r="EZ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245.99999999999994</v>
      </c>
      <c r="FF112" s="17">
        <f>FE112*VLOOKUP('Données projet'!$B$16,Paramètres!$A$1:$I$89,3,0)*VLOOKUP('Données projet'!$B$16,Paramètres!$A$1:$I$89,5,0)</f>
        <v>234.09359999999998</v>
      </c>
      <c r="FG112" s="13">
        <f t="shared" si="101"/>
        <v>57.166902703920208</v>
      </c>
      <c r="FH112" s="20">
        <f t="shared" si="76"/>
        <v>507.27870887599425</v>
      </c>
      <c r="FI112" s="59">
        <f t="shared" si="77"/>
        <v>796.80179857471921</v>
      </c>
      <c r="FJ112" s="59">
        <f ca="1">AVERAGE(OFFSET($FI$3,0,0,'Données projet'!$E$16+1,1))-AVERAGE(OFFSET($H$3,0,0,'Données projet'!$E$16+1,1))</f>
        <v>457.706832425622</v>
      </c>
      <c r="FK112" s="59">
        <f t="shared" si="102"/>
        <v>474.61768219844873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87.81718647957652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87.81718647957652</v>
      </c>
      <c r="FU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319</v>
      </c>
      <c r="GA112" s="17">
        <f>FZ112*VLOOKUP('Données projet'!$B$17,Paramètres!$A$1:$I$89,3,0)*VLOOKUP('Données projet'!$B$17,Paramètres!$A$1:$I$89,5,0)</f>
        <v>308.53680000000003</v>
      </c>
      <c r="GB112" s="13">
        <f t="shared" si="103"/>
        <v>72.963171684496103</v>
      </c>
      <c r="GC112" s="20">
        <f t="shared" si="79"/>
        <v>664.4457840171641</v>
      </c>
      <c r="GD112" s="59">
        <f t="shared" si="80"/>
        <v>953.96887371588912</v>
      </c>
      <c r="GE112" s="59">
        <f ca="1">AVERAGE(OFFSET($GD$3,0,0,'Données projet'!$E$17+1,1))-AVERAGE(OFFSET($H$3,0,0,'Données projet'!$E$17+1,1))</f>
        <v>428.11167311086814</v>
      </c>
      <c r="GF112" s="59">
        <f t="shared" si="104"/>
        <v>415.69449942923609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29.528508489126462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29.528508489126462</v>
      </c>
      <c r="GP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1.1368683772161603E-13</v>
      </c>
      <c r="GV112" s="17">
        <f>GU112*VLOOKUP('Données projet'!$B$18,Paramètres!$A$1:$I$89,3,0)*VLOOKUP('Données projet'!$B$18,Paramètres!$A$1:$I$89,5,0)</f>
        <v>6.5087988332379613E-14</v>
      </c>
      <c r="GW112" s="13">
        <f t="shared" si="105"/>
        <v>1.0279249680474958E-12</v>
      </c>
      <c r="GX112" s="20">
        <f t="shared" si="82"/>
        <v>1.9036642323616162E-12</v>
      </c>
      <c r="GY112" s="59">
        <f t="shared" si="83"/>
        <v>289.52308969872689</v>
      </c>
      <c r="GZ112" s="59">
        <f ca="1">AVERAGE(OFFSET($GY$3,0,0,'Données projet'!$E$18+1,1))-AVERAGE(OFFSET($H$3,0,0,'Données projet'!$E$18+1,1))</f>
        <v>249.88816678272056</v>
      </c>
      <c r="HA112" s="59">
        <f t="shared" si="106"/>
        <v>432.10802787437319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17.373321207793701</v>
      </c>
      <c r="HH112" s="21">
        <f>EXP(-LN(2)/25)*HH111+(1-EXP(-LN(2)/25))/(LN(2)/25)*Calculateur!HC112*Calculateur!HE112*VLOOKUP('Données projet'!$B$18,Paramètres!$A$1:$I$89,3,0)*0.475*44/12</f>
        <v>2.4069602713352163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19.780281479128917</v>
      </c>
    </row>
    <row r="113" spans="1:218" x14ac:dyDescent="0.3">
      <c r="A113" s="10">
        <f t="shared" si="85"/>
        <v>110</v>
      </c>
      <c r="B113" s="71">
        <f>'Scénario référence'!$B$16*5+'Scénario référence'!$B$17*0+'Scénario référence'!$B$18*5</f>
        <v>1.4000000000000001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5.1333333333333337</v>
      </c>
      <c r="H113" s="65">
        <f t="shared" si="56"/>
        <v>236.13333333333335</v>
      </c>
      <c r="I113" s="6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319</v>
      </c>
      <c r="O113" s="13">
        <f>N113*VLOOKUP('Données projet'!$B$9,Paramètres!$A$1:$I$89,3,0)*VLOOKUP('Données projet'!$B$9,Paramètres!$A$1:$I$89,5,0)</f>
        <v>253.79640000000001</v>
      </c>
      <c r="P113" s="13">
        <f t="shared" si="87"/>
        <v>61.39816832228076</v>
      </c>
      <c r="Q113" s="20">
        <f t="shared" si="107"/>
        <v>548.96387316130563</v>
      </c>
      <c r="R113" s="59">
        <f t="shared" si="55"/>
        <v>838.55306206866248</v>
      </c>
      <c r="S113" s="59">
        <f ca="1">AVERAGE(OFFSET($R$3,0,0,'Données projet'!$E$9+1,1))-AVERAGE(OFFSET($H$3,0,0,'Données projet'!$E$9+1,1))</f>
        <v>360.06385535620069</v>
      </c>
      <c r="T113" s="59">
        <f t="shared" si="88"/>
        <v>350.82516032456408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29.351246822079613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29.351246822079613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300.39359999999988</v>
      </c>
      <c r="AK113" s="13">
        <f t="shared" si="89"/>
        <v>71.258970856492667</v>
      </c>
      <c r="AL113" s="20">
        <f t="shared" si="58"/>
        <v>647.29489424172459</v>
      </c>
      <c r="AM113" s="59">
        <f t="shared" si="59"/>
        <v>936.88408314908133</v>
      </c>
      <c r="AN113" s="59">
        <f ca="1">AVERAGE(OFFSET($AM$3,0,0,'Données projet'!$E$10+1,1))-AVERAGE(OFFSET($H$3,0,0,'Données projet'!$E$10+1,1))</f>
        <v>448.65237942538027</v>
      </c>
      <c r="AO113" s="59">
        <f t="shared" si="90"/>
        <v>283.56749129825107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99.119568927223511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99.119568927223511</v>
      </c>
      <c r="AY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418</v>
      </c>
      <c r="BB113" s="12">
        <f>VLOOKUP(A113,'Données projet'!$A$87:$I$107,9,0)</f>
        <v>6.4</v>
      </c>
      <c r="BC113" s="12">
        <f t="array" ref="BC113">INDEX(BB:BB,MIN(IF(ISNUMBER(BB113:BB309),ROW(BB113:BB309),"")))</f>
        <v>6.4</v>
      </c>
      <c r="BD113" s="12">
        <f>IF('Données projet'!$A$88&gt;35,BD112+BC113-BL112,IF(A113&lt;'Données projet'!$A$88,$BA$205^A113,IF(A113='Données projet'!$A$88,'Données projet'!$B$88,BD112+BC113-BL112)))</f>
        <v>417.99999999999989</v>
      </c>
      <c r="BE113" s="13">
        <f>BD113*VLOOKUP('Données projet'!$B$11,Paramètres!$A$1:$I$89,3,0)*VLOOKUP('Données projet'!$B$11,Paramètres!$A$1:$I$89,5,0)</f>
        <v>358.64399999999995</v>
      </c>
      <c r="BF113" s="13">
        <f t="shared" si="91"/>
        <v>83.339865454638698</v>
      </c>
      <c r="BG113" s="20">
        <f t="shared" si="61"/>
        <v>769.78856566682896</v>
      </c>
      <c r="BH113" s="59">
        <f t="shared" si="62"/>
        <v>1059.3777545741857</v>
      </c>
      <c r="BI113" s="59">
        <f ca="1">AVERAGE(OFFSET($BH$3,0,0,'Données projet'!$E$11+1,1))-AVERAGE(OFFSET($H$3,0,0,'Données projet'!$E$11+1,1))</f>
        <v>456.76871853389395</v>
      </c>
      <c r="BJ113" s="59">
        <f t="shared" si="92"/>
        <v>262.12425810289176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22</v>
      </c>
      <c r="BM113" s="16">
        <f>IF(ISNA(VLOOKUP(A113,'Données projet'!$A$87:$I$107,5,0)),0%,VLOOKUP(A113,'Données projet'!$A$87:$I$107,5,0)*VLOOKUP('Données projet'!$B$11,Paramètres!$A$1:$I$89,7,0))</f>
        <v>0.53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109.63677437929987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109.63677437929987</v>
      </c>
      <c r="BT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255.00000000000006</v>
      </c>
      <c r="BZ113" s="13">
        <f>BY113*VLOOKUP('Données projet'!$B$12,Paramètres!$A$1:$I$89,3,0)*VLOOKUP('Données projet'!$B$12,Paramètres!$A$1:$I$89,5,0)</f>
        <v>186.96600000000004</v>
      </c>
      <c r="CA113" s="13">
        <f t="shared" si="93"/>
        <v>46.868551400324648</v>
      </c>
      <c r="CB113" s="20">
        <f t="shared" si="64"/>
        <v>407.26184368889881</v>
      </c>
      <c r="CC113" s="59">
        <f t="shared" si="65"/>
        <v>696.85103259625566</v>
      </c>
      <c r="CD113" s="59">
        <f ca="1">AVERAGE(OFFSET($CC$3,0,0,'Données projet'!$E$12+1,1))-AVERAGE(OFFSET($H$3,0,0,'Données projet'!$E$12+1,1))</f>
        <v>242.65851607945316</v>
      </c>
      <c r="CE113" s="59">
        <f t="shared" si="94"/>
        <v>218.9349999985487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249.0000000000002</v>
      </c>
      <c r="CU113" s="17">
        <f>CT113*VLOOKUP('Données projet'!$B$13,Paramètres!$A$1:$I$89,3,0)*VLOOKUP('Données projet'!$B$13,Paramètres!$A$1:$I$89,5,0)</f>
        <v>217.52640000000019</v>
      </c>
      <c r="CV113" s="13">
        <f t="shared" si="95"/>
        <v>53.576907690651304</v>
      </c>
      <c r="CW113" s="20">
        <f t="shared" si="67"/>
        <v>472.17159422788467</v>
      </c>
      <c r="CX113" s="59">
        <f t="shared" si="68"/>
        <v>761.76078313524147</v>
      </c>
      <c r="CY113" s="59">
        <f ca="1">AVERAGE(OFFSET($CX$3,0,0,'Données projet'!$E$13+1,1))-AVERAGE(OFFSET($H$3,0,0,'Données projet'!$E$13+1,1))</f>
        <v>326.9460696675867</v>
      </c>
      <c r="CZ113" s="59">
        <f t="shared" si="96"/>
        <v>393.4020374592568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28.281544551901224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28.281544551901224</v>
      </c>
      <c r="DJ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349.00000000000017</v>
      </c>
      <c r="DP113" s="17">
        <f>DO113*VLOOKUP('Données projet'!$B$14,Paramètres!$A$1:$I$89,3,0)*VLOOKUP('Données projet'!$B$14,Paramètres!$A$1:$I$89,5,0)</f>
        <v>272.22000000000014</v>
      </c>
      <c r="DQ113" s="13">
        <f t="shared" si="97"/>
        <v>65.320184547527205</v>
      </c>
      <c r="DR113" s="20">
        <f t="shared" si="70"/>
        <v>587.88248808694345</v>
      </c>
      <c r="DS113" s="59">
        <f t="shared" si="71"/>
        <v>877.4716769943002</v>
      </c>
      <c r="DT113" s="59">
        <f ca="1">AVERAGE(OFFSET($DS$3,0,0,'Données projet'!$E$14+1,1))-AVERAGE(OFFSET($H$3,0,0,'Données projet'!$E$14+1,1))</f>
        <v>364.34528546733799</v>
      </c>
      <c r="DU113" s="59">
        <f t="shared" si="98"/>
        <v>346.5839763411152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39.25004173660254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39.25004173660254</v>
      </c>
      <c r="EE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213.98519999999999</v>
      </c>
      <c r="EL113" s="13">
        <f t="shared" si="99"/>
        <v>52.805497044008654</v>
      </c>
      <c r="EM113" s="20">
        <f t="shared" si="73"/>
        <v>464.66046401831505</v>
      </c>
      <c r="EN113" s="59">
        <f t="shared" si="74"/>
        <v>754.24965292567185</v>
      </c>
      <c r="EO113" s="59">
        <f ca="1">AVERAGE(OFFSET($EN$3,0,0,'Données projet'!$E$15+1,1))-AVERAGE(OFFSET($H$3,0,0,'Données projet'!$E$15+1,1))</f>
        <v>310.38232870602445</v>
      </c>
      <c r="EP113" s="59">
        <f t="shared" si="100"/>
        <v>303.45934457265537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24.747129673518103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24.747129673518103</v>
      </c>
      <c r="EZ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245.99999999999994</v>
      </c>
      <c r="FF113" s="17">
        <f>FE113*VLOOKUP('Données projet'!$B$16,Paramètres!$A$1:$I$89,3,0)*VLOOKUP('Données projet'!$B$16,Paramètres!$A$1:$I$89,5,0)</f>
        <v>234.09359999999998</v>
      </c>
      <c r="FG113" s="13">
        <f t="shared" si="101"/>
        <v>57.166902703920208</v>
      </c>
      <c r="FH113" s="20">
        <f t="shared" si="76"/>
        <v>507.27870887599425</v>
      </c>
      <c r="FI113" s="59">
        <f t="shared" si="77"/>
        <v>796.86789778335105</v>
      </c>
      <c r="FJ113" s="59">
        <f ca="1">AVERAGE(OFFSET($FI$3,0,0,'Données projet'!$E$16+1,1))-AVERAGE(OFFSET($H$3,0,0,'Données projet'!$E$16+1,1))</f>
        <v>457.706832425622</v>
      </c>
      <c r="FK113" s="59">
        <f t="shared" si="102"/>
        <v>474.61768219844873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86.095145015906851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86.095145015906851</v>
      </c>
      <c r="FU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319</v>
      </c>
      <c r="GA113" s="17">
        <f>FZ113*VLOOKUP('Données projet'!$B$17,Paramètres!$A$1:$I$89,3,0)*VLOOKUP('Données projet'!$B$17,Paramètres!$A$1:$I$89,5,0)</f>
        <v>308.53680000000003</v>
      </c>
      <c r="GB113" s="13">
        <f t="shared" si="103"/>
        <v>72.963171684496103</v>
      </c>
      <c r="GC113" s="20">
        <f t="shared" si="79"/>
        <v>664.4457840171641</v>
      </c>
      <c r="GD113" s="59">
        <f t="shared" si="80"/>
        <v>954.03497292452084</v>
      </c>
      <c r="GE113" s="59">
        <f ca="1">AVERAGE(OFFSET($GD$3,0,0,'Données projet'!$E$17+1,1))-AVERAGE(OFFSET($H$3,0,0,'Données projet'!$E$17+1,1))</f>
        <v>428.11167311086814</v>
      </c>
      <c r="GF113" s="59">
        <f t="shared" si="104"/>
        <v>415.69449942923609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28.949472448266469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28.949472448266469</v>
      </c>
      <c r="GP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1.1368683772161603E-13</v>
      </c>
      <c r="GV113" s="17">
        <f>GU113*VLOOKUP('Données projet'!$B$18,Paramètres!$A$1:$I$89,3,0)*VLOOKUP('Données projet'!$B$18,Paramètres!$A$1:$I$89,5,0)</f>
        <v>6.5087988332379613E-14</v>
      </c>
      <c r="GW113" s="13">
        <f t="shared" si="105"/>
        <v>1.0279249680474958E-12</v>
      </c>
      <c r="GX113" s="20">
        <f t="shared" si="82"/>
        <v>1.9036642323616162E-12</v>
      </c>
      <c r="GY113" s="59">
        <f t="shared" si="83"/>
        <v>289.58918890735868</v>
      </c>
      <c r="GZ113" s="59">
        <f ca="1">AVERAGE(OFFSET($GY$3,0,0,'Données projet'!$E$18+1,1))-AVERAGE(OFFSET($H$3,0,0,'Données projet'!$E$18+1,1))</f>
        <v>249.88816678272056</v>
      </c>
      <c r="HA113" s="59">
        <f t="shared" si="106"/>
        <v>432.10802787437319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17.032640975588468</v>
      </c>
      <c r="HH113" s="21">
        <f>EXP(-LN(2)/25)*HH112+(1-EXP(-LN(2)/25))/(LN(2)/25)*Calculateur!HC113*Calculateur!HE113*VLOOKUP('Données projet'!$B$18,Paramètres!$A$1:$I$89,3,0)*0.475*44/12</f>
        <v>2.3411418161390154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19.373782791727482</v>
      </c>
    </row>
    <row r="114" spans="1:218" x14ac:dyDescent="0.3">
      <c r="A114" s="10">
        <f t="shared" si="85"/>
        <v>111</v>
      </c>
      <c r="B114" s="71">
        <f>'Scénario référence'!$B$16*5+'Scénario référence'!$B$17*0+'Scénario référence'!$B$18*5</f>
        <v>1.4000000000000001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5.1333333333333337</v>
      </c>
      <c r="H114" s="65">
        <f t="shared" si="56"/>
        <v>236.13333333333335</v>
      </c>
      <c r="I114" s="6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319</v>
      </c>
      <c r="O114" s="13">
        <f>N114*VLOOKUP('Données projet'!$B$9,Paramètres!$A$1:$I$89,3,0)*VLOOKUP('Données projet'!$B$9,Paramètres!$A$1:$I$89,5,0)</f>
        <v>253.79640000000001</v>
      </c>
      <c r="P114" s="13">
        <f t="shared" si="87"/>
        <v>61.39816832228076</v>
      </c>
      <c r="Q114" s="20">
        <f t="shared" si="107"/>
        <v>548.96387316130563</v>
      </c>
      <c r="R114" s="59">
        <f t="shared" si="55"/>
        <v>838.61801460380025</v>
      </c>
      <c r="S114" s="59">
        <f ca="1">AVERAGE(OFFSET($R$3,0,0,'Données projet'!$E$9+1,1))-AVERAGE(OFFSET($H$3,0,0,'Données projet'!$E$9+1,1))</f>
        <v>360.06385535620069</v>
      </c>
      <c r="T114" s="59">
        <f t="shared" si="88"/>
        <v>350.82516032456408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28.77568677439147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28.77568677439147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282.1166399999999</v>
      </c>
      <c r="AK114" s="13">
        <f t="shared" si="89"/>
        <v>67.414119514142243</v>
      </c>
      <c r="AL114" s="20">
        <f t="shared" si="58"/>
        <v>608.76607282046416</v>
      </c>
      <c r="AM114" s="59">
        <f t="shared" si="59"/>
        <v>898.42021426295878</v>
      </c>
      <c r="AN114" s="59">
        <f ca="1">AVERAGE(OFFSET($AM$3,0,0,'Données projet'!$E$10+1,1))-AVERAGE(OFFSET($H$3,0,0,'Données projet'!$E$10+1,1))</f>
        <v>448.65237942538027</v>
      </c>
      <c r="AO114" s="59">
        <f t="shared" si="90"/>
        <v>283.56749129825107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97.175894637528074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97.175894637528074</v>
      </c>
      <c r="AY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</v>
      </c>
      <c r="BD114" s="12">
        <f>IF('Données projet'!$A$88&gt;35,BD113+BC114-BL113,IF(A114&lt;'Données projet'!$A$88,$BA$205^A114,IF(A114='Données projet'!$A$88,'Données projet'!$B$88,BD113+BC114-BL113)))</f>
        <v>401.99999999999989</v>
      </c>
      <c r="BE114" s="13">
        <f>BD114*VLOOKUP('Données projet'!$B$11,Paramètres!$A$1:$I$89,3,0)*VLOOKUP('Données projet'!$B$11,Paramètres!$A$1:$I$89,5,0)</f>
        <v>344.91599999999994</v>
      </c>
      <c r="BF114" s="13">
        <f t="shared" si="91"/>
        <v>80.51477301506921</v>
      </c>
      <c r="BG114" s="20">
        <f t="shared" si="61"/>
        <v>740.9585963345786</v>
      </c>
      <c r="BH114" s="59">
        <f t="shared" si="62"/>
        <v>1030.6127377770731</v>
      </c>
      <c r="BI114" s="59">
        <f ca="1">AVERAGE(OFFSET($BH$3,0,0,'Données projet'!$E$11+1,1))-AVERAGE(OFFSET($H$3,0,0,'Données projet'!$E$11+1,1))</f>
        <v>456.76871853389395</v>
      </c>
      <c r="BJ114" s="59">
        <f t="shared" si="92"/>
        <v>262.12425810289176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107.48686410555112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107.48686410555112</v>
      </c>
      <c r="BT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255.00000000000006</v>
      </c>
      <c r="BZ114" s="13">
        <f>BY114*VLOOKUP('Données projet'!$B$12,Paramètres!$A$1:$I$89,3,0)*VLOOKUP('Données projet'!$B$12,Paramètres!$A$1:$I$89,5,0)</f>
        <v>186.96600000000004</v>
      </c>
      <c r="CA114" s="13">
        <f t="shared" si="93"/>
        <v>46.868551400324648</v>
      </c>
      <c r="CB114" s="20">
        <f t="shared" si="64"/>
        <v>407.26184368889881</v>
      </c>
      <c r="CC114" s="59">
        <f t="shared" si="65"/>
        <v>696.91598513139343</v>
      </c>
      <c r="CD114" s="59">
        <f ca="1">AVERAGE(OFFSET($CC$3,0,0,'Données projet'!$E$12+1,1))-AVERAGE(OFFSET($H$3,0,0,'Données projet'!$E$12+1,1))</f>
        <v>242.65851607945316</v>
      </c>
      <c r="CE114" s="59">
        <f t="shared" si="94"/>
        <v>218.9349999985487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249.0000000000002</v>
      </c>
      <c r="CU114" s="17">
        <f>CT114*VLOOKUP('Données projet'!$B$13,Paramètres!$A$1:$I$89,3,0)*VLOOKUP('Données projet'!$B$13,Paramètres!$A$1:$I$89,5,0)</f>
        <v>217.52640000000019</v>
      </c>
      <c r="CV114" s="13">
        <f t="shared" si="95"/>
        <v>53.576907690651304</v>
      </c>
      <c r="CW114" s="20">
        <f t="shared" si="67"/>
        <v>472.17159422788467</v>
      </c>
      <c r="CX114" s="59">
        <f t="shared" si="68"/>
        <v>761.82573567037934</v>
      </c>
      <c r="CY114" s="59">
        <f ca="1">AVERAGE(OFFSET($CX$3,0,0,'Données projet'!$E$13+1,1))-AVERAGE(OFFSET($H$3,0,0,'Données projet'!$E$13+1,1))</f>
        <v>326.9460696675867</v>
      </c>
      <c r="CZ114" s="59">
        <f t="shared" si="96"/>
        <v>393.4020374592568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27.726960713277318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27.726960713277318</v>
      </c>
      <c r="DJ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349.00000000000017</v>
      </c>
      <c r="DP114" s="17">
        <f>DO114*VLOOKUP('Données projet'!$B$14,Paramètres!$A$1:$I$89,3,0)*VLOOKUP('Données projet'!$B$14,Paramètres!$A$1:$I$89,5,0)</f>
        <v>272.22000000000014</v>
      </c>
      <c r="DQ114" s="13">
        <f t="shared" si="97"/>
        <v>65.320184547527205</v>
      </c>
      <c r="DR114" s="20">
        <f t="shared" si="70"/>
        <v>587.88248808694345</v>
      </c>
      <c r="DS114" s="59">
        <f t="shared" si="71"/>
        <v>877.53662952943807</v>
      </c>
      <c r="DT114" s="59">
        <f ca="1">AVERAGE(OFFSET($DS$3,0,0,'Données projet'!$E$14+1,1))-AVERAGE(OFFSET($H$3,0,0,'Données projet'!$E$14+1,1))</f>
        <v>364.34528546733799</v>
      </c>
      <c r="DU114" s="59">
        <f t="shared" si="98"/>
        <v>346.5839763411152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38.480372358309332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38.480372358309332</v>
      </c>
      <c r="EE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213.98519999999999</v>
      </c>
      <c r="EL114" s="13">
        <f t="shared" si="99"/>
        <v>52.805497044008654</v>
      </c>
      <c r="EM114" s="20">
        <f t="shared" si="73"/>
        <v>464.66046401831505</v>
      </c>
      <c r="EN114" s="59">
        <f t="shared" si="74"/>
        <v>754.31460546080962</v>
      </c>
      <c r="EO114" s="59">
        <f ca="1">AVERAGE(OFFSET($EN$3,0,0,'Données projet'!$E$15+1,1))-AVERAGE(OFFSET($H$3,0,0,'Données projet'!$E$15+1,1))</f>
        <v>310.38232870602445</v>
      </c>
      <c r="EP114" s="59">
        <f t="shared" si="100"/>
        <v>303.45934457265537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24.261853554879078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24.261853554879078</v>
      </c>
      <c r="EZ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245.99999999999994</v>
      </c>
      <c r="FF114" s="17">
        <f>FE114*VLOOKUP('Données projet'!$B$16,Paramètres!$A$1:$I$89,3,0)*VLOOKUP('Données projet'!$B$16,Paramètres!$A$1:$I$89,5,0)</f>
        <v>234.09359999999998</v>
      </c>
      <c r="FG114" s="13">
        <f t="shared" si="101"/>
        <v>57.166902703920208</v>
      </c>
      <c r="FH114" s="20">
        <f t="shared" si="76"/>
        <v>507.27870887599425</v>
      </c>
      <c r="FI114" s="59">
        <f t="shared" si="77"/>
        <v>796.93285031848882</v>
      </c>
      <c r="FJ114" s="59">
        <f ca="1">AVERAGE(OFFSET($FI$3,0,0,'Données projet'!$E$16+1,1))-AVERAGE(OFFSET($H$3,0,0,'Données projet'!$E$16+1,1))</f>
        <v>457.706832425622</v>
      </c>
      <c r="FK114" s="59">
        <f t="shared" si="102"/>
        <v>474.61768219844873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84.406871734998163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84.406871734998163</v>
      </c>
      <c r="FU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319</v>
      </c>
      <c r="GA114" s="17">
        <f>FZ114*VLOOKUP('Données projet'!$B$17,Paramètres!$A$1:$I$89,3,0)*VLOOKUP('Données projet'!$B$17,Paramètres!$A$1:$I$89,5,0)</f>
        <v>308.53680000000003</v>
      </c>
      <c r="GB114" s="13">
        <f t="shared" si="103"/>
        <v>72.963171684496103</v>
      </c>
      <c r="GC114" s="20">
        <f t="shared" si="79"/>
        <v>664.4457840171641</v>
      </c>
      <c r="GD114" s="59">
        <f t="shared" si="80"/>
        <v>954.09992545965872</v>
      </c>
      <c r="GE114" s="59">
        <f ca="1">AVERAGE(OFFSET($GD$3,0,0,'Données projet'!$E$17+1,1))-AVERAGE(OFFSET($H$3,0,0,'Données projet'!$E$17+1,1))</f>
        <v>428.11167311086814</v>
      </c>
      <c r="GF114" s="59">
        <f t="shared" si="104"/>
        <v>415.69449942923609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28.381790950990631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28.381790950990631</v>
      </c>
      <c r="GP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1.1368683772161603E-13</v>
      </c>
      <c r="GV114" s="17">
        <f>GU114*VLOOKUP('Données projet'!$B$18,Paramètres!$A$1:$I$89,3,0)*VLOOKUP('Données projet'!$B$18,Paramètres!$A$1:$I$89,5,0)</f>
        <v>6.5087988332379613E-14</v>
      </c>
      <c r="GW114" s="13">
        <f t="shared" si="105"/>
        <v>1.0279249680474958E-12</v>
      </c>
      <c r="GX114" s="20">
        <f t="shared" si="82"/>
        <v>1.9036642323616162E-12</v>
      </c>
      <c r="GY114" s="59">
        <f t="shared" si="83"/>
        <v>289.6541414424965</v>
      </c>
      <c r="GZ114" s="59">
        <f ca="1">AVERAGE(OFFSET($GY$3,0,0,'Données projet'!$E$18+1,1))-AVERAGE(OFFSET($H$3,0,0,'Données projet'!$E$18+1,1))</f>
        <v>249.88816678272056</v>
      </c>
      <c r="HA114" s="59">
        <f t="shared" si="106"/>
        <v>432.10802787437319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16.698641274942357</v>
      </c>
      <c r="HH114" s="21">
        <f>EXP(-LN(2)/25)*HH113+(1-EXP(-LN(2)/25))/(LN(2)/25)*Calculateur!HC114*Calculateur!HE114*VLOOKUP('Données projet'!$B$18,Paramètres!$A$1:$I$89,3,0)*0.475*44/12</f>
        <v>2.2771231700613965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18.975764445003755</v>
      </c>
    </row>
    <row r="115" spans="1:218" x14ac:dyDescent="0.3">
      <c r="A115" s="10">
        <f t="shared" si="85"/>
        <v>112</v>
      </c>
      <c r="B115" s="71">
        <f>'Scénario référence'!$B$16*5+'Scénario référence'!$B$17*0+'Scénario référence'!$B$18*5</f>
        <v>1.4000000000000001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5.1333333333333337</v>
      </c>
      <c r="H115" s="65">
        <f t="shared" si="56"/>
        <v>236.13333333333335</v>
      </c>
      <c r="I115" s="6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319</v>
      </c>
      <c r="O115" s="13">
        <f>N115*VLOOKUP('Données projet'!$B$9,Paramètres!$A$1:$I$89,3,0)*VLOOKUP('Données projet'!$B$9,Paramètres!$A$1:$I$89,5,0)</f>
        <v>253.79640000000001</v>
      </c>
      <c r="P115" s="13">
        <f t="shared" si="87"/>
        <v>61.39816832228076</v>
      </c>
      <c r="Q115" s="20">
        <f t="shared" si="107"/>
        <v>548.96387316130563</v>
      </c>
      <c r="R115" s="59">
        <f t="shared" si="55"/>
        <v>838.68184035766546</v>
      </c>
      <c r="S115" s="59">
        <f ca="1">AVERAGE(OFFSET($R$3,0,0,'Données projet'!$E$9+1,1))-AVERAGE(OFFSET($H$3,0,0,'Données projet'!$E$9+1,1))</f>
        <v>360.06385535620069</v>
      </c>
      <c r="T115" s="59">
        <f t="shared" si="88"/>
        <v>350.82516032456408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28.211413108181524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28.211413108181524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286.45967999999988</v>
      </c>
      <c r="AK115" s="13">
        <f t="shared" si="89"/>
        <v>68.330307577101138</v>
      </c>
      <c r="AL115" s="20">
        <f t="shared" si="58"/>
        <v>617.92589503011754</v>
      </c>
      <c r="AM115" s="59">
        <f t="shared" si="59"/>
        <v>907.64386222647738</v>
      </c>
      <c r="AN115" s="59">
        <f ca="1">AVERAGE(OFFSET($AM$3,0,0,'Données projet'!$E$10+1,1))-AVERAGE(OFFSET($H$3,0,0,'Données projet'!$E$10+1,1))</f>
        <v>448.65237942538027</v>
      </c>
      <c r="AO115" s="59">
        <f t="shared" si="90"/>
        <v>283.56749129825107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95.270334615129315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95.270334615129315</v>
      </c>
      <c r="AY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</v>
      </c>
      <c r="BD115" s="12">
        <f>IF('Données projet'!$A$88&gt;35,BD114+BC115-BL114,IF(A115&lt;'Données projet'!$A$88,$BA$205^A115,IF(A115='Données projet'!$A$88,'Données projet'!$B$88,BD114+BC115-BL114)))</f>
        <v>407.99999999999989</v>
      </c>
      <c r="BE115" s="13">
        <f>BD115*VLOOKUP('Données projet'!$B$11,Paramètres!$A$1:$I$89,3,0)*VLOOKUP('Données projet'!$B$11,Paramètres!$A$1:$I$89,5,0)</f>
        <v>350.06399999999991</v>
      </c>
      <c r="BF115" s="13">
        <f t="shared" si="91"/>
        <v>81.575689362490522</v>
      </c>
      <c r="BG115" s="20">
        <f t="shared" si="61"/>
        <v>751.77245897300418</v>
      </c>
      <c r="BH115" s="59">
        <f t="shared" si="62"/>
        <v>1041.4904261693641</v>
      </c>
      <c r="BI115" s="59">
        <f ca="1">AVERAGE(OFFSET($BH$3,0,0,'Données projet'!$E$11+1,1))-AVERAGE(OFFSET($H$3,0,0,'Données projet'!$E$11+1,1))</f>
        <v>456.76871853389395</v>
      </c>
      <c r="BJ115" s="59">
        <f t="shared" si="92"/>
        <v>262.12425810289176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105.3791122609548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105.3791122609548</v>
      </c>
      <c r="BT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255.00000000000006</v>
      </c>
      <c r="BZ115" s="13">
        <f>BY115*VLOOKUP('Données projet'!$B$12,Paramètres!$A$1:$I$89,3,0)*VLOOKUP('Données projet'!$B$12,Paramètres!$A$1:$I$89,5,0)</f>
        <v>186.96600000000004</v>
      </c>
      <c r="CA115" s="13">
        <f t="shared" si="93"/>
        <v>46.868551400324648</v>
      </c>
      <c r="CB115" s="20">
        <f t="shared" si="64"/>
        <v>407.26184368889881</v>
      </c>
      <c r="CC115" s="59">
        <f t="shared" si="65"/>
        <v>696.97981088525864</v>
      </c>
      <c r="CD115" s="59">
        <f ca="1">AVERAGE(OFFSET($CC$3,0,0,'Données projet'!$E$12+1,1))-AVERAGE(OFFSET($H$3,0,0,'Données projet'!$E$12+1,1))</f>
        <v>242.65851607945316</v>
      </c>
      <c r="CE115" s="59">
        <f t="shared" si="94"/>
        <v>218.9349999985487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249.0000000000002</v>
      </c>
      <c r="CU115" s="17">
        <f>CT115*VLOOKUP('Données projet'!$B$13,Paramètres!$A$1:$I$89,3,0)*VLOOKUP('Données projet'!$B$13,Paramètres!$A$1:$I$89,5,0)</f>
        <v>217.52640000000019</v>
      </c>
      <c r="CV115" s="13">
        <f t="shared" si="95"/>
        <v>53.576907690651304</v>
      </c>
      <c r="CW115" s="20">
        <f t="shared" si="67"/>
        <v>472.17159422788467</v>
      </c>
      <c r="CX115" s="59">
        <f t="shared" si="68"/>
        <v>761.88956142424445</v>
      </c>
      <c r="CY115" s="59">
        <f ca="1">AVERAGE(OFFSET($CX$3,0,0,'Données projet'!$E$13+1,1))-AVERAGE(OFFSET($H$3,0,0,'Données projet'!$E$13+1,1))</f>
        <v>326.9460696675867</v>
      </c>
      <c r="CZ115" s="59">
        <f t="shared" si="96"/>
        <v>393.4020374592568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27.183251925466084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27.183251925466084</v>
      </c>
      <c r="DJ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349.00000000000017</v>
      </c>
      <c r="DP115" s="17">
        <f>DO115*VLOOKUP('Données projet'!$B$14,Paramètres!$A$1:$I$89,3,0)*VLOOKUP('Données projet'!$B$14,Paramètres!$A$1:$I$89,5,0)</f>
        <v>272.22000000000014</v>
      </c>
      <c r="DQ115" s="13">
        <f t="shared" si="97"/>
        <v>65.320184547527205</v>
      </c>
      <c r="DR115" s="20">
        <f t="shared" si="70"/>
        <v>587.88248808694345</v>
      </c>
      <c r="DS115" s="59">
        <f t="shared" si="71"/>
        <v>877.60045528330329</v>
      </c>
      <c r="DT115" s="59">
        <f ca="1">AVERAGE(OFFSET($DS$3,0,0,'Données projet'!$E$14+1,1))-AVERAGE(OFFSET($H$3,0,0,'Données projet'!$E$14+1,1))</f>
        <v>364.34528546733799</v>
      </c>
      <c r="DU115" s="59">
        <f t="shared" si="98"/>
        <v>346.5839763411152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37.725795727072487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37.725795727072487</v>
      </c>
      <c r="EE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213.98519999999999</v>
      </c>
      <c r="EL115" s="13">
        <f t="shared" si="99"/>
        <v>52.805497044008654</v>
      </c>
      <c r="EM115" s="20">
        <f t="shared" si="73"/>
        <v>464.66046401831505</v>
      </c>
      <c r="EN115" s="59">
        <f t="shared" si="74"/>
        <v>754.37843121467495</v>
      </c>
      <c r="EO115" s="59">
        <f ca="1">AVERAGE(OFFSET($EN$3,0,0,'Données projet'!$E$15+1,1))-AVERAGE(OFFSET($H$3,0,0,'Données projet'!$E$15+1,1))</f>
        <v>310.38232870602445</v>
      </c>
      <c r="EP115" s="59">
        <f t="shared" si="100"/>
        <v>303.45934457265537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23.786093404937361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23.786093404937361</v>
      </c>
      <c r="EZ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245.99999999999994</v>
      </c>
      <c r="FF115" s="17">
        <f>FE115*VLOOKUP('Données projet'!$B$16,Paramètres!$A$1:$I$89,3,0)*VLOOKUP('Données projet'!$B$16,Paramètres!$A$1:$I$89,5,0)</f>
        <v>234.09359999999998</v>
      </c>
      <c r="FG115" s="13">
        <f t="shared" si="101"/>
        <v>57.166902703920208</v>
      </c>
      <c r="FH115" s="20">
        <f t="shared" si="76"/>
        <v>507.27870887599425</v>
      </c>
      <c r="FI115" s="59">
        <f t="shared" si="77"/>
        <v>796.99667607235415</v>
      </c>
      <c r="FJ115" s="59">
        <f ca="1">AVERAGE(OFFSET($FI$3,0,0,'Données projet'!$E$16+1,1))-AVERAGE(OFFSET($H$3,0,0,'Données projet'!$E$16+1,1))</f>
        <v>457.706832425622</v>
      </c>
      <c r="FK115" s="59">
        <f t="shared" si="102"/>
        <v>474.61768219844873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82.751704463383078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82.751704463383078</v>
      </c>
      <c r="FU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319</v>
      </c>
      <c r="GA115" s="17">
        <f>FZ115*VLOOKUP('Données projet'!$B$17,Paramètres!$A$1:$I$89,3,0)*VLOOKUP('Données projet'!$B$17,Paramètres!$A$1:$I$89,5,0)</f>
        <v>308.53680000000003</v>
      </c>
      <c r="GB115" s="13">
        <f t="shared" si="103"/>
        <v>72.963171684496103</v>
      </c>
      <c r="GC115" s="20">
        <f t="shared" si="79"/>
        <v>664.4457840171641</v>
      </c>
      <c r="GD115" s="59">
        <f t="shared" si="80"/>
        <v>954.16375121352394</v>
      </c>
      <c r="GE115" s="59">
        <f ca="1">AVERAGE(OFFSET($GD$3,0,0,'Données projet'!$E$17+1,1))-AVERAGE(OFFSET($H$3,0,0,'Données projet'!$E$17+1,1))</f>
        <v>428.11167311086814</v>
      </c>
      <c r="GF115" s="59">
        <f t="shared" si="104"/>
        <v>415.69449942923609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27.825241341624846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27.825241341624846</v>
      </c>
      <c r="GP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1.1368683772161603E-13</v>
      </c>
      <c r="GV115" s="17">
        <f>GU115*VLOOKUP('Données projet'!$B$18,Paramètres!$A$1:$I$89,3,0)*VLOOKUP('Données projet'!$B$18,Paramètres!$A$1:$I$89,5,0)</f>
        <v>6.5087988332379613E-14</v>
      </c>
      <c r="GW115" s="13">
        <f t="shared" si="105"/>
        <v>1.0279249680474958E-12</v>
      </c>
      <c r="GX115" s="20">
        <f t="shared" si="82"/>
        <v>1.9036642323616162E-12</v>
      </c>
      <c r="GY115" s="59">
        <f t="shared" si="83"/>
        <v>289.71796719636171</v>
      </c>
      <c r="GZ115" s="59">
        <f ca="1">AVERAGE(OFFSET($GY$3,0,0,'Données projet'!$E$18+1,1))-AVERAGE(OFFSET($H$3,0,0,'Données projet'!$E$18+1,1))</f>
        <v>249.88816678272056</v>
      </c>
      <c r="HA115" s="59">
        <f t="shared" si="106"/>
        <v>432.10802787437319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16.371191104706213</v>
      </c>
      <c r="HH115" s="21">
        <f>EXP(-LN(2)/25)*HH114+(1-EXP(-LN(2)/25))/(LN(2)/25)*Calculateur!HC115*Calculateur!HE115*VLOOKUP('Données projet'!$B$18,Paramètres!$A$1:$I$89,3,0)*0.475*44/12</f>
        <v>2.2148551172273647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18.586046221933579</v>
      </c>
    </row>
    <row r="116" spans="1:218" x14ac:dyDescent="0.3">
      <c r="A116" s="10">
        <f t="shared" si="85"/>
        <v>113</v>
      </c>
      <c r="B116" s="71">
        <f>'Scénario référence'!$B$16*5+'Scénario référence'!$B$17*0+'Scénario référence'!$B$18*5</f>
        <v>1.4000000000000001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5.1333333333333337</v>
      </c>
      <c r="H116" s="65">
        <f t="shared" si="56"/>
        <v>236.13333333333335</v>
      </c>
      <c r="I116" s="6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319</v>
      </c>
      <c r="O116" s="13">
        <f>N116*VLOOKUP('Données projet'!$B$9,Paramètres!$A$1:$I$89,3,0)*VLOOKUP('Données projet'!$B$9,Paramètres!$A$1:$I$89,5,0)</f>
        <v>253.79640000000001</v>
      </c>
      <c r="P116" s="13">
        <f t="shared" si="87"/>
        <v>61.39816832228076</v>
      </c>
      <c r="Q116" s="20">
        <f t="shared" si="107"/>
        <v>548.96387316130563</v>
      </c>
      <c r="R116" s="59">
        <f t="shared" si="55"/>
        <v>838.74455887739418</v>
      </c>
      <c r="S116" s="59">
        <f ca="1">AVERAGE(OFFSET($R$3,0,0,'Données projet'!$E$9+1,1))-AVERAGE(OFFSET($H$3,0,0,'Données projet'!$E$9+1,1))</f>
        <v>360.06385535620069</v>
      </c>
      <c r="T116" s="59">
        <f t="shared" si="88"/>
        <v>350.82516032456408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27.658204504393005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27.658204504393005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290.80271999999991</v>
      </c>
      <c r="AK116" s="13">
        <f t="shared" si="89"/>
        <v>69.244880157128961</v>
      </c>
      <c r="AL116" s="20">
        <f t="shared" si="58"/>
        <v>627.08290360699937</v>
      </c>
      <c r="AM116" s="59">
        <f t="shared" si="59"/>
        <v>916.86358932308792</v>
      </c>
      <c r="AN116" s="59">
        <f ca="1">AVERAGE(OFFSET($AM$3,0,0,'Données projet'!$E$10+1,1))-AVERAGE(OFFSET($H$3,0,0,'Données projet'!$E$10+1,1))</f>
        <v>448.65237942538027</v>
      </c>
      <c r="AO116" s="59">
        <f t="shared" si="90"/>
        <v>283.56749129825107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93.402141462492935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93.402141462492935</v>
      </c>
      <c r="AY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</v>
      </c>
      <c r="BD116" s="12">
        <f>IF('Données projet'!$A$88&gt;35,BD115+BC116-BL115,IF(A116&lt;'Données projet'!$A$88,$BA$205^A116,IF(A116='Données projet'!$A$88,'Données projet'!$B$88,BD115+BC116-BL115)))</f>
        <v>413.99999999999989</v>
      </c>
      <c r="BE116" s="13">
        <f>BD116*VLOOKUP('Données projet'!$B$11,Paramètres!$A$1:$I$89,3,0)*VLOOKUP('Données projet'!$B$11,Paramètres!$A$1:$I$89,5,0)</f>
        <v>355.21199999999993</v>
      </c>
      <c r="BF116" s="13">
        <f t="shared" si="91"/>
        <v>82.634791155027401</v>
      </c>
      <c r="BG116" s="20">
        <f t="shared" si="61"/>
        <v>762.58316126167256</v>
      </c>
      <c r="BH116" s="59">
        <f t="shared" si="62"/>
        <v>1052.3638469777611</v>
      </c>
      <c r="BI116" s="59">
        <f ca="1">AVERAGE(OFFSET($BH$3,0,0,'Données projet'!$E$11+1,1))-AVERAGE(OFFSET($H$3,0,0,'Données projet'!$E$11+1,1))</f>
        <v>456.76871853389395</v>
      </c>
      <c r="BJ116" s="59">
        <f t="shared" si="92"/>
        <v>262.12425810289176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103.31269214442933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103.31269214442933</v>
      </c>
      <c r="BT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255.00000000000006</v>
      </c>
      <c r="BZ116" s="13">
        <f>BY116*VLOOKUP('Données projet'!$B$12,Paramètres!$A$1:$I$89,3,0)*VLOOKUP('Données projet'!$B$12,Paramètres!$A$1:$I$89,5,0)</f>
        <v>186.96600000000004</v>
      </c>
      <c r="CA116" s="13">
        <f t="shared" si="93"/>
        <v>46.868551400324648</v>
      </c>
      <c r="CB116" s="20">
        <f t="shared" si="64"/>
        <v>407.26184368889881</v>
      </c>
      <c r="CC116" s="59">
        <f t="shared" si="65"/>
        <v>697.04252940498736</v>
      </c>
      <c r="CD116" s="59">
        <f ca="1">AVERAGE(OFFSET($CC$3,0,0,'Données projet'!$E$12+1,1))-AVERAGE(OFFSET($H$3,0,0,'Données projet'!$E$12+1,1))</f>
        <v>242.65851607945316</v>
      </c>
      <c r="CE116" s="59">
        <f t="shared" si="94"/>
        <v>218.9349999985487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249.0000000000002</v>
      </c>
      <c r="CU116" s="17">
        <f>CT116*VLOOKUP('Données projet'!$B$13,Paramètres!$A$1:$I$89,3,0)*VLOOKUP('Données projet'!$B$13,Paramètres!$A$1:$I$89,5,0)</f>
        <v>217.52640000000019</v>
      </c>
      <c r="CV116" s="13">
        <f t="shared" si="95"/>
        <v>53.576907690651304</v>
      </c>
      <c r="CW116" s="20">
        <f t="shared" si="67"/>
        <v>472.17159422788467</v>
      </c>
      <c r="CX116" s="59">
        <f t="shared" si="68"/>
        <v>761.95227994397328</v>
      </c>
      <c r="CY116" s="59">
        <f ca="1">AVERAGE(OFFSET($CX$3,0,0,'Données projet'!$E$13+1,1))-AVERAGE(OFFSET($H$3,0,0,'Données projet'!$E$13+1,1))</f>
        <v>326.9460696675867</v>
      </c>
      <c r="CZ116" s="59">
        <f t="shared" si="96"/>
        <v>393.4020374592568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26.650204935354214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26.650204935354214</v>
      </c>
      <c r="DJ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349.00000000000017</v>
      </c>
      <c r="DP116" s="17">
        <f>DO116*VLOOKUP('Données projet'!$B$14,Paramètres!$A$1:$I$89,3,0)*VLOOKUP('Données projet'!$B$14,Paramètres!$A$1:$I$89,5,0)</f>
        <v>272.22000000000014</v>
      </c>
      <c r="DQ116" s="13">
        <f t="shared" si="97"/>
        <v>65.320184547527205</v>
      </c>
      <c r="DR116" s="20">
        <f t="shared" si="70"/>
        <v>587.88248808694345</v>
      </c>
      <c r="DS116" s="59">
        <f t="shared" si="71"/>
        <v>877.66317380303201</v>
      </c>
      <c r="DT116" s="59">
        <f ca="1">AVERAGE(OFFSET($DS$3,0,0,'Données projet'!$E$14+1,1))-AVERAGE(OFFSET($H$3,0,0,'Données projet'!$E$14+1,1))</f>
        <v>364.34528546733799</v>
      </c>
      <c r="DU116" s="59">
        <f t="shared" si="98"/>
        <v>346.5839763411152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36.986015883327894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36.986015883327894</v>
      </c>
      <c r="EE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213.98519999999999</v>
      </c>
      <c r="EL116" s="13">
        <f t="shared" si="99"/>
        <v>52.805497044008654</v>
      </c>
      <c r="EM116" s="20">
        <f t="shared" si="73"/>
        <v>464.66046401831505</v>
      </c>
      <c r="EN116" s="59">
        <f t="shared" si="74"/>
        <v>754.44114973440355</v>
      </c>
      <c r="EO116" s="59">
        <f ca="1">AVERAGE(OFFSET($EN$3,0,0,'Données projet'!$E$15+1,1))-AVERAGE(OFFSET($H$3,0,0,'Données projet'!$E$15+1,1))</f>
        <v>310.38232870602445</v>
      </c>
      <c r="EP116" s="59">
        <f t="shared" si="100"/>
        <v>303.45934457265537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23.319662621350961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23.319662621350961</v>
      </c>
      <c r="EZ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245.99999999999994</v>
      </c>
      <c r="FF116" s="17">
        <f>FE116*VLOOKUP('Données projet'!$B$16,Paramètres!$A$1:$I$89,3,0)*VLOOKUP('Données projet'!$B$16,Paramètres!$A$1:$I$89,5,0)</f>
        <v>234.09359999999998</v>
      </c>
      <c r="FG116" s="13">
        <f t="shared" si="101"/>
        <v>57.166902703920208</v>
      </c>
      <c r="FH116" s="20">
        <f t="shared" si="76"/>
        <v>507.27870887599425</v>
      </c>
      <c r="FI116" s="59">
        <f t="shared" si="77"/>
        <v>797.05939459208275</v>
      </c>
      <c r="FJ116" s="59">
        <f ca="1">AVERAGE(OFFSET($FI$3,0,0,'Données projet'!$E$16+1,1))-AVERAGE(OFFSET($H$3,0,0,'Données projet'!$E$16+1,1))</f>
        <v>457.706832425622</v>
      </c>
      <c r="FK116" s="59">
        <f t="shared" si="102"/>
        <v>474.61768219844873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81.128994012412008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81.128994012412008</v>
      </c>
      <c r="FU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319</v>
      </c>
      <c r="GA116" s="17">
        <f>FZ116*VLOOKUP('Données projet'!$B$17,Paramètres!$A$1:$I$89,3,0)*VLOOKUP('Données projet'!$B$17,Paramètres!$A$1:$I$89,5,0)</f>
        <v>308.53680000000003</v>
      </c>
      <c r="GB116" s="13">
        <f t="shared" si="103"/>
        <v>72.963171684496103</v>
      </c>
      <c r="GC116" s="20">
        <f t="shared" si="79"/>
        <v>664.4457840171641</v>
      </c>
      <c r="GD116" s="59">
        <f t="shared" si="80"/>
        <v>954.22646973325266</v>
      </c>
      <c r="GE116" s="59">
        <f ca="1">AVERAGE(OFFSET($GD$3,0,0,'Données projet'!$E$17+1,1))-AVERAGE(OFFSET($H$3,0,0,'Données projet'!$E$17+1,1))</f>
        <v>428.11167311086814</v>
      </c>
      <c r="GF116" s="59">
        <f t="shared" si="104"/>
        <v>415.69449942923609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27.279605330636983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27.279605330636983</v>
      </c>
      <c r="GP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1.1368683772161603E-13</v>
      </c>
      <c r="GV116" s="17">
        <f>GU116*VLOOKUP('Données projet'!$B$18,Paramètres!$A$1:$I$89,3,0)*VLOOKUP('Données projet'!$B$18,Paramètres!$A$1:$I$89,5,0)</f>
        <v>6.5087988332379613E-14</v>
      </c>
      <c r="GW116" s="13">
        <f t="shared" si="105"/>
        <v>1.0279249680474958E-12</v>
      </c>
      <c r="GX116" s="20">
        <f t="shared" si="82"/>
        <v>1.9036642323616162E-12</v>
      </c>
      <c r="GY116" s="59">
        <f t="shared" si="83"/>
        <v>289.78068571609043</v>
      </c>
      <c r="GZ116" s="59">
        <f ca="1">AVERAGE(OFFSET($GY$3,0,0,'Données projet'!$E$18+1,1))-AVERAGE(OFFSET($H$3,0,0,'Données projet'!$E$18+1,1))</f>
        <v>249.88816678272056</v>
      </c>
      <c r="HA116" s="59">
        <f t="shared" si="106"/>
        <v>432.10802787437319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16.050162032583518</v>
      </c>
      <c r="HH116" s="21">
        <f>EXP(-LN(2)/25)*HH115+(1-EXP(-LN(2)/25))/(LN(2)/25)*Calculateur!HC116*Calculateur!HE116*VLOOKUP('Données projet'!$B$18,Paramètres!$A$1:$I$89,3,0)*0.475*44/12</f>
        <v>2.1542897875726141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18.204451820156134</v>
      </c>
    </row>
    <row r="117" spans="1:218" x14ac:dyDescent="0.3">
      <c r="A117" s="10">
        <f t="shared" si="85"/>
        <v>114</v>
      </c>
      <c r="B117" s="71">
        <f>'Scénario référence'!$B$16*5+'Scénario référence'!$B$17*0+'Scénario référence'!$B$18*5</f>
        <v>1.4000000000000001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5.1333333333333337</v>
      </c>
      <c r="H117" s="65">
        <f t="shared" si="56"/>
        <v>236.13333333333335</v>
      </c>
      <c r="I117" s="6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319</v>
      </c>
      <c r="O117" s="13">
        <f>N117*VLOOKUP('Données projet'!$B$9,Paramètres!$A$1:$I$89,3,0)*VLOOKUP('Données projet'!$B$9,Paramètres!$A$1:$I$89,5,0)</f>
        <v>253.79640000000001</v>
      </c>
      <c r="P117" s="13">
        <f t="shared" si="87"/>
        <v>61.39816832228076</v>
      </c>
      <c r="Q117" s="20">
        <f t="shared" si="107"/>
        <v>548.96387316130563</v>
      </c>
      <c r="R117" s="59">
        <f t="shared" si="55"/>
        <v>838.80618937102315</v>
      </c>
      <c r="S117" s="59">
        <f ca="1">AVERAGE(OFFSET($R$3,0,0,'Données projet'!$E$9+1,1))-AVERAGE(OFFSET($H$3,0,0,'Données projet'!$E$9+1,1))</f>
        <v>360.06385535620069</v>
      </c>
      <c r="T117" s="59">
        <f t="shared" si="88"/>
        <v>350.82516032456408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27.115843983900849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27.115843983900849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295.14575999999994</v>
      </c>
      <c r="AK117" s="13">
        <f t="shared" si="89"/>
        <v>70.157864167878188</v>
      </c>
      <c r="AL117" s="20">
        <f t="shared" si="58"/>
        <v>636.237145425721</v>
      </c>
      <c r="AM117" s="59">
        <f t="shared" si="59"/>
        <v>926.07946163543852</v>
      </c>
      <c r="AN117" s="59">
        <f ca="1">AVERAGE(OFFSET($AM$3,0,0,'Données projet'!$E$10+1,1))-AVERAGE(OFFSET($H$3,0,0,'Données projet'!$E$10+1,1))</f>
        <v>448.65237942538027</v>
      </c>
      <c r="AO117" s="59">
        <f t="shared" si="90"/>
        <v>283.56749129825107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91.570582438094448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91.570582438094448</v>
      </c>
      <c r="AY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</v>
      </c>
      <c r="BD117" s="12">
        <f>IF('Données projet'!$A$88&gt;35,BD116+BC117-BL116,IF(A117&lt;'Données projet'!$A$88,$BA$205^A117,IF(A117='Données projet'!$A$88,'Données projet'!$B$88,BD116+BC117-BL116)))</f>
        <v>419.99999999999989</v>
      </c>
      <c r="BE117" s="13">
        <f>BD117*VLOOKUP('Données projet'!$B$11,Paramètres!$A$1:$I$89,3,0)*VLOOKUP('Données projet'!$B$11,Paramètres!$A$1:$I$89,5,0)</f>
        <v>360.3599999999999</v>
      </c>
      <c r="BF117" s="13">
        <f t="shared" si="91"/>
        <v>83.692107728969532</v>
      </c>
      <c r="BG117" s="20">
        <f t="shared" si="61"/>
        <v>773.39075429462173</v>
      </c>
      <c r="BH117" s="59">
        <f t="shared" si="62"/>
        <v>1063.2330705043391</v>
      </c>
      <c r="BI117" s="59">
        <f ca="1">AVERAGE(OFFSET($BH$3,0,0,'Données projet'!$E$11+1,1))-AVERAGE(OFFSET($H$3,0,0,'Données projet'!$E$11+1,1))</f>
        <v>456.76871853389395</v>
      </c>
      <c r="BJ117" s="59">
        <f t="shared" si="92"/>
        <v>262.12425810289176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101.28679326599712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101.28679326599712</v>
      </c>
      <c r="BT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255.00000000000006</v>
      </c>
      <c r="BZ117" s="13">
        <f>BY117*VLOOKUP('Données projet'!$B$12,Paramètres!$A$1:$I$89,3,0)*VLOOKUP('Données projet'!$B$12,Paramètres!$A$1:$I$89,5,0)</f>
        <v>186.96600000000004</v>
      </c>
      <c r="CA117" s="13">
        <f t="shared" si="93"/>
        <v>46.868551400324648</v>
      </c>
      <c r="CB117" s="20">
        <f t="shared" si="64"/>
        <v>407.26184368889881</v>
      </c>
      <c r="CC117" s="59">
        <f t="shared" si="65"/>
        <v>697.10415989861633</v>
      </c>
      <c r="CD117" s="59">
        <f ca="1">AVERAGE(OFFSET($CC$3,0,0,'Données projet'!$E$12+1,1))-AVERAGE(OFFSET($H$3,0,0,'Données projet'!$E$12+1,1))</f>
        <v>242.65851607945316</v>
      </c>
      <c r="CE117" s="59">
        <f t="shared" si="94"/>
        <v>218.9349999985487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249.0000000000002</v>
      </c>
      <c r="CU117" s="17">
        <f>CT117*VLOOKUP('Données projet'!$B$13,Paramètres!$A$1:$I$89,3,0)*VLOOKUP('Données projet'!$B$13,Paramètres!$A$1:$I$89,5,0)</f>
        <v>217.52640000000019</v>
      </c>
      <c r="CV117" s="13">
        <f t="shared" si="95"/>
        <v>53.576907690651304</v>
      </c>
      <c r="CW117" s="20">
        <f t="shared" si="67"/>
        <v>472.17159422788467</v>
      </c>
      <c r="CX117" s="59">
        <f t="shared" si="68"/>
        <v>762.01391043760214</v>
      </c>
      <c r="CY117" s="59">
        <f ca="1">AVERAGE(OFFSET($CX$3,0,0,'Données projet'!$E$13+1,1))-AVERAGE(OFFSET($H$3,0,0,'Données projet'!$E$13+1,1))</f>
        <v>326.9460696675867</v>
      </c>
      <c r="CZ117" s="59">
        <f t="shared" si="96"/>
        <v>393.4020374592568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26.127610671591878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26.127610671591878</v>
      </c>
      <c r="DJ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349.00000000000017</v>
      </c>
      <c r="DP117" s="17">
        <f>DO117*VLOOKUP('Données projet'!$B$14,Paramètres!$A$1:$I$89,3,0)*VLOOKUP('Données projet'!$B$14,Paramètres!$A$1:$I$89,5,0)</f>
        <v>272.22000000000014</v>
      </c>
      <c r="DQ117" s="13">
        <f t="shared" si="97"/>
        <v>65.320184547527205</v>
      </c>
      <c r="DR117" s="20">
        <f t="shared" si="70"/>
        <v>587.88248808694345</v>
      </c>
      <c r="DS117" s="59">
        <f t="shared" si="71"/>
        <v>877.72480429666098</v>
      </c>
      <c r="DT117" s="59">
        <f ca="1">AVERAGE(OFFSET($DS$3,0,0,'Données projet'!$E$14+1,1))-AVERAGE(OFFSET($H$3,0,0,'Données projet'!$E$14+1,1))</f>
        <v>364.34528546733799</v>
      </c>
      <c r="DU117" s="59">
        <f t="shared" si="98"/>
        <v>346.5839763411152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36.260742671097987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36.260742671097987</v>
      </c>
      <c r="EE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213.98519999999999</v>
      </c>
      <c r="EL117" s="13">
        <f t="shared" si="99"/>
        <v>52.805497044008654</v>
      </c>
      <c r="EM117" s="20">
        <f t="shared" si="73"/>
        <v>464.66046401831505</v>
      </c>
      <c r="EN117" s="59">
        <f t="shared" si="74"/>
        <v>754.50278022803263</v>
      </c>
      <c r="EO117" s="59">
        <f ca="1">AVERAGE(OFFSET($EN$3,0,0,'Données projet'!$E$15+1,1))-AVERAGE(OFFSET($H$3,0,0,'Données projet'!$E$15+1,1))</f>
        <v>310.38232870602445</v>
      </c>
      <c r="EP117" s="59">
        <f t="shared" si="100"/>
        <v>303.45934457265537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22.862378260936005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22.862378260936005</v>
      </c>
      <c r="EZ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245.99999999999994</v>
      </c>
      <c r="FF117" s="17">
        <f>FE117*VLOOKUP('Données projet'!$B$16,Paramètres!$A$1:$I$89,3,0)*VLOOKUP('Données projet'!$B$16,Paramètres!$A$1:$I$89,5,0)</f>
        <v>234.09359999999998</v>
      </c>
      <c r="FG117" s="13">
        <f t="shared" si="101"/>
        <v>57.166902703920208</v>
      </c>
      <c r="FH117" s="20">
        <f t="shared" si="76"/>
        <v>507.27870887599425</v>
      </c>
      <c r="FI117" s="59">
        <f t="shared" si="77"/>
        <v>797.12102508571184</v>
      </c>
      <c r="FJ117" s="59">
        <f ca="1">AVERAGE(OFFSET($FI$3,0,0,'Données projet'!$E$16+1,1))-AVERAGE(OFFSET($H$3,0,0,'Données projet'!$E$16+1,1))</f>
        <v>457.706832425622</v>
      </c>
      <c r="FK117" s="59">
        <f t="shared" si="102"/>
        <v>474.61768219844873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79.538103923628839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79.538103923628839</v>
      </c>
      <c r="FU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319</v>
      </c>
      <c r="GA117" s="17">
        <f>FZ117*VLOOKUP('Données projet'!$B$17,Paramètres!$A$1:$I$89,3,0)*VLOOKUP('Données projet'!$B$17,Paramètres!$A$1:$I$89,5,0)</f>
        <v>308.53680000000003</v>
      </c>
      <c r="GB117" s="13">
        <f t="shared" si="103"/>
        <v>72.963171684496103</v>
      </c>
      <c r="GC117" s="20">
        <f t="shared" si="79"/>
        <v>664.4457840171641</v>
      </c>
      <c r="GD117" s="59">
        <f t="shared" si="80"/>
        <v>954.28810022688162</v>
      </c>
      <c r="GE117" s="59">
        <f ca="1">AVERAGE(OFFSET($GD$3,0,0,'Données projet'!$E$17+1,1))-AVERAGE(OFFSET($H$3,0,0,'Données projet'!$E$17+1,1))</f>
        <v>428.11167311086814</v>
      </c>
      <c r="GF117" s="59">
        <f t="shared" si="104"/>
        <v>415.69449942923609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26.744668909019488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26.744668909019488</v>
      </c>
      <c r="GP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1.1368683772161603E-13</v>
      </c>
      <c r="GV117" s="17">
        <f>GU117*VLOOKUP('Données projet'!$B$18,Paramètres!$A$1:$I$89,3,0)*VLOOKUP('Données projet'!$B$18,Paramètres!$A$1:$I$89,5,0)</f>
        <v>6.5087988332379613E-14</v>
      </c>
      <c r="GW117" s="13">
        <f t="shared" si="105"/>
        <v>1.0279249680474958E-12</v>
      </c>
      <c r="GX117" s="20">
        <f t="shared" si="82"/>
        <v>1.9036642323616162E-12</v>
      </c>
      <c r="GY117" s="59">
        <f t="shared" si="83"/>
        <v>289.8423162097194</v>
      </c>
      <c r="GZ117" s="59">
        <f ca="1">AVERAGE(OFFSET($GY$3,0,0,'Données projet'!$E$18+1,1))-AVERAGE(OFFSET($H$3,0,0,'Données projet'!$E$18+1,1))</f>
        <v>249.88816678272056</v>
      </c>
      <c r="HA117" s="59">
        <f t="shared" si="106"/>
        <v>432.10802787437319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15.735428144756749</v>
      </c>
      <c r="HH117" s="21">
        <f>EXP(-LN(2)/25)*HH116+(1-EXP(-LN(2)/25))/(LN(2)/25)*Calculateur!HC117*Calculateur!HE117*VLOOKUP('Données projet'!$B$18,Paramètres!$A$1:$I$89,3,0)*0.475*44/12</f>
        <v>2.0953806200422647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17.830808764799013</v>
      </c>
    </row>
    <row r="118" spans="1:218" x14ac:dyDescent="0.3">
      <c r="A118" s="10">
        <f t="shared" si="85"/>
        <v>115</v>
      </c>
      <c r="B118" s="71">
        <f>'Scénario référence'!$B$16*5+'Scénario référence'!$B$17*0+'Scénario référence'!$B$18*5</f>
        <v>1.4000000000000001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5.1333333333333337</v>
      </c>
      <c r="H118" s="65">
        <f t="shared" si="56"/>
        <v>236.13333333333335</v>
      </c>
      <c r="I118" s="6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319</v>
      </c>
      <c r="O118" s="13">
        <f>N118*VLOOKUP('Données projet'!$B$9,Paramètres!$A$1:$I$89,3,0)*VLOOKUP('Données projet'!$B$9,Paramètres!$A$1:$I$89,5,0)</f>
        <v>253.79640000000001</v>
      </c>
      <c r="P118" s="13">
        <f t="shared" si="87"/>
        <v>61.39816832228076</v>
      </c>
      <c r="Q118" s="20">
        <f t="shared" si="107"/>
        <v>548.96387316130563</v>
      </c>
      <c r="R118" s="59">
        <f t="shared" si="55"/>
        <v>838.86675071337277</v>
      </c>
      <c r="S118" s="59">
        <f ca="1">AVERAGE(OFFSET($R$3,0,0,'Données projet'!$E$9+1,1))-AVERAGE(OFFSET($H$3,0,0,'Données projet'!$E$9+1,1))</f>
        <v>360.06385535620069</v>
      </c>
      <c r="T118" s="59">
        <f t="shared" si="88"/>
        <v>350.82516032456408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26.584118822408289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26.584118822408289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299.48879999999997</v>
      </c>
      <c r="AK118" s="13">
        <f t="shared" si="89"/>
        <v>71.069285685467293</v>
      </c>
      <c r="AL118" s="20">
        <f t="shared" si="58"/>
        <v>645.38866590218879</v>
      </c>
      <c r="AM118" s="59">
        <f t="shared" si="59"/>
        <v>935.29154345425604</v>
      </c>
      <c r="AN118" s="59">
        <f ca="1">AVERAGE(OFFSET($AM$3,0,0,'Données projet'!$E$10+1,1))-AVERAGE(OFFSET($H$3,0,0,'Données projet'!$E$10+1,1))</f>
        <v>448.65237942538027</v>
      </c>
      <c r="AO118" s="59">
        <f t="shared" si="90"/>
        <v>283.56749129825107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100.09730863484631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100.09730863484631</v>
      </c>
      <c r="AY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426</v>
      </c>
      <c r="BB118" s="12">
        <f>VLOOKUP(A118,'Données projet'!$A$87:$I$107,9,0)</f>
        <v>6</v>
      </c>
      <c r="BC118" s="12">
        <f t="array" ref="BC118">INDEX(BB:BB,MIN(IF(ISNUMBER(BB118:BB314),ROW(BB118:BB314),"")))</f>
        <v>6</v>
      </c>
      <c r="BD118" s="12">
        <f>IF('Données projet'!$A$88&gt;35,BD117+BC118-BL117,IF(A118&lt;'Données projet'!$A$88,$BA$205^A118,IF(A118='Données projet'!$A$88,'Données projet'!$B$88,BD117+BC118-BL117)))</f>
        <v>425.99999999999989</v>
      </c>
      <c r="BE118" s="13">
        <f>BD118*VLOOKUP('Données projet'!$B$11,Paramètres!$A$1:$I$89,3,0)*VLOOKUP('Données projet'!$B$11,Paramètres!$A$1:$I$89,5,0)</f>
        <v>365.50799999999992</v>
      </c>
      <c r="BF118" s="13">
        <f t="shared" si="91"/>
        <v>84.747667534292106</v>
      </c>
      <c r="BG118" s="20">
        <f t="shared" si="61"/>
        <v>784.19528762222524</v>
      </c>
      <c r="BH118" s="59">
        <f t="shared" si="62"/>
        <v>1074.0981651742925</v>
      </c>
      <c r="BI118" s="59">
        <f ca="1">AVERAGE(OFFSET($BH$3,0,0,'Données projet'!$E$11+1,1))-AVERAGE(OFFSET($H$3,0,0,'Données projet'!$E$11+1,1))</f>
        <v>456.76871853389395</v>
      </c>
      <c r="BJ118" s="59">
        <f t="shared" si="92"/>
        <v>262.12425810289176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22</v>
      </c>
      <c r="BM118" s="16">
        <f>IF(ISNA(VLOOKUP(A118,'Données projet'!$A$87:$I$107,5,0)),0%,VLOOKUP(A118,'Données projet'!$A$87:$I$107,5,0)*VLOOKUP('Données projet'!$B$11,Paramètres!$A$1:$I$89,7,0))</f>
        <v>0.53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110.36005623744856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110.36005623744856</v>
      </c>
      <c r="BT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255.00000000000006</v>
      </c>
      <c r="BZ118" s="13">
        <f>BY118*VLOOKUP('Données projet'!$B$12,Paramètres!$A$1:$I$89,3,0)*VLOOKUP('Données projet'!$B$12,Paramètres!$A$1:$I$89,5,0)</f>
        <v>186.96600000000004</v>
      </c>
      <c r="CA118" s="13">
        <f t="shared" si="93"/>
        <v>46.868551400324648</v>
      </c>
      <c r="CB118" s="20">
        <f t="shared" si="64"/>
        <v>407.26184368889881</v>
      </c>
      <c r="CC118" s="59">
        <f t="shared" si="65"/>
        <v>697.16472124096595</v>
      </c>
      <c r="CD118" s="59">
        <f ca="1">AVERAGE(OFFSET($CC$3,0,0,'Données projet'!$E$12+1,1))-AVERAGE(OFFSET($H$3,0,0,'Données projet'!$E$12+1,1))</f>
        <v>242.65851607945316</v>
      </c>
      <c r="CE118" s="59">
        <f t="shared" si="94"/>
        <v>218.9349999985487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249.0000000000002</v>
      </c>
      <c r="CU118" s="17">
        <f>CT118*VLOOKUP('Données projet'!$B$13,Paramètres!$A$1:$I$89,3,0)*VLOOKUP('Données projet'!$B$13,Paramètres!$A$1:$I$89,5,0)</f>
        <v>217.52640000000019</v>
      </c>
      <c r="CV118" s="13">
        <f t="shared" si="95"/>
        <v>53.576907690651304</v>
      </c>
      <c r="CW118" s="20">
        <f t="shared" si="67"/>
        <v>472.17159422788467</v>
      </c>
      <c r="CX118" s="59">
        <f t="shared" si="68"/>
        <v>762.07447177995186</v>
      </c>
      <c r="CY118" s="59">
        <f ca="1">AVERAGE(OFFSET($CX$3,0,0,'Données projet'!$E$13+1,1))-AVERAGE(OFFSET($H$3,0,0,'Données projet'!$E$13+1,1))</f>
        <v>326.9460696675867</v>
      </c>
      <c r="CZ118" s="59">
        <f t="shared" si="96"/>
        <v>393.4020374592568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25.615264162590893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25.615264162590893</v>
      </c>
      <c r="DJ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349.00000000000017</v>
      </c>
      <c r="DP118" s="17">
        <f>DO118*VLOOKUP('Données projet'!$B$14,Paramètres!$A$1:$I$89,3,0)*VLOOKUP('Données projet'!$B$14,Paramètres!$A$1:$I$89,5,0)</f>
        <v>272.22000000000014</v>
      </c>
      <c r="DQ118" s="13">
        <f t="shared" si="97"/>
        <v>65.320184547527205</v>
      </c>
      <c r="DR118" s="20">
        <f t="shared" si="70"/>
        <v>587.88248808694345</v>
      </c>
      <c r="DS118" s="59">
        <f t="shared" si="71"/>
        <v>877.78536563901071</v>
      </c>
      <c r="DT118" s="59">
        <f ca="1">AVERAGE(OFFSET($DS$3,0,0,'Données projet'!$E$14+1,1))-AVERAGE(OFFSET($H$3,0,0,'Données projet'!$E$14+1,1))</f>
        <v>364.34528546733799</v>
      </c>
      <c r="DU118" s="59">
        <f t="shared" si="98"/>
        <v>346.5839763411152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35.549691624186927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35.549691624186927</v>
      </c>
      <c r="EE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213.98519999999999</v>
      </c>
      <c r="EL118" s="13">
        <f t="shared" si="99"/>
        <v>52.805497044008654</v>
      </c>
      <c r="EM118" s="20">
        <f t="shared" si="73"/>
        <v>464.66046401831505</v>
      </c>
      <c r="EN118" s="59">
        <f t="shared" si="74"/>
        <v>754.56334157038225</v>
      </c>
      <c r="EO118" s="59">
        <f ca="1">AVERAGE(OFFSET($EN$3,0,0,'Données projet'!$E$15+1,1))-AVERAGE(OFFSET($H$3,0,0,'Données projet'!$E$15+1,1))</f>
        <v>310.38232870602445</v>
      </c>
      <c r="EP118" s="59">
        <f t="shared" si="100"/>
        <v>303.45934457265537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22.414060967912867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22.414060967912867</v>
      </c>
      <c r="EZ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245.99999999999994</v>
      </c>
      <c r="FF118" s="17">
        <f>FE118*VLOOKUP('Données projet'!$B$16,Paramètres!$A$1:$I$89,3,0)*VLOOKUP('Données projet'!$B$16,Paramètres!$A$1:$I$89,5,0)</f>
        <v>234.09359999999998</v>
      </c>
      <c r="FG118" s="13">
        <f t="shared" si="101"/>
        <v>57.166902703920208</v>
      </c>
      <c r="FH118" s="20">
        <f t="shared" si="76"/>
        <v>507.27870887599425</v>
      </c>
      <c r="FI118" s="59">
        <f t="shared" si="77"/>
        <v>797.18158642806145</v>
      </c>
      <c r="FJ118" s="59">
        <f ca="1">AVERAGE(OFFSET($FI$3,0,0,'Données projet'!$E$16+1,1))-AVERAGE(OFFSET($H$3,0,0,'Données projet'!$E$16+1,1))</f>
        <v>457.706832425622</v>
      </c>
      <c r="FK118" s="59">
        <f t="shared" si="102"/>
        <v>474.61768219844873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77.978410219139562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77.978410219139562</v>
      </c>
      <c r="FU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319</v>
      </c>
      <c r="GA118" s="17">
        <f>FZ118*VLOOKUP('Données projet'!$B$17,Paramètres!$A$1:$I$89,3,0)*VLOOKUP('Données projet'!$B$17,Paramètres!$A$1:$I$89,5,0)</f>
        <v>308.53680000000003</v>
      </c>
      <c r="GB118" s="13">
        <f t="shared" si="103"/>
        <v>72.963171684496103</v>
      </c>
      <c r="GC118" s="20">
        <f t="shared" si="79"/>
        <v>664.4457840171641</v>
      </c>
      <c r="GD118" s="59">
        <f t="shared" si="80"/>
        <v>954.34866156923135</v>
      </c>
      <c r="GE118" s="59">
        <f ca="1">AVERAGE(OFFSET($GD$3,0,0,'Données projet'!$E$17+1,1))-AVERAGE(OFFSET($H$3,0,0,'Données projet'!$E$17+1,1))</f>
        <v>428.11167311086814</v>
      </c>
      <c r="GF118" s="59">
        <f t="shared" si="104"/>
        <v>415.69449942923609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26.220222264350912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26.220222264350912</v>
      </c>
      <c r="GP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1.1368683772161603E-13</v>
      </c>
      <c r="GV118" s="17">
        <f>GU118*VLOOKUP('Données projet'!$B$18,Paramètres!$A$1:$I$89,3,0)*VLOOKUP('Données projet'!$B$18,Paramètres!$A$1:$I$89,5,0)</f>
        <v>6.5087988332379613E-14</v>
      </c>
      <c r="GW118" s="13">
        <f t="shared" si="105"/>
        <v>1.0279249680474958E-12</v>
      </c>
      <c r="GX118" s="20">
        <f t="shared" si="82"/>
        <v>1.9036642323616162E-12</v>
      </c>
      <c r="GY118" s="59">
        <f t="shared" si="83"/>
        <v>289.90287755206907</v>
      </c>
      <c r="GZ118" s="59">
        <f ca="1">AVERAGE(OFFSET($GY$3,0,0,'Données projet'!$E$18+1,1))-AVERAGE(OFFSET($H$3,0,0,'Données projet'!$E$18+1,1))</f>
        <v>249.88816678272056</v>
      </c>
      <c r="HA118" s="59">
        <f t="shared" si="106"/>
        <v>432.10802787437319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15.426865996501547</v>
      </c>
      <c r="HH118" s="21">
        <f>EXP(-LN(2)/25)*HH117+(1-EXP(-LN(2)/25))/(LN(2)/25)*Calculateur!HC118*Calculateur!HE118*VLOOKUP('Données projet'!$B$18,Paramètres!$A$1:$I$89,3,0)*0.475*44/12</f>
        <v>2.0380823267959314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17.464948323297477</v>
      </c>
    </row>
    <row r="119" spans="1:218" x14ac:dyDescent="0.3">
      <c r="A119" s="10">
        <f t="shared" si="85"/>
        <v>116</v>
      </c>
      <c r="B119" s="71">
        <f>'Scénario référence'!$B$16*5+'Scénario référence'!$B$17*0+'Scénario référence'!$B$18*5</f>
        <v>1.4000000000000001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5.1333333333333337</v>
      </c>
      <c r="H119" s="65">
        <f t="shared" si="56"/>
        <v>236.13333333333335</v>
      </c>
      <c r="I119" s="6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319</v>
      </c>
      <c r="O119" s="13">
        <f>N119*VLOOKUP('Données projet'!$B$9,Paramètres!$A$1:$I$89,3,0)*VLOOKUP('Données projet'!$B$9,Paramètres!$A$1:$I$89,5,0)</f>
        <v>253.79640000000001</v>
      </c>
      <c r="P119" s="13">
        <f t="shared" si="87"/>
        <v>61.39816832228076</v>
      </c>
      <c r="Q119" s="20">
        <f t="shared" si="107"/>
        <v>548.96387316130563</v>
      </c>
      <c r="R119" s="59">
        <f t="shared" si="55"/>
        <v>838.92626145182771</v>
      </c>
      <c r="S119" s="59">
        <f ca="1">AVERAGE(OFFSET($R$3,0,0,'Données projet'!$E$9+1,1))-AVERAGE(OFFSET($H$3,0,0,'Données projet'!$E$9+1,1))</f>
        <v>360.06385535620069</v>
      </c>
      <c r="T119" s="59">
        <f t="shared" si="88"/>
        <v>350.82516032456408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26.062820467012276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26.062820467012276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277.77359999999993</v>
      </c>
      <c r="AK119" s="13">
        <f t="shared" si="89"/>
        <v>66.496288176842356</v>
      </c>
      <c r="AL119" s="20">
        <f t="shared" si="58"/>
        <v>599.60338857466706</v>
      </c>
      <c r="AM119" s="59">
        <f t="shared" si="59"/>
        <v>889.56577686518904</v>
      </c>
      <c r="AN119" s="59">
        <f ca="1">AVERAGE(OFFSET($AM$3,0,0,'Données projet'!$E$10+1,1))-AVERAGE(OFFSET($H$3,0,0,'Données projet'!$E$10+1,1))</f>
        <v>448.65237942538027</v>
      </c>
      <c r="AO119" s="59">
        <f t="shared" si="90"/>
        <v>283.56749129825107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98.134461465846726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98.134461465846726</v>
      </c>
      <c r="AY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403.99999999999989</v>
      </c>
      <c r="BE119" s="13">
        <f>BD119*VLOOKUP('Données projet'!$B$11,Paramètres!$A$1:$I$89,3,0)*VLOOKUP('Données projet'!$B$11,Paramètres!$A$1:$I$89,5,0)</f>
        <v>346.63199999999995</v>
      </c>
      <c r="BF119" s="13">
        <f t="shared" si="91"/>
        <v>80.868615263336864</v>
      </c>
      <c r="BG119" s="20">
        <f t="shared" si="61"/>
        <v>744.56357158364483</v>
      </c>
      <c r="BH119" s="59">
        <f t="shared" si="62"/>
        <v>1034.5259598741668</v>
      </c>
      <c r="BI119" s="59">
        <f ca="1">AVERAGE(OFFSET($BH$3,0,0,'Données projet'!$E$11+1,1))-AVERAGE(OFFSET($H$3,0,0,'Données projet'!$E$11+1,1))</f>
        <v>456.76871853389395</v>
      </c>
      <c r="BJ119" s="59">
        <f t="shared" si="92"/>
        <v>262.12425810289176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108.1959628476199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108.1959628476199</v>
      </c>
      <c r="BT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255.00000000000006</v>
      </c>
      <c r="BZ119" s="13">
        <f>BY119*VLOOKUP('Données projet'!$B$12,Paramètres!$A$1:$I$89,3,0)*VLOOKUP('Données projet'!$B$12,Paramètres!$A$1:$I$89,5,0)</f>
        <v>186.96600000000004</v>
      </c>
      <c r="CA119" s="13">
        <f t="shared" si="93"/>
        <v>46.868551400324648</v>
      </c>
      <c r="CB119" s="20">
        <f t="shared" si="64"/>
        <v>407.26184368889881</v>
      </c>
      <c r="CC119" s="59">
        <f t="shared" si="65"/>
        <v>697.22423197942089</v>
      </c>
      <c r="CD119" s="59">
        <f ca="1">AVERAGE(OFFSET($CC$3,0,0,'Données projet'!$E$12+1,1))-AVERAGE(OFFSET($H$3,0,0,'Données projet'!$E$12+1,1))</f>
        <v>242.65851607945316</v>
      </c>
      <c r="CE119" s="59">
        <f t="shared" si="94"/>
        <v>218.9349999985487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249.0000000000002</v>
      </c>
      <c r="CU119" s="17">
        <f>CT119*VLOOKUP('Données projet'!$B$13,Paramètres!$A$1:$I$89,3,0)*VLOOKUP('Données projet'!$B$13,Paramètres!$A$1:$I$89,5,0)</f>
        <v>217.52640000000019</v>
      </c>
      <c r="CV119" s="13">
        <f t="shared" si="95"/>
        <v>53.576907690651304</v>
      </c>
      <c r="CW119" s="20">
        <f t="shared" si="67"/>
        <v>472.17159422788467</v>
      </c>
      <c r="CX119" s="59">
        <f t="shared" si="68"/>
        <v>762.1339825184067</v>
      </c>
      <c r="CY119" s="59">
        <f ca="1">AVERAGE(OFFSET($CX$3,0,0,'Données projet'!$E$13+1,1))-AVERAGE(OFFSET($H$3,0,0,'Données projet'!$E$13+1,1))</f>
        <v>326.9460696675867</v>
      </c>
      <c r="CZ119" s="59">
        <f t="shared" si="96"/>
        <v>393.4020374592568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25.112964456130907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25.112964456130907</v>
      </c>
      <c r="DJ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349.00000000000017</v>
      </c>
      <c r="DP119" s="17">
        <f>DO119*VLOOKUP('Données projet'!$B$14,Paramètres!$A$1:$I$89,3,0)*VLOOKUP('Données projet'!$B$14,Paramètres!$A$1:$I$89,5,0)</f>
        <v>272.22000000000014</v>
      </c>
      <c r="DQ119" s="13">
        <f t="shared" si="97"/>
        <v>65.320184547527205</v>
      </c>
      <c r="DR119" s="20">
        <f t="shared" si="70"/>
        <v>587.88248808694345</v>
      </c>
      <c r="DS119" s="59">
        <f t="shared" si="71"/>
        <v>877.84487637746543</v>
      </c>
      <c r="DT119" s="59">
        <f ca="1">AVERAGE(OFFSET($DS$3,0,0,'Données projet'!$E$14+1,1))-AVERAGE(OFFSET($H$3,0,0,'Données projet'!$E$14+1,1))</f>
        <v>364.34528546733799</v>
      </c>
      <c r="DU119" s="59">
        <f t="shared" si="98"/>
        <v>346.5839763411152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34.852583854607474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34.852583854607474</v>
      </c>
      <c r="EE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213.98519999999999</v>
      </c>
      <c r="EL119" s="13">
        <f t="shared" si="99"/>
        <v>52.805497044008654</v>
      </c>
      <c r="EM119" s="20">
        <f t="shared" si="73"/>
        <v>464.66046401831505</v>
      </c>
      <c r="EN119" s="59">
        <f t="shared" si="74"/>
        <v>754.62285230883708</v>
      </c>
      <c r="EO119" s="59">
        <f ca="1">AVERAGE(OFFSET($EN$3,0,0,'Données projet'!$E$15+1,1))-AVERAGE(OFFSET($H$3,0,0,'Données projet'!$E$15+1,1))</f>
        <v>310.38232870602445</v>
      </c>
      <c r="EP119" s="59">
        <f t="shared" si="100"/>
        <v>303.45934457265537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21.974534903559366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21.974534903559366</v>
      </c>
      <c r="EZ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245.99999999999994</v>
      </c>
      <c r="FF119" s="17">
        <f>FE119*VLOOKUP('Données projet'!$B$16,Paramètres!$A$1:$I$89,3,0)*VLOOKUP('Données projet'!$B$16,Paramètres!$A$1:$I$89,5,0)</f>
        <v>234.09359999999998</v>
      </c>
      <c r="FG119" s="13">
        <f t="shared" si="101"/>
        <v>57.166902703920208</v>
      </c>
      <c r="FH119" s="20">
        <f t="shared" si="76"/>
        <v>507.27870887599425</v>
      </c>
      <c r="FI119" s="59">
        <f t="shared" si="77"/>
        <v>797.24109716651628</v>
      </c>
      <c r="FJ119" s="59">
        <f ca="1">AVERAGE(OFFSET($FI$3,0,0,'Données projet'!$E$16+1,1))-AVERAGE(OFFSET($H$3,0,0,'Données projet'!$E$16+1,1))</f>
        <v>457.706832425622</v>
      </c>
      <c r="FK119" s="59">
        <f t="shared" si="102"/>
        <v>474.61768219844873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76.449301156876103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76.449301156876103</v>
      </c>
      <c r="FU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319</v>
      </c>
      <c r="GA119" s="17">
        <f>FZ119*VLOOKUP('Données projet'!$B$17,Paramètres!$A$1:$I$89,3,0)*VLOOKUP('Données projet'!$B$17,Paramètres!$A$1:$I$89,5,0)</f>
        <v>308.53680000000003</v>
      </c>
      <c r="GB119" s="13">
        <f t="shared" si="103"/>
        <v>72.963171684496103</v>
      </c>
      <c r="GC119" s="20">
        <f t="shared" si="79"/>
        <v>664.4457840171641</v>
      </c>
      <c r="GD119" s="59">
        <f t="shared" si="80"/>
        <v>954.40817230768607</v>
      </c>
      <c r="GE119" s="59">
        <f ca="1">AVERAGE(OFFSET($GD$3,0,0,'Données projet'!$E$17+1,1))-AVERAGE(OFFSET($H$3,0,0,'Données projet'!$E$17+1,1))</f>
        <v>428.11167311086814</v>
      </c>
      <c r="GF119" s="59">
        <f t="shared" si="104"/>
        <v>415.69449942923609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25.70605969850342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25.70605969850342</v>
      </c>
      <c r="GP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1.1368683772161603E-13</v>
      </c>
      <c r="GV119" s="17">
        <f>GU119*VLOOKUP('Données projet'!$B$18,Paramètres!$A$1:$I$89,3,0)*VLOOKUP('Données projet'!$B$18,Paramètres!$A$1:$I$89,5,0)</f>
        <v>6.5087988332379613E-14</v>
      </c>
      <c r="GW119" s="13">
        <f t="shared" si="105"/>
        <v>1.0279249680474958E-12</v>
      </c>
      <c r="GX119" s="20">
        <f t="shared" si="82"/>
        <v>1.9036642323616162E-12</v>
      </c>
      <c r="GY119" s="59">
        <f t="shared" si="83"/>
        <v>289.9623882905239</v>
      </c>
      <c r="GZ119" s="59">
        <f ca="1">AVERAGE(OFFSET($GY$3,0,0,'Données projet'!$E$18+1,1))-AVERAGE(OFFSET($H$3,0,0,'Données projet'!$E$18+1,1))</f>
        <v>249.88816678272056</v>
      </c>
      <c r="HA119" s="59">
        <f t="shared" si="106"/>
        <v>432.10802787437319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15.124354563769304</v>
      </c>
      <c r="HH119" s="21">
        <f>EXP(-LN(2)/25)*HH118+(1-EXP(-LN(2)/25))/(LN(2)/25)*Calculateur!HC119*Calculateur!HE119*VLOOKUP('Données projet'!$B$18,Paramètres!$A$1:$I$89,3,0)*0.475*44/12</f>
        <v>1.9823508583916052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17.106705422160907</v>
      </c>
    </row>
    <row r="120" spans="1:218" x14ac:dyDescent="0.3">
      <c r="A120" s="10">
        <f t="shared" si="85"/>
        <v>117</v>
      </c>
      <c r="B120" s="71">
        <f>'Scénario référence'!$B$16*5+'Scénario référence'!$B$17*0+'Scénario référence'!$B$18*5</f>
        <v>1.4000000000000001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5.1333333333333337</v>
      </c>
      <c r="H120" s="65">
        <f t="shared" si="56"/>
        <v>236.13333333333335</v>
      </c>
      <c r="I120" s="6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319</v>
      </c>
      <c r="O120" s="13">
        <f>N120*VLOOKUP('Données projet'!$B$9,Paramètres!$A$1:$I$89,3,0)*VLOOKUP('Données projet'!$B$9,Paramètres!$A$1:$I$89,5,0)</f>
        <v>253.79640000000001</v>
      </c>
      <c r="P120" s="13">
        <f t="shared" si="87"/>
        <v>61.39816832228076</v>
      </c>
      <c r="Q120" s="20">
        <f t="shared" si="107"/>
        <v>548.96387316130563</v>
      </c>
      <c r="R120" s="59">
        <f t="shared" si="55"/>
        <v>838.98473981201641</v>
      </c>
      <c r="S120" s="59">
        <f ca="1">AVERAGE(OFFSET($R$3,0,0,'Données projet'!$E$9+1,1))-AVERAGE(OFFSET($H$3,0,0,'Données projet'!$E$9+1,1))</f>
        <v>360.06385535620069</v>
      </c>
      <c r="T120" s="59">
        <f t="shared" si="88"/>
        <v>350.82516032456408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25.551744454404975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25.551744454404975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277.77359999999993</v>
      </c>
      <c r="AK120" s="13">
        <f t="shared" si="89"/>
        <v>66.496288176842356</v>
      </c>
      <c r="AL120" s="20">
        <f t="shared" si="58"/>
        <v>599.60338857466706</v>
      </c>
      <c r="AM120" s="59">
        <f t="shared" si="59"/>
        <v>889.62425522537774</v>
      </c>
      <c r="AN120" s="59">
        <f ca="1">AVERAGE(OFFSET($AM$3,0,0,'Données projet'!$E$10+1,1))-AVERAGE(OFFSET($H$3,0,0,'Données projet'!$E$10+1,1))</f>
        <v>448.65237942538027</v>
      </c>
      <c r="AO120" s="59">
        <f t="shared" si="90"/>
        <v>283.56749129825107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96.210104532612661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96.210104532612661</v>
      </c>
      <c r="AY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403.99999999999989</v>
      </c>
      <c r="BE120" s="13">
        <f>BD120*VLOOKUP('Données projet'!$B$11,Paramètres!$A$1:$I$89,3,0)*VLOOKUP('Données projet'!$B$11,Paramètres!$A$1:$I$89,5,0)</f>
        <v>346.63199999999995</v>
      </c>
      <c r="BF120" s="13">
        <f t="shared" si="91"/>
        <v>80.868615263336864</v>
      </c>
      <c r="BG120" s="20">
        <f t="shared" si="61"/>
        <v>744.56357158364483</v>
      </c>
      <c r="BH120" s="59">
        <f t="shared" si="62"/>
        <v>1034.5844382343555</v>
      </c>
      <c r="BI120" s="59">
        <f ca="1">AVERAGE(OFFSET($BH$3,0,0,'Données projet'!$E$11+1,1))-AVERAGE(OFFSET($H$3,0,0,'Données projet'!$E$11+1,1))</f>
        <v>456.76871853389395</v>
      </c>
      <c r="BJ120" s="59">
        <f t="shared" si="92"/>
        <v>262.12425810289176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106.07430600919913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106.07430600919913</v>
      </c>
      <c r="BT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255.00000000000006</v>
      </c>
      <c r="BZ120" s="13">
        <f>BY120*VLOOKUP('Données projet'!$B$12,Paramètres!$A$1:$I$89,3,0)*VLOOKUP('Données projet'!$B$12,Paramètres!$A$1:$I$89,5,0)</f>
        <v>186.96600000000004</v>
      </c>
      <c r="CA120" s="13">
        <f t="shared" si="93"/>
        <v>46.868551400324648</v>
      </c>
      <c r="CB120" s="20">
        <f t="shared" si="64"/>
        <v>407.26184368889881</v>
      </c>
      <c r="CC120" s="59">
        <f t="shared" si="65"/>
        <v>697.28271033960959</v>
      </c>
      <c r="CD120" s="59">
        <f ca="1">AVERAGE(OFFSET($CC$3,0,0,'Données projet'!$E$12+1,1))-AVERAGE(OFFSET($H$3,0,0,'Données projet'!$E$12+1,1))</f>
        <v>242.65851607945316</v>
      </c>
      <c r="CE120" s="59">
        <f t="shared" si="94"/>
        <v>218.9349999985487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249.0000000000002</v>
      </c>
      <c r="CU120" s="17">
        <f>CT120*VLOOKUP('Données projet'!$B$13,Paramètres!$A$1:$I$89,3,0)*VLOOKUP('Données projet'!$B$13,Paramètres!$A$1:$I$89,5,0)</f>
        <v>217.52640000000019</v>
      </c>
      <c r="CV120" s="13">
        <f t="shared" si="95"/>
        <v>53.576907690651304</v>
      </c>
      <c r="CW120" s="20">
        <f t="shared" si="67"/>
        <v>472.17159422788467</v>
      </c>
      <c r="CX120" s="59">
        <f t="shared" si="68"/>
        <v>762.1924608785954</v>
      </c>
      <c r="CY120" s="59">
        <f ca="1">AVERAGE(OFFSET($CX$3,0,0,'Données projet'!$E$13+1,1))-AVERAGE(OFFSET($H$3,0,0,'Données projet'!$E$13+1,1))</f>
        <v>326.9460696675867</v>
      </c>
      <c r="CZ120" s="59">
        <f t="shared" si="96"/>
        <v>393.4020374592568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24.620514540542032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24.620514540542032</v>
      </c>
      <c r="DJ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349.00000000000017</v>
      </c>
      <c r="DP120" s="17">
        <f>DO120*VLOOKUP('Données projet'!$B$14,Paramètres!$A$1:$I$89,3,0)*VLOOKUP('Données projet'!$B$14,Paramètres!$A$1:$I$89,5,0)</f>
        <v>272.22000000000014</v>
      </c>
      <c r="DQ120" s="13">
        <f t="shared" si="97"/>
        <v>65.320184547527205</v>
      </c>
      <c r="DR120" s="20">
        <f t="shared" si="70"/>
        <v>587.88248808694345</v>
      </c>
      <c r="DS120" s="59">
        <f t="shared" si="71"/>
        <v>877.90335473765413</v>
      </c>
      <c r="DT120" s="59">
        <f ca="1">AVERAGE(OFFSET($DS$3,0,0,'Données projet'!$E$14+1,1))-AVERAGE(OFFSET($H$3,0,0,'Données projet'!$E$14+1,1))</f>
        <v>364.34528546733799</v>
      </c>
      <c r="DU120" s="59">
        <f t="shared" si="98"/>
        <v>346.5839763411152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34.169145943195723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34.169145943195723</v>
      </c>
      <c r="EE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213.98519999999999</v>
      </c>
      <c r="EL120" s="13">
        <f t="shared" si="99"/>
        <v>52.805497044008654</v>
      </c>
      <c r="EM120" s="20">
        <f t="shared" si="73"/>
        <v>464.66046401831505</v>
      </c>
      <c r="EN120" s="59">
        <f t="shared" si="74"/>
        <v>754.68133066902578</v>
      </c>
      <c r="EO120" s="59">
        <f ca="1">AVERAGE(OFFSET($EN$3,0,0,'Données projet'!$E$15+1,1))-AVERAGE(OFFSET($H$3,0,0,'Données projet'!$E$15+1,1))</f>
        <v>310.38232870602445</v>
      </c>
      <c r="EP120" s="59">
        <f t="shared" si="100"/>
        <v>303.45934457265537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21.543627677243407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21.543627677243407</v>
      </c>
      <c r="EZ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245.99999999999994</v>
      </c>
      <c r="FF120" s="17">
        <f>FE120*VLOOKUP('Données projet'!$B$16,Paramètres!$A$1:$I$89,3,0)*VLOOKUP('Données projet'!$B$16,Paramètres!$A$1:$I$89,5,0)</f>
        <v>234.09359999999998</v>
      </c>
      <c r="FG120" s="13">
        <f t="shared" si="101"/>
        <v>57.166902703920208</v>
      </c>
      <c r="FH120" s="20">
        <f t="shared" si="76"/>
        <v>507.27870887599425</v>
      </c>
      <c r="FI120" s="59">
        <f t="shared" si="77"/>
        <v>797.29957552670498</v>
      </c>
      <c r="FJ120" s="59">
        <f ca="1">AVERAGE(OFFSET($FI$3,0,0,'Données projet'!$E$16+1,1))-AVERAGE(OFFSET($H$3,0,0,'Données projet'!$E$16+1,1))</f>
        <v>457.706832425622</v>
      </c>
      <c r="FK120" s="59">
        <f t="shared" si="102"/>
        <v>474.61768219844873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74.950176990659187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74.950176990659187</v>
      </c>
      <c r="FU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319</v>
      </c>
      <c r="GA120" s="17">
        <f>FZ120*VLOOKUP('Données projet'!$B$17,Paramètres!$A$1:$I$89,3,0)*VLOOKUP('Données projet'!$B$17,Paramètres!$A$1:$I$89,5,0)</f>
        <v>308.53680000000003</v>
      </c>
      <c r="GB120" s="13">
        <f t="shared" si="103"/>
        <v>72.963171684496103</v>
      </c>
      <c r="GC120" s="20">
        <f t="shared" si="79"/>
        <v>664.4457840171641</v>
      </c>
      <c r="GD120" s="59">
        <f t="shared" si="80"/>
        <v>954.46665066787477</v>
      </c>
      <c r="GE120" s="59">
        <f ca="1">AVERAGE(OFFSET($GD$3,0,0,'Données projet'!$E$17+1,1))-AVERAGE(OFFSET($H$3,0,0,'Données projet'!$E$17+1,1))</f>
        <v>428.11167311086814</v>
      </c>
      <c r="GF120" s="59">
        <f t="shared" si="104"/>
        <v>415.69449942923609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25.201979546963997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25.201979546963997</v>
      </c>
      <c r="GP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1.1368683772161603E-13</v>
      </c>
      <c r="GV120" s="17">
        <f>GU120*VLOOKUP('Données projet'!$B$18,Paramètres!$A$1:$I$89,3,0)*VLOOKUP('Données projet'!$B$18,Paramètres!$A$1:$I$89,5,0)</f>
        <v>6.5087988332379613E-14</v>
      </c>
      <c r="GW120" s="13">
        <f t="shared" si="105"/>
        <v>1.0279249680474958E-12</v>
      </c>
      <c r="GX120" s="20">
        <f t="shared" si="82"/>
        <v>1.9036642323616162E-12</v>
      </c>
      <c r="GY120" s="59">
        <f t="shared" si="83"/>
        <v>290.02086665071261</v>
      </c>
      <c r="GZ120" s="59">
        <f ca="1">AVERAGE(OFFSET($GY$3,0,0,'Données projet'!$E$18+1,1))-AVERAGE(OFFSET($H$3,0,0,'Données projet'!$E$18+1,1))</f>
        <v>249.88816678272056</v>
      </c>
      <c r="HA120" s="59">
        <f t="shared" si="106"/>
        <v>432.10802787437319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14.827775195719184</v>
      </c>
      <c r="HH120" s="21">
        <f>EXP(-LN(2)/25)*HH119+(1-EXP(-LN(2)/25))/(LN(2)/25)*Calculateur!HC120*Calculateur!HE120*VLOOKUP('Données projet'!$B$18,Paramètres!$A$1:$I$89,3,0)*0.475*44/12</f>
        <v>1.9281433699215857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16.755918565640769</v>
      </c>
    </row>
    <row r="121" spans="1:218" x14ac:dyDescent="0.3">
      <c r="A121" s="10">
        <f t="shared" si="85"/>
        <v>118</v>
      </c>
      <c r="B121" s="71">
        <f>'Scénario référence'!$B$16*5+'Scénario référence'!$B$17*0+'Scénario référence'!$B$18*5</f>
        <v>1.4000000000000001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5.1333333333333337</v>
      </c>
      <c r="H121" s="65">
        <f t="shared" si="56"/>
        <v>236.13333333333335</v>
      </c>
      <c r="I121" s="6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319</v>
      </c>
      <c r="O121" s="13">
        <f>N121*VLOOKUP('Données projet'!$B$9,Paramètres!$A$1:$I$89,3,0)*VLOOKUP('Données projet'!$B$9,Paramètres!$A$1:$I$89,5,0)</f>
        <v>253.79640000000001</v>
      </c>
      <c r="P121" s="13">
        <f t="shared" si="87"/>
        <v>61.39816832228076</v>
      </c>
      <c r="Q121" s="20">
        <f t="shared" si="107"/>
        <v>548.96387316130563</v>
      </c>
      <c r="R121" s="59">
        <f t="shared" si="55"/>
        <v>839.04220370339362</v>
      </c>
      <c r="S121" s="59">
        <f ca="1">AVERAGE(OFFSET($R$3,0,0,'Données projet'!$E$9+1,1))-AVERAGE(OFFSET($H$3,0,0,'Données projet'!$E$9+1,1))</f>
        <v>360.06385535620069</v>
      </c>
      <c r="T121" s="59">
        <f t="shared" si="88"/>
        <v>350.82516032456408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25.050690330679316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25.050690330679316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277.77359999999993</v>
      </c>
      <c r="AK121" s="13">
        <f t="shared" si="89"/>
        <v>66.496288176842356</v>
      </c>
      <c r="AL121" s="20">
        <f t="shared" si="58"/>
        <v>599.60338857466706</v>
      </c>
      <c r="AM121" s="59">
        <f t="shared" si="59"/>
        <v>889.68171911675518</v>
      </c>
      <c r="AN121" s="59">
        <f ca="1">AVERAGE(OFFSET($AM$3,0,0,'Données projet'!$E$10+1,1))-AVERAGE(OFFSET($H$3,0,0,'Données projet'!$E$10+1,1))</f>
        <v>448.65237942538027</v>
      </c>
      <c r="AO121" s="59">
        <f t="shared" si="90"/>
        <v>283.56749129825107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94.323483065097491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94.323483065097491</v>
      </c>
      <c r="AY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403.99999999999989</v>
      </c>
      <c r="BE121" s="13">
        <f>BD121*VLOOKUP('Données projet'!$B$11,Paramètres!$A$1:$I$89,3,0)*VLOOKUP('Données projet'!$B$11,Paramètres!$A$1:$I$89,5,0)</f>
        <v>346.63199999999995</v>
      </c>
      <c r="BF121" s="13">
        <f t="shared" si="91"/>
        <v>80.868615263336864</v>
      </c>
      <c r="BG121" s="20">
        <f t="shared" si="61"/>
        <v>744.56357158364483</v>
      </c>
      <c r="BH121" s="59">
        <f t="shared" si="62"/>
        <v>1034.6419021257329</v>
      </c>
      <c r="BI121" s="59">
        <f ca="1">AVERAGE(OFFSET($BH$3,0,0,'Données projet'!$E$11+1,1))-AVERAGE(OFFSET($H$3,0,0,'Données projet'!$E$11+1,1))</f>
        <v>456.76871853389395</v>
      </c>
      <c r="BJ121" s="59">
        <f t="shared" si="92"/>
        <v>262.12425810289176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103.99425356729691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103.99425356729691</v>
      </c>
      <c r="BT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255.00000000000006</v>
      </c>
      <c r="BZ121" s="13">
        <f>BY121*VLOOKUP('Données projet'!$B$12,Paramètres!$A$1:$I$89,3,0)*VLOOKUP('Données projet'!$B$12,Paramètres!$A$1:$I$89,5,0)</f>
        <v>186.96600000000004</v>
      </c>
      <c r="CA121" s="13">
        <f t="shared" si="93"/>
        <v>46.868551400324648</v>
      </c>
      <c r="CB121" s="20">
        <f t="shared" si="64"/>
        <v>407.26184368889881</v>
      </c>
      <c r="CC121" s="59">
        <f t="shared" si="65"/>
        <v>697.3401742309868</v>
      </c>
      <c r="CD121" s="59">
        <f ca="1">AVERAGE(OFFSET($CC$3,0,0,'Données projet'!$E$12+1,1))-AVERAGE(OFFSET($H$3,0,0,'Données projet'!$E$12+1,1))</f>
        <v>242.65851607945316</v>
      </c>
      <c r="CE121" s="59">
        <f t="shared" si="94"/>
        <v>218.9349999985487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249.0000000000002</v>
      </c>
      <c r="CU121" s="17">
        <f>CT121*VLOOKUP('Données projet'!$B$13,Paramètres!$A$1:$I$89,3,0)*VLOOKUP('Données projet'!$B$13,Paramètres!$A$1:$I$89,5,0)</f>
        <v>217.52640000000019</v>
      </c>
      <c r="CV121" s="13">
        <f t="shared" si="95"/>
        <v>53.576907690651304</v>
      </c>
      <c r="CW121" s="20">
        <f t="shared" si="67"/>
        <v>472.17159422788467</v>
      </c>
      <c r="CX121" s="59">
        <f t="shared" si="68"/>
        <v>762.24992476997272</v>
      </c>
      <c r="CY121" s="59">
        <f ca="1">AVERAGE(OFFSET($CX$3,0,0,'Données projet'!$E$13+1,1))-AVERAGE(OFFSET($H$3,0,0,'Données projet'!$E$13+1,1))</f>
        <v>326.9460696675867</v>
      </c>
      <c r="CZ121" s="59">
        <f t="shared" si="96"/>
        <v>393.4020374592568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24.137721267433065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24.137721267433065</v>
      </c>
      <c r="DJ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349.00000000000017</v>
      </c>
      <c r="DP121" s="17">
        <f>DO121*VLOOKUP('Données projet'!$B$14,Paramètres!$A$1:$I$89,3,0)*VLOOKUP('Données projet'!$B$14,Paramètres!$A$1:$I$89,5,0)</f>
        <v>272.22000000000014</v>
      </c>
      <c r="DQ121" s="13">
        <f t="shared" si="97"/>
        <v>65.320184547527205</v>
      </c>
      <c r="DR121" s="20">
        <f t="shared" si="70"/>
        <v>587.88248808694345</v>
      </c>
      <c r="DS121" s="59">
        <f t="shared" si="71"/>
        <v>877.96081862903156</v>
      </c>
      <c r="DT121" s="59">
        <f ca="1">AVERAGE(OFFSET($DS$3,0,0,'Données projet'!$E$14+1,1))-AVERAGE(OFFSET($H$3,0,0,'Données projet'!$E$14+1,1))</f>
        <v>364.34528546733799</v>
      </c>
      <c r="DU121" s="59">
        <f t="shared" si="98"/>
        <v>346.5839763411152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33.499109832370792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33.499109832370792</v>
      </c>
      <c r="EE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213.98519999999999</v>
      </c>
      <c r="EL121" s="13">
        <f t="shared" si="99"/>
        <v>52.805497044008654</v>
      </c>
      <c r="EM121" s="20">
        <f t="shared" si="73"/>
        <v>464.66046401831505</v>
      </c>
      <c r="EN121" s="59">
        <f t="shared" si="74"/>
        <v>754.73879456040311</v>
      </c>
      <c r="EO121" s="59">
        <f ca="1">AVERAGE(OFFSET($EN$3,0,0,'Données projet'!$E$15+1,1))-AVERAGE(OFFSET($H$3,0,0,'Données projet'!$E$15+1,1))</f>
        <v>310.38232870602445</v>
      </c>
      <c r="EP121" s="59">
        <f t="shared" si="100"/>
        <v>303.45934457265537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21.121170278808048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21.121170278808048</v>
      </c>
      <c r="EZ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245.99999999999994</v>
      </c>
      <c r="FF121" s="17">
        <f>FE121*VLOOKUP('Données projet'!$B$16,Paramètres!$A$1:$I$89,3,0)*VLOOKUP('Données projet'!$B$16,Paramètres!$A$1:$I$89,5,0)</f>
        <v>234.09359999999998</v>
      </c>
      <c r="FG121" s="13">
        <f t="shared" si="101"/>
        <v>57.166902703920208</v>
      </c>
      <c r="FH121" s="20">
        <f t="shared" si="76"/>
        <v>507.27870887599425</v>
      </c>
      <c r="FI121" s="59">
        <f t="shared" si="77"/>
        <v>797.35703941808231</v>
      </c>
      <c r="FJ121" s="59">
        <f ca="1">AVERAGE(OFFSET($FI$3,0,0,'Données projet'!$E$16+1,1))-AVERAGE(OFFSET($H$3,0,0,'Données projet'!$E$16+1,1))</f>
        <v>457.706832425622</v>
      </c>
      <c r="FK121" s="59">
        <f t="shared" si="102"/>
        <v>474.61768219844873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73.480449734966328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73.480449734966328</v>
      </c>
      <c r="FU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319</v>
      </c>
      <c r="GA121" s="17">
        <f>FZ121*VLOOKUP('Données projet'!$B$17,Paramètres!$A$1:$I$89,3,0)*VLOOKUP('Données projet'!$B$17,Paramètres!$A$1:$I$89,5,0)</f>
        <v>308.53680000000003</v>
      </c>
      <c r="GB121" s="13">
        <f t="shared" si="103"/>
        <v>72.963171684496103</v>
      </c>
      <c r="GC121" s="20">
        <f t="shared" si="79"/>
        <v>664.4457840171641</v>
      </c>
      <c r="GD121" s="59">
        <f t="shared" si="80"/>
        <v>954.52411455925221</v>
      </c>
      <c r="GE121" s="59">
        <f ca="1">AVERAGE(OFFSET($GD$3,0,0,'Données projet'!$E$17+1,1))-AVERAGE(OFFSET($H$3,0,0,'Données projet'!$E$17+1,1))</f>
        <v>428.11167311086814</v>
      </c>
      <c r="GF121" s="59">
        <f t="shared" si="104"/>
        <v>415.69449942923609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24.707784099737729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24.707784099737729</v>
      </c>
      <c r="GP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1.1368683772161603E-13</v>
      </c>
      <c r="GV121" s="17">
        <f>GU121*VLOOKUP('Données projet'!$B$18,Paramètres!$A$1:$I$89,3,0)*VLOOKUP('Données projet'!$B$18,Paramètres!$A$1:$I$89,5,0)</f>
        <v>6.5087988332379613E-14</v>
      </c>
      <c r="GW121" s="13">
        <f t="shared" si="105"/>
        <v>1.0279249680474958E-12</v>
      </c>
      <c r="GX121" s="20">
        <f t="shared" si="82"/>
        <v>1.9036642323616162E-12</v>
      </c>
      <c r="GY121" s="59">
        <f t="shared" si="83"/>
        <v>290.07833054208993</v>
      </c>
      <c r="GZ121" s="59">
        <f ca="1">AVERAGE(OFFSET($GY$3,0,0,'Données projet'!$E$18+1,1))-AVERAGE(OFFSET($H$3,0,0,'Données projet'!$E$18+1,1))</f>
        <v>249.88816678272056</v>
      </c>
      <c r="HA121" s="59">
        <f t="shared" si="106"/>
        <v>432.10802787437319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14.537011568180974</v>
      </c>
      <c r="HH121" s="21">
        <f>EXP(-LN(2)/25)*HH120+(1-EXP(-LN(2)/25))/(LN(2)/25)*Calculateur!HC121*Calculateur!HE121*VLOOKUP('Données projet'!$B$18,Paramètres!$A$1:$I$89,3,0)*0.475*44/12</f>
        <v>1.875418188074427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16.412429756255399</v>
      </c>
    </row>
    <row r="122" spans="1:218" x14ac:dyDescent="0.3">
      <c r="A122" s="10">
        <f t="shared" si="85"/>
        <v>119</v>
      </c>
      <c r="B122" s="71">
        <f>'Scénario référence'!$B$16*5+'Scénario référence'!$B$17*0+'Scénario référence'!$B$18*5</f>
        <v>1.4000000000000001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5.1333333333333337</v>
      </c>
      <c r="H122" s="65">
        <f t="shared" si="56"/>
        <v>236.13333333333335</v>
      </c>
      <c r="I122" s="6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319</v>
      </c>
      <c r="O122" s="13">
        <f>N122*VLOOKUP('Données projet'!$B$9,Paramètres!$A$1:$I$89,3,0)*VLOOKUP('Données projet'!$B$9,Paramètres!$A$1:$I$89,5,0)</f>
        <v>253.79640000000001</v>
      </c>
      <c r="P122" s="13">
        <f t="shared" si="87"/>
        <v>61.39816832228076</v>
      </c>
      <c r="Q122" s="20">
        <f t="shared" si="107"/>
        <v>548.96387316130563</v>
      </c>
      <c r="R122" s="59">
        <f t="shared" si="55"/>
        <v>839.09867072472582</v>
      </c>
      <c r="S122" s="59">
        <f ca="1">AVERAGE(OFFSET($R$3,0,0,'Données projet'!$E$9+1,1))-AVERAGE(OFFSET($H$3,0,0,'Données projet'!$E$9+1,1))</f>
        <v>360.06385535620069</v>
      </c>
      <c r="T122" s="59">
        <f t="shared" si="88"/>
        <v>350.82516032456408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24.559461572707079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24.559461572707079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277.77359999999993</v>
      </c>
      <c r="AK122" s="13">
        <f t="shared" si="89"/>
        <v>66.496288176842356</v>
      </c>
      <c r="AL122" s="20">
        <f t="shared" si="58"/>
        <v>599.60338857466706</v>
      </c>
      <c r="AM122" s="59">
        <f t="shared" si="59"/>
        <v>889.73818613808726</v>
      </c>
      <c r="AN122" s="59">
        <f ca="1">AVERAGE(OFFSET($AM$3,0,0,'Données projet'!$E$10+1,1))-AVERAGE(OFFSET($H$3,0,0,'Données projet'!$E$10+1,1))</f>
        <v>448.65237942538027</v>
      </c>
      <c r="AO122" s="59">
        <f t="shared" si="90"/>
        <v>283.56749129825107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92.473857093834823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92.473857093834823</v>
      </c>
      <c r="AY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403.99999999999989</v>
      </c>
      <c r="BE122" s="13">
        <f>BD122*VLOOKUP('Données projet'!$B$11,Paramètres!$A$1:$I$89,3,0)*VLOOKUP('Données projet'!$B$11,Paramètres!$A$1:$I$89,5,0)</f>
        <v>346.63199999999995</v>
      </c>
      <c r="BF122" s="13">
        <f t="shared" si="91"/>
        <v>80.868615263336864</v>
      </c>
      <c r="BG122" s="20">
        <f t="shared" si="61"/>
        <v>744.56357158364483</v>
      </c>
      <c r="BH122" s="59">
        <f t="shared" si="62"/>
        <v>1034.698369147065</v>
      </c>
      <c r="BI122" s="59">
        <f ca="1">AVERAGE(OFFSET($BH$3,0,0,'Données projet'!$E$11+1,1))-AVERAGE(OFFSET($H$3,0,0,'Données projet'!$E$11+1,1))</f>
        <v>456.76871853389395</v>
      </c>
      <c r="BJ122" s="59">
        <f t="shared" si="92"/>
        <v>262.12425810289176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101.95498968507367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101.95498968507367</v>
      </c>
      <c r="BT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255.00000000000006</v>
      </c>
      <c r="BZ122" s="13">
        <f>BY122*VLOOKUP('Données projet'!$B$12,Paramètres!$A$1:$I$89,3,0)*VLOOKUP('Données projet'!$B$12,Paramètres!$A$1:$I$89,5,0)</f>
        <v>186.96600000000004</v>
      </c>
      <c r="CA122" s="13">
        <f t="shared" si="93"/>
        <v>46.868551400324648</v>
      </c>
      <c r="CB122" s="20">
        <f t="shared" si="64"/>
        <v>407.26184368889881</v>
      </c>
      <c r="CC122" s="59">
        <f t="shared" si="65"/>
        <v>697.396641252319</v>
      </c>
      <c r="CD122" s="59">
        <f ca="1">AVERAGE(OFFSET($CC$3,0,0,'Données projet'!$E$12+1,1))-AVERAGE(OFFSET($H$3,0,0,'Données projet'!$E$12+1,1))</f>
        <v>242.65851607945316</v>
      </c>
      <c r="CE122" s="59">
        <f t="shared" si="94"/>
        <v>218.9349999985487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249.0000000000002</v>
      </c>
      <c r="CU122" s="17">
        <f>CT122*VLOOKUP('Données projet'!$B$13,Paramètres!$A$1:$I$89,3,0)*VLOOKUP('Données projet'!$B$13,Paramètres!$A$1:$I$89,5,0)</f>
        <v>217.52640000000019</v>
      </c>
      <c r="CV122" s="13">
        <f t="shared" si="95"/>
        <v>53.576907690651304</v>
      </c>
      <c r="CW122" s="20">
        <f t="shared" si="67"/>
        <v>472.17159422788467</v>
      </c>
      <c r="CX122" s="59">
        <f t="shared" si="68"/>
        <v>762.3063917913048</v>
      </c>
      <c r="CY122" s="59">
        <f ca="1">AVERAGE(OFFSET($CX$3,0,0,'Données projet'!$E$13+1,1))-AVERAGE(OFFSET($H$3,0,0,'Données projet'!$E$13+1,1))</f>
        <v>326.9460696675867</v>
      </c>
      <c r="CZ122" s="59">
        <f t="shared" si="96"/>
        <v>393.4020374592568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23.664395275934943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23.664395275934943</v>
      </c>
      <c r="DJ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349.00000000000017</v>
      </c>
      <c r="DP122" s="17">
        <f>DO122*VLOOKUP('Données projet'!$B$14,Paramètres!$A$1:$I$89,3,0)*VLOOKUP('Données projet'!$B$14,Paramètres!$A$1:$I$89,5,0)</f>
        <v>272.22000000000014</v>
      </c>
      <c r="DQ122" s="13">
        <f t="shared" si="97"/>
        <v>65.320184547527205</v>
      </c>
      <c r="DR122" s="20">
        <f t="shared" si="70"/>
        <v>587.88248808694345</v>
      </c>
      <c r="DS122" s="59">
        <f t="shared" si="71"/>
        <v>878.01728565036365</v>
      </c>
      <c r="DT122" s="59">
        <f ca="1">AVERAGE(OFFSET($DS$3,0,0,'Données projet'!$E$14+1,1))-AVERAGE(OFFSET($H$3,0,0,'Données projet'!$E$14+1,1))</f>
        <v>364.34528546733799</v>
      </c>
      <c r="DU122" s="59">
        <f t="shared" si="98"/>
        <v>346.5839763411152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32.842212720997459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32.842212720997459</v>
      </c>
      <c r="EE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213.98519999999999</v>
      </c>
      <c r="EL122" s="13">
        <f t="shared" si="99"/>
        <v>52.805497044008654</v>
      </c>
      <c r="EM122" s="20">
        <f t="shared" si="73"/>
        <v>464.66046401831505</v>
      </c>
      <c r="EN122" s="59">
        <f t="shared" si="74"/>
        <v>754.7952615817353</v>
      </c>
      <c r="EO122" s="59">
        <f ca="1">AVERAGE(OFFSET($EN$3,0,0,'Données projet'!$E$15+1,1))-AVERAGE(OFFSET($H$3,0,0,'Données projet'!$E$15+1,1))</f>
        <v>310.38232870602445</v>
      </c>
      <c r="EP122" s="59">
        <f t="shared" si="100"/>
        <v>303.45934457265537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20.706997012282436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20.706997012282436</v>
      </c>
      <c r="EZ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245.99999999999994</v>
      </c>
      <c r="FF122" s="17">
        <f>FE122*VLOOKUP('Données projet'!$B$16,Paramètres!$A$1:$I$89,3,0)*VLOOKUP('Données projet'!$B$16,Paramètres!$A$1:$I$89,5,0)</f>
        <v>234.09359999999998</v>
      </c>
      <c r="FG122" s="13">
        <f t="shared" si="101"/>
        <v>57.166902703920208</v>
      </c>
      <c r="FH122" s="20">
        <f t="shared" si="76"/>
        <v>507.27870887599425</v>
      </c>
      <c r="FI122" s="59">
        <f t="shared" si="77"/>
        <v>797.4135064394145</v>
      </c>
      <c r="FJ122" s="59">
        <f ca="1">AVERAGE(OFFSET($FI$3,0,0,'Données projet'!$E$16+1,1))-AVERAGE(OFFSET($H$3,0,0,'Données projet'!$E$16+1,1))</f>
        <v>457.706832425622</v>
      </c>
      <c r="FK122" s="59">
        <f t="shared" si="102"/>
        <v>474.61768219844873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72.039542934312507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72.039542934312507</v>
      </c>
      <c r="FU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319</v>
      </c>
      <c r="GA122" s="17">
        <f>FZ122*VLOOKUP('Données projet'!$B$17,Paramètres!$A$1:$I$89,3,0)*VLOOKUP('Données projet'!$B$17,Paramètres!$A$1:$I$89,5,0)</f>
        <v>308.53680000000003</v>
      </c>
      <c r="GB122" s="13">
        <f t="shared" si="103"/>
        <v>72.963171684496103</v>
      </c>
      <c r="GC122" s="20">
        <f t="shared" si="79"/>
        <v>664.4457840171641</v>
      </c>
      <c r="GD122" s="59">
        <f t="shared" si="80"/>
        <v>954.58058158058429</v>
      </c>
      <c r="GE122" s="59">
        <f ca="1">AVERAGE(OFFSET($GD$3,0,0,'Données projet'!$E$17+1,1))-AVERAGE(OFFSET($H$3,0,0,'Données projet'!$E$17+1,1))</f>
        <v>428.11167311086814</v>
      </c>
      <c r="GF122" s="59">
        <f t="shared" si="104"/>
        <v>415.69449942923609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24.223279523802109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24.223279523802109</v>
      </c>
      <c r="GP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1.1368683772161603E-13</v>
      </c>
      <c r="GV122" s="17">
        <f>GU122*VLOOKUP('Données projet'!$B$18,Paramètres!$A$1:$I$89,3,0)*VLOOKUP('Données projet'!$B$18,Paramètres!$A$1:$I$89,5,0)</f>
        <v>6.5087988332379613E-14</v>
      </c>
      <c r="GW122" s="13">
        <f t="shared" si="105"/>
        <v>1.0279249680474958E-12</v>
      </c>
      <c r="GX122" s="20">
        <f t="shared" si="82"/>
        <v>1.9036642323616162E-12</v>
      </c>
      <c r="GY122" s="59">
        <f t="shared" si="83"/>
        <v>290.13479756342207</v>
      </c>
      <c r="GZ122" s="59">
        <f ca="1">AVERAGE(OFFSET($GY$3,0,0,'Données projet'!$E$18+1,1))-AVERAGE(OFFSET($H$3,0,0,'Données projet'!$E$18+1,1))</f>
        <v>249.88816678272056</v>
      </c>
      <c r="HA122" s="59">
        <f t="shared" si="106"/>
        <v>432.10802787437319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14.251949638030487</v>
      </c>
      <c r="HH122" s="21">
        <f>EXP(-LN(2)/25)*HH121+(1-EXP(-LN(2)/25))/(LN(2)/25)*Calculateur!HC122*Calculateur!HE122*VLOOKUP('Données projet'!$B$18,Paramètres!$A$1:$I$89,3,0)*0.475*44/12</f>
        <v>1.8241347790975755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16.076084417128062</v>
      </c>
    </row>
    <row r="123" spans="1:218" x14ac:dyDescent="0.3">
      <c r="A123" s="10">
        <f t="shared" si="85"/>
        <v>120</v>
      </c>
      <c r="B123" s="71">
        <f>'Scénario référence'!$B$16*5+'Scénario référence'!$B$17*0+'Scénario référence'!$B$18*5</f>
        <v>1.4000000000000001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5.1333333333333337</v>
      </c>
      <c r="H123" s="65">
        <f t="shared" si="56"/>
        <v>236.13333333333335</v>
      </c>
      <c r="I123" s="6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319</v>
      </c>
      <c r="O123" s="13">
        <f>N123*VLOOKUP('Données projet'!$B$9,Paramètres!$A$1:$I$89,3,0)*VLOOKUP('Données projet'!$B$9,Paramètres!$A$1:$I$89,5,0)</f>
        <v>253.79640000000001</v>
      </c>
      <c r="P123" s="13">
        <f t="shared" si="87"/>
        <v>61.39816832228076</v>
      </c>
      <c r="Q123" s="20">
        <f t="shared" si="107"/>
        <v>548.96387316130563</v>
      </c>
      <c r="R123" s="59">
        <f t="shared" si="55"/>
        <v>839.15415816947916</v>
      </c>
      <c r="S123" s="59">
        <f ca="1">AVERAGE(OFFSET($R$3,0,0,'Données projet'!$E$9+1,1))-AVERAGE(OFFSET($H$3,0,0,'Données projet'!$E$9+1,1))</f>
        <v>360.06385535620069</v>
      </c>
      <c r="T123" s="59">
        <f t="shared" si="88"/>
        <v>350.82516032456408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24.077865511058722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24.077865511058722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277.77359999999993</v>
      </c>
      <c r="AK123" s="13">
        <f t="shared" si="89"/>
        <v>66.496288176842356</v>
      </c>
      <c r="AL123" s="20">
        <f t="shared" si="58"/>
        <v>599.60338857466706</v>
      </c>
      <c r="AM123" s="59">
        <f t="shared" si="59"/>
        <v>889.79367358284048</v>
      </c>
      <c r="AN123" s="59">
        <f ca="1">AVERAGE(OFFSET($AM$3,0,0,'Données projet'!$E$10+1,1))-AVERAGE(OFFSET($H$3,0,0,'Données projet'!$E$10+1,1))</f>
        <v>448.65237942538027</v>
      </c>
      <c r="AO123" s="59">
        <f t="shared" si="90"/>
        <v>283.56749129825107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90.660501159708161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90.660501159708161</v>
      </c>
      <c r="AY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403.99999999999989</v>
      </c>
      <c r="BE123" s="13">
        <f>BD123*VLOOKUP('Données projet'!$B$11,Paramètres!$A$1:$I$89,3,0)*VLOOKUP('Données projet'!$B$11,Paramètres!$A$1:$I$89,5,0)</f>
        <v>346.63199999999995</v>
      </c>
      <c r="BF123" s="13">
        <f t="shared" si="91"/>
        <v>80.868615263336864</v>
      </c>
      <c r="BG123" s="20">
        <f t="shared" si="61"/>
        <v>744.56357158364483</v>
      </c>
      <c r="BH123" s="59">
        <f t="shared" si="62"/>
        <v>1034.7538565918182</v>
      </c>
      <c r="BI123" s="59">
        <f ca="1">AVERAGE(OFFSET($BH$3,0,0,'Données projet'!$E$11+1,1))-AVERAGE(OFFSET($H$3,0,0,'Données projet'!$E$11+1,1))</f>
        <v>456.76871853389395</v>
      </c>
      <c r="BJ123" s="59">
        <f t="shared" si="92"/>
        <v>262.12425810289176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99.95571452375269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99.95571452375269</v>
      </c>
      <c r="BT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255.00000000000006</v>
      </c>
      <c r="BZ123" s="13">
        <f>BY123*VLOOKUP('Données projet'!$B$12,Paramètres!$A$1:$I$89,3,0)*VLOOKUP('Données projet'!$B$12,Paramètres!$A$1:$I$89,5,0)</f>
        <v>186.96600000000004</v>
      </c>
      <c r="CA123" s="13">
        <f t="shared" si="93"/>
        <v>46.868551400324648</v>
      </c>
      <c r="CB123" s="20">
        <f t="shared" si="64"/>
        <v>407.26184368889881</v>
      </c>
      <c r="CC123" s="59">
        <f t="shared" si="65"/>
        <v>697.45212869707234</v>
      </c>
      <c r="CD123" s="59">
        <f ca="1">AVERAGE(OFFSET($CC$3,0,0,'Données projet'!$E$12+1,1))-AVERAGE(OFFSET($H$3,0,0,'Données projet'!$E$12+1,1))</f>
        <v>242.65851607945316</v>
      </c>
      <c r="CE123" s="59">
        <f t="shared" si="94"/>
        <v>218.9349999985487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249.0000000000002</v>
      </c>
      <c r="CU123" s="17">
        <f>CT123*VLOOKUP('Données projet'!$B$13,Paramètres!$A$1:$I$89,3,0)*VLOOKUP('Données projet'!$B$13,Paramètres!$A$1:$I$89,5,0)</f>
        <v>217.52640000000019</v>
      </c>
      <c r="CV123" s="13">
        <f t="shared" si="95"/>
        <v>53.576907690651304</v>
      </c>
      <c r="CW123" s="20">
        <f t="shared" si="67"/>
        <v>472.17159422788467</v>
      </c>
      <c r="CX123" s="59">
        <f t="shared" si="68"/>
        <v>762.36187923605814</v>
      </c>
      <c r="CY123" s="59">
        <f ca="1">AVERAGE(OFFSET($CX$3,0,0,'Données projet'!$E$13+1,1))-AVERAGE(OFFSET($H$3,0,0,'Données projet'!$E$13+1,1))</f>
        <v>326.9460696675867</v>
      </c>
      <c r="CZ123" s="59">
        <f t="shared" si="96"/>
        <v>393.4020374592568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23.200350918429752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23.200350918429752</v>
      </c>
      <c r="DJ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349.00000000000017</v>
      </c>
      <c r="DP123" s="17">
        <f>DO123*VLOOKUP('Données projet'!$B$14,Paramètres!$A$1:$I$89,3,0)*VLOOKUP('Données projet'!$B$14,Paramètres!$A$1:$I$89,5,0)</f>
        <v>272.22000000000014</v>
      </c>
      <c r="DQ123" s="13">
        <f t="shared" si="97"/>
        <v>65.320184547527205</v>
      </c>
      <c r="DR123" s="20">
        <f t="shared" si="70"/>
        <v>587.88248808694345</v>
      </c>
      <c r="DS123" s="59">
        <f t="shared" si="71"/>
        <v>878.07277309511687</v>
      </c>
      <c r="DT123" s="59">
        <f ca="1">AVERAGE(OFFSET($DS$3,0,0,'Données projet'!$E$14+1,1))-AVERAGE(OFFSET($H$3,0,0,'Données projet'!$E$14+1,1))</f>
        <v>364.34528546733799</v>
      </c>
      <c r="DU123" s="59">
        <f t="shared" si="98"/>
        <v>346.5839763411152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32.198196961310487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32.198196961310487</v>
      </c>
      <c r="EE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213.98519999999999</v>
      </c>
      <c r="EL123" s="13">
        <f t="shared" si="99"/>
        <v>52.805497044008654</v>
      </c>
      <c r="EM123" s="20">
        <f t="shared" si="73"/>
        <v>464.66046401831505</v>
      </c>
      <c r="EN123" s="59">
        <f t="shared" si="74"/>
        <v>754.85074902648853</v>
      </c>
      <c r="EO123" s="59">
        <f ca="1">AVERAGE(OFFSET($EN$3,0,0,'Données projet'!$E$15+1,1))-AVERAGE(OFFSET($H$3,0,0,'Données projet'!$E$15+1,1))</f>
        <v>310.38232870602445</v>
      </c>
      <c r="EP123" s="59">
        <f t="shared" si="100"/>
        <v>303.45934457265537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20.300945430892643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20.300945430892643</v>
      </c>
      <c r="EZ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245.99999999999994</v>
      </c>
      <c r="FF123" s="17">
        <f>FE123*VLOOKUP('Données projet'!$B$16,Paramètres!$A$1:$I$89,3,0)*VLOOKUP('Données projet'!$B$16,Paramètres!$A$1:$I$89,5,0)</f>
        <v>234.09359999999998</v>
      </c>
      <c r="FG123" s="13">
        <f t="shared" si="101"/>
        <v>57.166902703920208</v>
      </c>
      <c r="FH123" s="20">
        <f t="shared" si="76"/>
        <v>507.27870887599425</v>
      </c>
      <c r="FI123" s="59">
        <f t="shared" si="77"/>
        <v>797.46899388416773</v>
      </c>
      <c r="FJ123" s="59">
        <f ca="1">AVERAGE(OFFSET($FI$3,0,0,'Données projet'!$E$16+1,1))-AVERAGE(OFFSET($H$3,0,0,'Données projet'!$E$16+1,1))</f>
        <v>457.706832425622</v>
      </c>
      <c r="FK123" s="59">
        <f t="shared" si="102"/>
        <v>474.61768219844873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70.626891437153134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70.626891437153134</v>
      </c>
      <c r="FU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319</v>
      </c>
      <c r="GA123" s="17">
        <f>FZ123*VLOOKUP('Données projet'!$B$17,Paramètres!$A$1:$I$89,3,0)*VLOOKUP('Données projet'!$B$17,Paramètres!$A$1:$I$89,5,0)</f>
        <v>308.53680000000003</v>
      </c>
      <c r="GB123" s="13">
        <f t="shared" si="103"/>
        <v>72.963171684496103</v>
      </c>
      <c r="GC123" s="20">
        <f t="shared" si="79"/>
        <v>664.4457840171641</v>
      </c>
      <c r="GD123" s="59">
        <f t="shared" si="80"/>
        <v>954.63606902533752</v>
      </c>
      <c r="GE123" s="59">
        <f ca="1">AVERAGE(OFFSET($GD$3,0,0,'Données projet'!$E$17+1,1))-AVERAGE(OFFSET($H$3,0,0,'Données projet'!$E$17+1,1))</f>
        <v>428.11167311086814</v>
      </c>
      <c r="GF123" s="59">
        <f t="shared" si="104"/>
        <v>415.69449942923609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23.748275787081976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23.748275787081976</v>
      </c>
      <c r="GP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1.1368683772161603E-13</v>
      </c>
      <c r="GV123" s="17">
        <f>GU123*VLOOKUP('Données projet'!$B$18,Paramètres!$A$1:$I$89,3,0)*VLOOKUP('Données projet'!$B$18,Paramètres!$A$1:$I$89,5,0)</f>
        <v>6.5087988332379613E-14</v>
      </c>
      <c r="GW123" s="13">
        <f t="shared" si="105"/>
        <v>1.0279249680474958E-12</v>
      </c>
      <c r="GX123" s="20">
        <f t="shared" si="82"/>
        <v>1.9036642323616162E-12</v>
      </c>
      <c r="GY123" s="59">
        <f t="shared" si="83"/>
        <v>290.19028500817535</v>
      </c>
      <c r="GZ123" s="59">
        <f ca="1">AVERAGE(OFFSET($GY$3,0,0,'Données projet'!$E$18+1,1))-AVERAGE(OFFSET($H$3,0,0,'Données projet'!$E$18+1,1))</f>
        <v>249.88816678272056</v>
      </c>
      <c r="HA123" s="59">
        <f t="shared" si="106"/>
        <v>432.10802787437319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13.972477598459642</v>
      </c>
      <c r="HH123" s="21">
        <f>EXP(-LN(2)/25)*HH122+(1-EXP(-LN(2)/25))/(LN(2)/25)*Calculateur!HC123*Calculateur!HE123*VLOOKUP('Données projet'!$B$18,Paramètres!$A$1:$I$89,3,0)*0.475*44/12</f>
        <v>1.7742537176360733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15.746731316095715</v>
      </c>
    </row>
    <row r="124" spans="1:218" x14ac:dyDescent="0.3">
      <c r="A124" s="10">
        <f t="shared" si="85"/>
        <v>121</v>
      </c>
      <c r="B124" s="71">
        <f>'Scénario référence'!$B$16*5+'Scénario référence'!$B$17*0+'Scénario référence'!$B$18*5</f>
        <v>1.4000000000000001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5.1333333333333337</v>
      </c>
      <c r="H124" s="65">
        <f t="shared" si="56"/>
        <v>236.13333333333335</v>
      </c>
      <c r="I124" s="6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319</v>
      </c>
      <c r="O124" s="13">
        <f>N124*VLOOKUP('Données projet'!$B$9,Paramètres!$A$1:$I$89,3,0)*VLOOKUP('Données projet'!$B$9,Paramètres!$A$1:$I$89,5,0)</f>
        <v>253.79640000000001</v>
      </c>
      <c r="P124" s="13">
        <f t="shared" si="87"/>
        <v>61.39816832228076</v>
      </c>
      <c r="Q124" s="20">
        <f t="shared" si="107"/>
        <v>548.96387316130563</v>
      </c>
      <c r="R124" s="59">
        <f t="shared" si="55"/>
        <v>839.20868303111729</v>
      </c>
      <c r="S124" s="59">
        <f ca="1">AVERAGE(OFFSET($R$3,0,0,'Données projet'!$E$9+1,1))-AVERAGE(OFFSET($H$3,0,0,'Données projet'!$E$9+1,1))</f>
        <v>360.06385535620069</v>
      </c>
      <c r="T124" s="59">
        <f t="shared" si="88"/>
        <v>350.82516032456408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23.605713254434693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23.605713254434693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277.77359999999993</v>
      </c>
      <c r="AK124" s="13">
        <f t="shared" si="89"/>
        <v>66.496288176842356</v>
      </c>
      <c r="AL124" s="20">
        <f t="shared" si="58"/>
        <v>599.60338857466706</v>
      </c>
      <c r="AM124" s="59">
        <f t="shared" si="59"/>
        <v>889.84819844447861</v>
      </c>
      <c r="AN124" s="59">
        <f ca="1">AVERAGE(OFFSET($AM$3,0,0,'Données projet'!$E$10+1,1))-AVERAGE(OFFSET($H$3,0,0,'Données projet'!$E$10+1,1))</f>
        <v>448.65237942538027</v>
      </c>
      <c r="AO124" s="59">
        <f t="shared" si="90"/>
        <v>283.56749129825107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88.882704029411826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88.882704029411826</v>
      </c>
      <c r="AY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403.99999999999989</v>
      </c>
      <c r="BE124" s="13">
        <f>BD124*VLOOKUP('Données projet'!$B$11,Paramètres!$A$1:$I$89,3,0)*VLOOKUP('Données projet'!$B$11,Paramètres!$A$1:$I$89,5,0)</f>
        <v>346.63199999999995</v>
      </c>
      <c r="BF124" s="13">
        <f t="shared" si="91"/>
        <v>80.868615263336864</v>
      </c>
      <c r="BG124" s="20">
        <f t="shared" si="61"/>
        <v>744.56357158364483</v>
      </c>
      <c r="BH124" s="59">
        <f t="shared" si="62"/>
        <v>1034.8083814534564</v>
      </c>
      <c r="BI124" s="59">
        <f ca="1">AVERAGE(OFFSET($BH$3,0,0,'Données projet'!$E$11+1,1))-AVERAGE(OFFSET($H$3,0,0,'Données projet'!$E$11+1,1))</f>
        <v>456.76871853389395</v>
      </c>
      <c r="BJ124" s="59">
        <f t="shared" si="92"/>
        <v>262.12425810289176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97.995643928907768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97.995643928907768</v>
      </c>
      <c r="BT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255.00000000000006</v>
      </c>
      <c r="BZ124" s="13">
        <f>BY124*VLOOKUP('Données projet'!$B$12,Paramètres!$A$1:$I$89,3,0)*VLOOKUP('Données projet'!$B$12,Paramètres!$A$1:$I$89,5,0)</f>
        <v>186.96600000000004</v>
      </c>
      <c r="CA124" s="13">
        <f t="shared" si="93"/>
        <v>46.868551400324648</v>
      </c>
      <c r="CB124" s="20">
        <f t="shared" si="64"/>
        <v>407.26184368889881</v>
      </c>
      <c r="CC124" s="59">
        <f t="shared" si="65"/>
        <v>697.50665355871047</v>
      </c>
      <c r="CD124" s="59">
        <f ca="1">AVERAGE(OFFSET($CC$3,0,0,'Données projet'!$E$12+1,1))-AVERAGE(OFFSET($H$3,0,0,'Données projet'!$E$12+1,1))</f>
        <v>242.65851607945316</v>
      </c>
      <c r="CE124" s="59">
        <f t="shared" si="94"/>
        <v>218.9349999985487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249.0000000000002</v>
      </c>
      <c r="CU124" s="17">
        <f>CT124*VLOOKUP('Données projet'!$B$13,Paramètres!$A$1:$I$89,3,0)*VLOOKUP('Données projet'!$B$13,Paramètres!$A$1:$I$89,5,0)</f>
        <v>217.52640000000019</v>
      </c>
      <c r="CV124" s="13">
        <f t="shared" si="95"/>
        <v>53.576907690651304</v>
      </c>
      <c r="CW124" s="20">
        <f t="shared" si="67"/>
        <v>472.17159422788467</v>
      </c>
      <c r="CX124" s="59">
        <f t="shared" si="68"/>
        <v>762.41640409769627</v>
      </c>
      <c r="CY124" s="59">
        <f ca="1">AVERAGE(OFFSET($CX$3,0,0,'Données projet'!$E$13+1,1))-AVERAGE(OFFSET($H$3,0,0,'Données projet'!$E$13+1,1))</f>
        <v>326.9460696675867</v>
      </c>
      <c r="CZ124" s="59">
        <f t="shared" si="96"/>
        <v>393.4020374592568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22.745406187736126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22.745406187736126</v>
      </c>
      <c r="DJ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349.00000000000017</v>
      </c>
      <c r="DP124" s="17">
        <f>DO124*VLOOKUP('Données projet'!$B$14,Paramètres!$A$1:$I$89,3,0)*VLOOKUP('Données projet'!$B$14,Paramètres!$A$1:$I$89,5,0)</f>
        <v>272.22000000000014</v>
      </c>
      <c r="DQ124" s="13">
        <f t="shared" si="97"/>
        <v>65.320184547527205</v>
      </c>
      <c r="DR124" s="20">
        <f t="shared" si="70"/>
        <v>587.88248808694345</v>
      </c>
      <c r="DS124" s="59">
        <f t="shared" si="71"/>
        <v>878.127297956755</v>
      </c>
      <c r="DT124" s="59">
        <f ca="1">AVERAGE(OFFSET($DS$3,0,0,'Données projet'!$E$14+1,1))-AVERAGE(OFFSET($H$3,0,0,'Données projet'!$E$14+1,1))</f>
        <v>364.34528546733799</v>
      </c>
      <c r="DU124" s="59">
        <f t="shared" si="98"/>
        <v>346.5839763411152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31.566809957860148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31.566809957860148</v>
      </c>
      <c r="EE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213.98519999999999</v>
      </c>
      <c r="EL124" s="13">
        <f t="shared" si="99"/>
        <v>52.805497044008654</v>
      </c>
      <c r="EM124" s="20">
        <f t="shared" si="73"/>
        <v>464.66046401831505</v>
      </c>
      <c r="EN124" s="59">
        <f t="shared" si="74"/>
        <v>754.90527388812666</v>
      </c>
      <c r="EO124" s="59">
        <f ca="1">AVERAGE(OFFSET($EN$3,0,0,'Données projet'!$E$15+1,1))-AVERAGE(OFFSET($H$3,0,0,'Données projet'!$E$15+1,1))</f>
        <v>310.38232870602445</v>
      </c>
      <c r="EP124" s="59">
        <f t="shared" si="100"/>
        <v>303.45934457265537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19.902856273346895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19.902856273346895</v>
      </c>
      <c r="EZ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245.99999999999994</v>
      </c>
      <c r="FF124" s="17">
        <f>FE124*VLOOKUP('Données projet'!$B$16,Paramètres!$A$1:$I$89,3,0)*VLOOKUP('Données projet'!$B$16,Paramètres!$A$1:$I$89,5,0)</f>
        <v>234.09359999999998</v>
      </c>
      <c r="FG124" s="13">
        <f t="shared" si="101"/>
        <v>57.166902703920208</v>
      </c>
      <c r="FH124" s="20">
        <f t="shared" si="76"/>
        <v>507.27870887599425</v>
      </c>
      <c r="FI124" s="59">
        <f t="shared" si="77"/>
        <v>797.52351874580586</v>
      </c>
      <c r="FJ124" s="59">
        <f ca="1">AVERAGE(OFFSET($FI$3,0,0,'Données projet'!$E$16+1,1))-AVERAGE(OFFSET($H$3,0,0,'Données projet'!$E$16+1,1))</f>
        <v>457.706832425622</v>
      </c>
      <c r="FK124" s="59">
        <f t="shared" si="102"/>
        <v>474.61768219844873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69.241941174220727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69.241941174220727</v>
      </c>
      <c r="FU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319</v>
      </c>
      <c r="GA124" s="17">
        <f>FZ124*VLOOKUP('Données projet'!$B$17,Paramètres!$A$1:$I$89,3,0)*VLOOKUP('Données projet'!$B$17,Paramètres!$A$1:$I$89,5,0)</f>
        <v>308.53680000000003</v>
      </c>
      <c r="GB124" s="13">
        <f t="shared" si="103"/>
        <v>72.963171684496103</v>
      </c>
      <c r="GC124" s="20">
        <f t="shared" si="79"/>
        <v>664.4457840171641</v>
      </c>
      <c r="GD124" s="59">
        <f t="shared" si="80"/>
        <v>954.69059388697565</v>
      </c>
      <c r="GE124" s="59">
        <f ca="1">AVERAGE(OFFSET($GD$3,0,0,'Données projet'!$E$17+1,1))-AVERAGE(OFFSET($H$3,0,0,'Données projet'!$E$17+1,1))</f>
        <v>428.11167311086814</v>
      </c>
      <c r="GF124" s="59">
        <f t="shared" si="104"/>
        <v>415.69449942923609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23.282586583915251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23.282586583915251</v>
      </c>
      <c r="GP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1.1368683772161603E-13</v>
      </c>
      <c r="GV124" s="17">
        <f>GU124*VLOOKUP('Données projet'!$B$18,Paramètres!$A$1:$I$89,3,0)*VLOOKUP('Données projet'!$B$18,Paramètres!$A$1:$I$89,5,0)</f>
        <v>6.5087988332379613E-14</v>
      </c>
      <c r="GW124" s="13">
        <f t="shared" si="105"/>
        <v>1.0279249680474958E-12</v>
      </c>
      <c r="GX124" s="20">
        <f t="shared" si="82"/>
        <v>1.9036642323616162E-12</v>
      </c>
      <c r="GY124" s="59">
        <f t="shared" si="83"/>
        <v>290.24480986981348</v>
      </c>
      <c r="GZ124" s="59">
        <f ca="1">AVERAGE(OFFSET($GY$3,0,0,'Données projet'!$E$18+1,1))-AVERAGE(OFFSET($H$3,0,0,'Données projet'!$E$18+1,1))</f>
        <v>249.88816678272056</v>
      </c>
      <c r="HA124" s="59">
        <f t="shared" si="106"/>
        <v>432.10802787437319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13.69848583512367</v>
      </c>
      <c r="HH124" s="21">
        <f>EXP(-LN(2)/25)*HH123+(1-EXP(-LN(2)/25))/(LN(2)/25)*Calculateur!HC124*Calculateur!HE124*VLOOKUP('Données projet'!$B$18,Paramètres!$A$1:$I$89,3,0)*0.475*44/12</f>
        <v>1.7257366564233669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15.424222491547036</v>
      </c>
    </row>
    <row r="125" spans="1:218" x14ac:dyDescent="0.3">
      <c r="A125" s="10">
        <f t="shared" si="85"/>
        <v>122</v>
      </c>
      <c r="B125" s="71">
        <f>'Scénario référence'!$B$16*5+'Scénario référence'!$B$17*0+'Scénario référence'!$B$18*5</f>
        <v>1.4000000000000001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5.1333333333333337</v>
      </c>
      <c r="H125" s="65">
        <f t="shared" si="56"/>
        <v>236.13333333333335</v>
      </c>
      <c r="I125" s="6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319</v>
      </c>
      <c r="O125" s="13">
        <f>N125*VLOOKUP('Données projet'!$B$9,Paramètres!$A$1:$I$89,3,0)*VLOOKUP('Données projet'!$B$9,Paramètres!$A$1:$I$89,5,0)</f>
        <v>253.79640000000001</v>
      </c>
      <c r="P125" s="13">
        <f t="shared" si="87"/>
        <v>61.39816832228076</v>
      </c>
      <c r="Q125" s="20">
        <f t="shared" si="107"/>
        <v>548.96387316130563</v>
      </c>
      <c r="R125" s="59">
        <f t="shared" si="55"/>
        <v>839.26226200830524</v>
      </c>
      <c r="S125" s="59">
        <f ca="1">AVERAGE(OFFSET($R$3,0,0,'Données projet'!$E$9+1,1))-AVERAGE(OFFSET($H$3,0,0,'Données projet'!$E$9+1,1))</f>
        <v>360.06385535620069</v>
      </c>
      <c r="T125" s="59">
        <f t="shared" si="88"/>
        <v>350.82516032456408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23.142819615578624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23.142819615578624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277.77359999999993</v>
      </c>
      <c r="AK125" s="13">
        <f t="shared" si="89"/>
        <v>66.496288176842356</v>
      </c>
      <c r="AL125" s="20">
        <f t="shared" si="58"/>
        <v>599.60338857466706</v>
      </c>
      <c r="AM125" s="59">
        <f t="shared" si="59"/>
        <v>889.90177742166679</v>
      </c>
      <c r="AN125" s="59">
        <f ca="1">AVERAGE(OFFSET($AM$3,0,0,'Données projet'!$E$10+1,1))-AVERAGE(OFFSET($H$3,0,0,'Données projet'!$E$10+1,1))</f>
        <v>448.65237942538027</v>
      </c>
      <c r="AO125" s="59">
        <f t="shared" si="90"/>
        <v>283.56749129825107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87.139768416491421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87.139768416491421</v>
      </c>
      <c r="AY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403.99999999999989</v>
      </c>
      <c r="BE125" s="13">
        <f>BD125*VLOOKUP('Données projet'!$B$11,Paramètres!$A$1:$I$89,3,0)*VLOOKUP('Données projet'!$B$11,Paramètres!$A$1:$I$89,5,0)</f>
        <v>346.63199999999995</v>
      </c>
      <c r="BF125" s="13">
        <f t="shared" si="91"/>
        <v>80.868615263336864</v>
      </c>
      <c r="BG125" s="20">
        <f t="shared" si="61"/>
        <v>744.56357158364483</v>
      </c>
      <c r="BH125" s="59">
        <f t="shared" si="62"/>
        <v>1034.8619604306446</v>
      </c>
      <c r="BI125" s="59">
        <f ca="1">AVERAGE(OFFSET($BH$3,0,0,'Données projet'!$E$11+1,1))-AVERAGE(OFFSET($H$3,0,0,'Données projet'!$E$11+1,1))</f>
        <v>456.76871853389395</v>
      </c>
      <c r="BJ125" s="59">
        <f t="shared" si="92"/>
        <v>262.12425810289176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96.074009122902737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96.074009122902737</v>
      </c>
      <c r="BT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255.00000000000006</v>
      </c>
      <c r="BZ125" s="13">
        <f>BY125*VLOOKUP('Données projet'!$B$12,Paramètres!$A$1:$I$89,3,0)*VLOOKUP('Données projet'!$B$12,Paramètres!$A$1:$I$89,5,0)</f>
        <v>186.96600000000004</v>
      </c>
      <c r="CA125" s="13">
        <f t="shared" si="93"/>
        <v>46.868551400324648</v>
      </c>
      <c r="CB125" s="20">
        <f t="shared" si="64"/>
        <v>407.26184368889881</v>
      </c>
      <c r="CC125" s="59">
        <f t="shared" si="65"/>
        <v>697.56023253589842</v>
      </c>
      <c r="CD125" s="59">
        <f ca="1">AVERAGE(OFFSET($CC$3,0,0,'Données projet'!$E$12+1,1))-AVERAGE(OFFSET($H$3,0,0,'Données projet'!$E$12+1,1))</f>
        <v>242.65851607945316</v>
      </c>
      <c r="CE125" s="59">
        <f t="shared" si="94"/>
        <v>218.9349999985487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249.0000000000002</v>
      </c>
      <c r="CU125" s="17">
        <f>CT125*VLOOKUP('Données projet'!$B$13,Paramètres!$A$1:$I$89,3,0)*VLOOKUP('Données projet'!$B$13,Paramètres!$A$1:$I$89,5,0)</f>
        <v>217.52640000000019</v>
      </c>
      <c r="CV125" s="13">
        <f t="shared" si="95"/>
        <v>53.576907690651304</v>
      </c>
      <c r="CW125" s="20">
        <f t="shared" si="67"/>
        <v>472.17159422788467</v>
      </c>
      <c r="CX125" s="59">
        <f t="shared" si="68"/>
        <v>762.46998307488434</v>
      </c>
      <c r="CY125" s="59">
        <f ca="1">AVERAGE(OFFSET($CX$3,0,0,'Données projet'!$E$13+1,1))-AVERAGE(OFFSET($H$3,0,0,'Données projet'!$E$13+1,1))</f>
        <v>326.9460696675867</v>
      </c>
      <c r="CZ125" s="59">
        <f t="shared" si="96"/>
        <v>393.4020374592568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22.299382645722517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22.299382645722517</v>
      </c>
      <c r="DJ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349.00000000000017</v>
      </c>
      <c r="DP125" s="17">
        <f>DO125*VLOOKUP('Données projet'!$B$14,Paramètres!$A$1:$I$89,3,0)*VLOOKUP('Données projet'!$B$14,Paramètres!$A$1:$I$89,5,0)</f>
        <v>272.22000000000014</v>
      </c>
      <c r="DQ125" s="13">
        <f t="shared" si="97"/>
        <v>65.320184547527205</v>
      </c>
      <c r="DR125" s="20">
        <f t="shared" si="70"/>
        <v>587.88248808694345</v>
      </c>
      <c r="DS125" s="59">
        <f t="shared" si="71"/>
        <v>878.18087693394318</v>
      </c>
      <c r="DT125" s="59">
        <f ca="1">AVERAGE(OFFSET($DS$3,0,0,'Données projet'!$E$14+1,1))-AVERAGE(OFFSET($H$3,0,0,'Données projet'!$E$14+1,1))</f>
        <v>364.34528546733799</v>
      </c>
      <c r="DU125" s="59">
        <f t="shared" si="98"/>
        <v>346.5839763411152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30.947804068439424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30.947804068439424</v>
      </c>
      <c r="EE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213.98519999999999</v>
      </c>
      <c r="EL125" s="13">
        <f t="shared" si="99"/>
        <v>52.805497044008654</v>
      </c>
      <c r="EM125" s="20">
        <f t="shared" si="73"/>
        <v>464.66046401831505</v>
      </c>
      <c r="EN125" s="59">
        <f t="shared" si="74"/>
        <v>754.95885286531473</v>
      </c>
      <c r="EO125" s="59">
        <f ca="1">AVERAGE(OFFSET($EN$3,0,0,'Données projet'!$E$15+1,1))-AVERAGE(OFFSET($H$3,0,0,'Données projet'!$E$15+1,1))</f>
        <v>310.38232870602445</v>
      </c>
      <c r="EP125" s="59">
        <f t="shared" si="100"/>
        <v>303.45934457265537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19.512573401370208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19.512573401370208</v>
      </c>
      <c r="EZ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245.99999999999994</v>
      </c>
      <c r="FF125" s="17">
        <f>FE125*VLOOKUP('Données projet'!$B$16,Paramètres!$A$1:$I$89,3,0)*VLOOKUP('Données projet'!$B$16,Paramètres!$A$1:$I$89,5,0)</f>
        <v>234.09359999999998</v>
      </c>
      <c r="FG125" s="13">
        <f t="shared" si="101"/>
        <v>57.166902703920208</v>
      </c>
      <c r="FH125" s="20">
        <f t="shared" si="76"/>
        <v>507.27870887599425</v>
      </c>
      <c r="FI125" s="59">
        <f t="shared" si="77"/>
        <v>797.57709772299393</v>
      </c>
      <c r="FJ125" s="59">
        <f ca="1">AVERAGE(OFFSET($FI$3,0,0,'Données projet'!$E$16+1,1))-AVERAGE(OFFSET($H$3,0,0,'Données projet'!$E$16+1,1))</f>
        <v>457.706832425622</v>
      </c>
      <c r="FK125" s="59">
        <f t="shared" si="102"/>
        <v>474.61768219844873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67.884148941208167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67.884148941208167</v>
      </c>
      <c r="FU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319</v>
      </c>
      <c r="GA125" s="17">
        <f>FZ125*VLOOKUP('Données projet'!$B$17,Paramètres!$A$1:$I$89,3,0)*VLOOKUP('Données projet'!$B$17,Paramètres!$A$1:$I$89,5,0)</f>
        <v>308.53680000000003</v>
      </c>
      <c r="GB125" s="13">
        <f t="shared" si="103"/>
        <v>72.963171684496103</v>
      </c>
      <c r="GC125" s="20">
        <f t="shared" si="79"/>
        <v>664.4457840171641</v>
      </c>
      <c r="GD125" s="59">
        <f t="shared" si="80"/>
        <v>954.74417286416383</v>
      </c>
      <c r="GE125" s="59">
        <f ca="1">AVERAGE(OFFSET($GD$3,0,0,'Données projet'!$E$17+1,1))-AVERAGE(OFFSET($H$3,0,0,'Données projet'!$E$17+1,1))</f>
        <v>428.11167311086814</v>
      </c>
      <c r="GF125" s="59">
        <f t="shared" si="104"/>
        <v>415.69449942923609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22.82602926198026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22.82602926198026</v>
      </c>
      <c r="GP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1.1368683772161603E-13</v>
      </c>
      <c r="GV125" s="17">
        <f>GU125*VLOOKUP('Données projet'!$B$18,Paramètres!$A$1:$I$89,3,0)*VLOOKUP('Données projet'!$B$18,Paramètres!$A$1:$I$89,5,0)</f>
        <v>6.5087988332379613E-14</v>
      </c>
      <c r="GW125" s="13">
        <f t="shared" si="105"/>
        <v>1.0279249680474958E-12</v>
      </c>
      <c r="GX125" s="20">
        <f t="shared" si="82"/>
        <v>1.9036642323616162E-12</v>
      </c>
      <c r="GY125" s="59">
        <f t="shared" si="83"/>
        <v>290.29838884700155</v>
      </c>
      <c r="GZ125" s="59">
        <f ca="1">AVERAGE(OFFSET($GY$3,0,0,'Données projet'!$E$18+1,1))-AVERAGE(OFFSET($H$3,0,0,'Données projet'!$E$18+1,1))</f>
        <v>249.88816678272056</v>
      </c>
      <c r="HA125" s="59">
        <f t="shared" si="106"/>
        <v>432.10802787437319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13.429866883148241</v>
      </c>
      <c r="HH125" s="21">
        <f>EXP(-LN(2)/25)*HH124+(1-EXP(-LN(2)/25))/(LN(2)/25)*Calculateur!HC125*Calculateur!HE125*VLOOKUP('Données projet'!$B$18,Paramètres!$A$1:$I$89,3,0)*0.475*44/12</f>
        <v>1.6785462968009235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15.108413179949165</v>
      </c>
    </row>
    <row r="126" spans="1:218" x14ac:dyDescent="0.3">
      <c r="A126" s="10">
        <f t="shared" si="85"/>
        <v>123</v>
      </c>
      <c r="B126" s="71">
        <f>'Scénario référence'!$B$16*5+'Scénario référence'!$B$17*0+'Scénario référence'!$B$18*5</f>
        <v>1.4000000000000001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5.1333333333333337</v>
      </c>
      <c r="H126" s="65">
        <f t="shared" si="56"/>
        <v>236.13333333333335</v>
      </c>
      <c r="I126" s="6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319</v>
      </c>
      <c r="O126" s="13">
        <f>N126*VLOOKUP('Données projet'!$B$9,Paramètres!$A$1:$I$89,3,0)*VLOOKUP('Données projet'!$B$9,Paramètres!$A$1:$I$89,5,0)</f>
        <v>253.79640000000001</v>
      </c>
      <c r="P126" s="13">
        <f t="shared" si="87"/>
        <v>61.39816832228076</v>
      </c>
      <c r="Q126" s="20">
        <f t="shared" si="107"/>
        <v>548.96387316130563</v>
      </c>
      <c r="R126" s="59">
        <f t="shared" si="55"/>
        <v>839.31491151002388</v>
      </c>
      <c r="S126" s="59">
        <f ca="1">AVERAGE(OFFSET($R$3,0,0,'Données projet'!$E$9+1,1))-AVERAGE(OFFSET($H$3,0,0,'Données projet'!$E$9+1,1))</f>
        <v>360.06385535620069</v>
      </c>
      <c r="T126" s="59">
        <f t="shared" si="88"/>
        <v>350.82516032456408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22.689003038643282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22.689003038643282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277.77359999999993</v>
      </c>
      <c r="AK126" s="13">
        <f t="shared" si="89"/>
        <v>66.496288176842356</v>
      </c>
      <c r="AL126" s="20">
        <f t="shared" si="58"/>
        <v>599.60338857466706</v>
      </c>
      <c r="AM126" s="59">
        <f t="shared" si="59"/>
        <v>889.9544269233852</v>
      </c>
      <c r="AN126" s="59">
        <f ca="1">AVERAGE(OFFSET($AM$3,0,0,'Données projet'!$E$10+1,1))-AVERAGE(OFFSET($H$3,0,0,'Données projet'!$E$10+1,1))</f>
        <v>448.65237942538027</v>
      </c>
      <c r="AO126" s="59">
        <f t="shared" si="90"/>
        <v>283.56749129825107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85.431010707854625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85.431010707854625</v>
      </c>
      <c r="AY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403.99999999999989</v>
      </c>
      <c r="BE126" s="13">
        <f>BD126*VLOOKUP('Données projet'!$B$11,Paramètres!$A$1:$I$89,3,0)*VLOOKUP('Données projet'!$B$11,Paramètres!$A$1:$I$89,5,0)</f>
        <v>346.63199999999995</v>
      </c>
      <c r="BF126" s="13">
        <f t="shared" si="91"/>
        <v>80.868615263336864</v>
      </c>
      <c r="BG126" s="20">
        <f t="shared" si="61"/>
        <v>744.56357158364483</v>
      </c>
      <c r="BH126" s="59">
        <f t="shared" si="62"/>
        <v>1034.914609932363</v>
      </c>
      <c r="BI126" s="59">
        <f ca="1">AVERAGE(OFFSET($BH$3,0,0,'Données projet'!$E$11+1,1))-AVERAGE(OFFSET($H$3,0,0,'Données projet'!$E$11+1,1))</f>
        <v>456.76871853389395</v>
      </c>
      <c r="BJ126" s="59">
        <f t="shared" si="92"/>
        <v>262.12425810289176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94.190056403361979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94.190056403361979</v>
      </c>
      <c r="BT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255.00000000000006</v>
      </c>
      <c r="BZ126" s="13">
        <f>BY126*VLOOKUP('Données projet'!$B$12,Paramètres!$A$1:$I$89,3,0)*VLOOKUP('Données projet'!$B$12,Paramètres!$A$1:$I$89,5,0)</f>
        <v>186.96600000000004</v>
      </c>
      <c r="CA126" s="13">
        <f t="shared" si="93"/>
        <v>46.868551400324648</v>
      </c>
      <c r="CB126" s="20">
        <f t="shared" si="64"/>
        <v>407.26184368889881</v>
      </c>
      <c r="CC126" s="59">
        <f t="shared" si="65"/>
        <v>697.61288203761706</v>
      </c>
      <c r="CD126" s="59">
        <f ca="1">AVERAGE(OFFSET($CC$3,0,0,'Données projet'!$E$12+1,1))-AVERAGE(OFFSET($H$3,0,0,'Données projet'!$E$12+1,1))</f>
        <v>242.65851607945316</v>
      </c>
      <c r="CE126" s="59">
        <f t="shared" si="94"/>
        <v>218.9349999985487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249.0000000000002</v>
      </c>
      <c r="CU126" s="17">
        <f>CT126*VLOOKUP('Données projet'!$B$13,Paramètres!$A$1:$I$89,3,0)*VLOOKUP('Données projet'!$B$13,Paramètres!$A$1:$I$89,5,0)</f>
        <v>217.52640000000019</v>
      </c>
      <c r="CV126" s="13">
        <f t="shared" si="95"/>
        <v>53.576907690651304</v>
      </c>
      <c r="CW126" s="20">
        <f t="shared" si="67"/>
        <v>472.17159422788467</v>
      </c>
      <c r="CX126" s="59">
        <f t="shared" si="68"/>
        <v>762.52263257660286</v>
      </c>
      <c r="CY126" s="59">
        <f ca="1">AVERAGE(OFFSET($CX$3,0,0,'Données projet'!$E$13+1,1))-AVERAGE(OFFSET($H$3,0,0,'Données projet'!$E$13+1,1))</f>
        <v>326.9460696675867</v>
      </c>
      <c r="CZ126" s="59">
        <f t="shared" si="96"/>
        <v>393.4020374592568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21.862105353320299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21.862105353320299</v>
      </c>
      <c r="DJ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349.00000000000017</v>
      </c>
      <c r="DP126" s="17">
        <f>DO126*VLOOKUP('Données projet'!$B$14,Paramètres!$A$1:$I$89,3,0)*VLOOKUP('Données projet'!$B$14,Paramètres!$A$1:$I$89,5,0)</f>
        <v>272.22000000000014</v>
      </c>
      <c r="DQ126" s="13">
        <f t="shared" si="97"/>
        <v>65.320184547527205</v>
      </c>
      <c r="DR126" s="20">
        <f t="shared" si="70"/>
        <v>587.88248808694345</v>
      </c>
      <c r="DS126" s="59">
        <f t="shared" si="71"/>
        <v>878.23352643566159</v>
      </c>
      <c r="DT126" s="59">
        <f ca="1">AVERAGE(OFFSET($DS$3,0,0,'Données projet'!$E$14+1,1))-AVERAGE(OFFSET($H$3,0,0,'Données projet'!$E$14+1,1))</f>
        <v>364.34528546733799</v>
      </c>
      <c r="DU126" s="59">
        <f t="shared" si="98"/>
        <v>346.5839763411152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30.340936506953931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30.340936506953931</v>
      </c>
      <c r="EE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213.98519999999999</v>
      </c>
      <c r="EL126" s="13">
        <f t="shared" si="99"/>
        <v>52.805497044008654</v>
      </c>
      <c r="EM126" s="20">
        <f t="shared" si="73"/>
        <v>464.66046401831505</v>
      </c>
      <c r="EN126" s="59">
        <f t="shared" si="74"/>
        <v>755.01150236703324</v>
      </c>
      <c r="EO126" s="59">
        <f ca="1">AVERAGE(OFFSET($EN$3,0,0,'Données projet'!$E$15+1,1))-AVERAGE(OFFSET($H$3,0,0,'Données projet'!$E$15+1,1))</f>
        <v>310.38232870602445</v>
      </c>
      <c r="EP126" s="59">
        <f t="shared" si="100"/>
        <v>303.45934457265537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19.12994373846394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19.12994373846394</v>
      </c>
      <c r="EZ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245.99999999999994</v>
      </c>
      <c r="FF126" s="17">
        <f>FE126*VLOOKUP('Données projet'!$B$16,Paramètres!$A$1:$I$89,3,0)*VLOOKUP('Données projet'!$B$16,Paramètres!$A$1:$I$89,5,0)</f>
        <v>234.09359999999998</v>
      </c>
      <c r="FG126" s="13">
        <f t="shared" si="101"/>
        <v>57.166902703920208</v>
      </c>
      <c r="FH126" s="20">
        <f t="shared" si="76"/>
        <v>507.27870887599425</v>
      </c>
      <c r="FI126" s="59">
        <f t="shared" si="77"/>
        <v>797.62974722471245</v>
      </c>
      <c r="FJ126" s="59">
        <f ca="1">AVERAGE(OFFSET($FI$3,0,0,'Données projet'!$E$16+1,1))-AVERAGE(OFFSET($H$3,0,0,'Données projet'!$E$16+1,1))</f>
        <v>457.706832425622</v>
      </c>
      <c r="FK126" s="59">
        <f t="shared" si="102"/>
        <v>474.61768219844873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66.552982185713503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66.552982185713503</v>
      </c>
      <c r="FU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319</v>
      </c>
      <c r="GA126" s="17">
        <f>FZ126*VLOOKUP('Données projet'!$B$17,Paramètres!$A$1:$I$89,3,0)*VLOOKUP('Données projet'!$B$17,Paramètres!$A$1:$I$89,5,0)</f>
        <v>308.53680000000003</v>
      </c>
      <c r="GB126" s="13">
        <f t="shared" si="103"/>
        <v>72.963171684496103</v>
      </c>
      <c r="GC126" s="20">
        <f t="shared" si="79"/>
        <v>664.4457840171641</v>
      </c>
      <c r="GD126" s="59">
        <f t="shared" si="80"/>
        <v>954.79682236588224</v>
      </c>
      <c r="GE126" s="59">
        <f ca="1">AVERAGE(OFFSET($GD$3,0,0,'Données projet'!$E$17+1,1))-AVERAGE(OFFSET($H$3,0,0,'Données projet'!$E$17+1,1))</f>
        <v>428.11167311086814</v>
      </c>
      <c r="GF126" s="59">
        <f t="shared" si="104"/>
        <v>415.69449942923609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22.378424750655945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22.378424750655945</v>
      </c>
      <c r="GP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1.1368683772161603E-13</v>
      </c>
      <c r="GV126" s="17">
        <f>GU126*VLOOKUP('Données projet'!$B$18,Paramètres!$A$1:$I$89,3,0)*VLOOKUP('Données projet'!$B$18,Paramètres!$A$1:$I$89,5,0)</f>
        <v>6.5087988332379613E-14</v>
      </c>
      <c r="GW126" s="13">
        <f t="shared" si="105"/>
        <v>1.0279249680474958E-12</v>
      </c>
      <c r="GX126" s="20">
        <f t="shared" si="82"/>
        <v>1.9036642323616162E-12</v>
      </c>
      <c r="GY126" s="59">
        <f t="shared" si="83"/>
        <v>290.35103834872007</v>
      </c>
      <c r="GZ126" s="59">
        <f ca="1">AVERAGE(OFFSET($GY$3,0,0,'Données projet'!$E$18+1,1))-AVERAGE(OFFSET($H$3,0,0,'Données projet'!$E$18+1,1))</f>
        <v>249.88816678272056</v>
      </c>
      <c r="HA126" s="59">
        <f t="shared" si="106"/>
        <v>432.10802787437319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13.166515384979668</v>
      </c>
      <c r="HH126" s="21">
        <f>EXP(-LN(2)/25)*HH125+(1-EXP(-LN(2)/25))/(LN(2)/25)*Calculateur!HC126*Calculateur!HE126*VLOOKUP('Données projet'!$B$18,Paramètres!$A$1:$I$89,3,0)*0.475*44/12</f>
        <v>1.6326463600439889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14.799161745023657</v>
      </c>
    </row>
    <row r="127" spans="1:218" x14ac:dyDescent="0.3">
      <c r="A127" s="10">
        <f t="shared" si="85"/>
        <v>124</v>
      </c>
      <c r="B127" s="71">
        <f>'Scénario référence'!$B$16*5+'Scénario référence'!$B$17*0+'Scénario référence'!$B$18*5</f>
        <v>1.4000000000000001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5.1333333333333337</v>
      </c>
      <c r="H127" s="65">
        <f t="shared" si="56"/>
        <v>236.13333333333335</v>
      </c>
      <c r="I127" s="6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319</v>
      </c>
      <c r="O127" s="13">
        <f>N127*VLOOKUP('Données projet'!$B$9,Paramètres!$A$1:$I$89,3,0)*VLOOKUP('Données projet'!$B$9,Paramètres!$A$1:$I$89,5,0)</f>
        <v>253.79640000000001</v>
      </c>
      <c r="P127" s="13">
        <f t="shared" si="87"/>
        <v>61.39816832228076</v>
      </c>
      <c r="Q127" s="20">
        <f t="shared" si="107"/>
        <v>548.96387316130563</v>
      </c>
      <c r="R127" s="59">
        <f t="shared" si="55"/>
        <v>839.36664766059414</v>
      </c>
      <c r="S127" s="59">
        <f ca="1">AVERAGE(OFFSET($R$3,0,0,'Données projet'!$E$9+1,1))-AVERAGE(OFFSET($H$3,0,0,'Données projet'!$E$9+1,1))</f>
        <v>360.06385535620069</v>
      </c>
      <c r="T127" s="59">
        <f t="shared" si="88"/>
        <v>350.82516032456408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22.244085527980861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22.244085527980861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277.77359999999993</v>
      </c>
      <c r="AK127" s="13">
        <f t="shared" si="89"/>
        <v>66.496288176842356</v>
      </c>
      <c r="AL127" s="20">
        <f t="shared" si="58"/>
        <v>599.60338857466706</v>
      </c>
      <c r="AM127" s="59">
        <f t="shared" si="59"/>
        <v>890.00616307395558</v>
      </c>
      <c r="AN127" s="59">
        <f ca="1">AVERAGE(OFFSET($AM$3,0,0,'Données projet'!$E$10+1,1))-AVERAGE(OFFSET($H$3,0,0,'Données projet'!$E$10+1,1))</f>
        <v>448.65237942538027</v>
      </c>
      <c r="AO127" s="59">
        <f t="shared" si="90"/>
        <v>283.56749129825107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83.755760695644909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83.755760695644909</v>
      </c>
      <c r="AY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403.99999999999989</v>
      </c>
      <c r="BE127" s="13">
        <f>BD127*VLOOKUP('Données projet'!$B$11,Paramètres!$A$1:$I$89,3,0)*VLOOKUP('Données projet'!$B$11,Paramètres!$A$1:$I$89,5,0)</f>
        <v>346.63199999999995</v>
      </c>
      <c r="BF127" s="13">
        <f t="shared" si="91"/>
        <v>80.868615263336864</v>
      </c>
      <c r="BG127" s="20">
        <f t="shared" si="61"/>
        <v>744.56357158364483</v>
      </c>
      <c r="BH127" s="59">
        <f t="shared" si="62"/>
        <v>1034.9663460829333</v>
      </c>
      <c r="BI127" s="59">
        <f ca="1">AVERAGE(OFFSET($BH$3,0,0,'Données projet'!$E$11+1,1))-AVERAGE(OFFSET($H$3,0,0,'Données projet'!$E$11+1,1))</f>
        <v>456.76871853389395</v>
      </c>
      <c r="BJ127" s="59">
        <f t="shared" si="92"/>
        <v>262.12425810289176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92.343046847553708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92.343046847553708</v>
      </c>
      <c r="BT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255.00000000000006</v>
      </c>
      <c r="BZ127" s="13">
        <f>BY127*VLOOKUP('Données projet'!$B$12,Paramètres!$A$1:$I$89,3,0)*VLOOKUP('Données projet'!$B$12,Paramètres!$A$1:$I$89,5,0)</f>
        <v>186.96600000000004</v>
      </c>
      <c r="CA127" s="13">
        <f t="shared" si="93"/>
        <v>46.868551400324648</v>
      </c>
      <c r="CB127" s="20">
        <f t="shared" si="64"/>
        <v>407.26184368889881</v>
      </c>
      <c r="CC127" s="59">
        <f t="shared" si="65"/>
        <v>697.66461818818732</v>
      </c>
      <c r="CD127" s="59">
        <f ca="1">AVERAGE(OFFSET($CC$3,0,0,'Données projet'!$E$12+1,1))-AVERAGE(OFFSET($H$3,0,0,'Données projet'!$E$12+1,1))</f>
        <v>242.65851607945316</v>
      </c>
      <c r="CE127" s="59">
        <f t="shared" si="94"/>
        <v>218.9349999985487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249.0000000000002</v>
      </c>
      <c r="CU127" s="17">
        <f>CT127*VLOOKUP('Données projet'!$B$13,Paramètres!$A$1:$I$89,3,0)*VLOOKUP('Données projet'!$B$13,Paramètres!$A$1:$I$89,5,0)</f>
        <v>217.52640000000019</v>
      </c>
      <c r="CV127" s="13">
        <f t="shared" si="95"/>
        <v>53.576907690651304</v>
      </c>
      <c r="CW127" s="20">
        <f t="shared" si="67"/>
        <v>472.17159422788467</v>
      </c>
      <c r="CX127" s="59">
        <f t="shared" si="68"/>
        <v>762.57436872717312</v>
      </c>
      <c r="CY127" s="59">
        <f ca="1">AVERAGE(OFFSET($CX$3,0,0,'Données projet'!$E$13+1,1))-AVERAGE(OFFSET($H$3,0,0,'Données projet'!$E$13+1,1))</f>
        <v>326.9460696675867</v>
      </c>
      <c r="CZ127" s="59">
        <f t="shared" si="96"/>
        <v>393.4020374592568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21.433402801909274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21.433402801909274</v>
      </c>
      <c r="DJ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349.00000000000017</v>
      </c>
      <c r="DP127" s="17">
        <f>DO127*VLOOKUP('Données projet'!$B$14,Paramètres!$A$1:$I$89,3,0)*VLOOKUP('Données projet'!$B$14,Paramètres!$A$1:$I$89,5,0)</f>
        <v>272.22000000000014</v>
      </c>
      <c r="DQ127" s="13">
        <f t="shared" si="97"/>
        <v>65.320184547527205</v>
      </c>
      <c r="DR127" s="20">
        <f t="shared" si="70"/>
        <v>587.88248808694345</v>
      </c>
      <c r="DS127" s="59">
        <f t="shared" si="71"/>
        <v>878.28526258623197</v>
      </c>
      <c r="DT127" s="59">
        <f ca="1">AVERAGE(OFFSET($DS$3,0,0,'Données projet'!$E$14+1,1))-AVERAGE(OFFSET($H$3,0,0,'Données projet'!$E$14+1,1))</f>
        <v>364.34528546733799</v>
      </c>
      <c r="DU127" s="59">
        <f t="shared" si="98"/>
        <v>346.5839763411152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29.745969248196502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29.745969248196502</v>
      </c>
      <c r="EE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213.98519999999999</v>
      </c>
      <c r="EL127" s="13">
        <f t="shared" si="99"/>
        <v>52.805497044008654</v>
      </c>
      <c r="EM127" s="20">
        <f t="shared" si="73"/>
        <v>464.66046401831505</v>
      </c>
      <c r="EN127" s="59">
        <f t="shared" si="74"/>
        <v>755.06323851760362</v>
      </c>
      <c r="EO127" s="59">
        <f ca="1">AVERAGE(OFFSET($EN$3,0,0,'Données projet'!$E$15+1,1))-AVERAGE(OFFSET($H$3,0,0,'Données projet'!$E$15+1,1))</f>
        <v>310.38232870602445</v>
      </c>
      <c r="EP127" s="59">
        <f t="shared" si="100"/>
        <v>303.45934457265537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18.754817209866211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18.754817209866211</v>
      </c>
      <c r="EZ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245.99999999999994</v>
      </c>
      <c r="FF127" s="17">
        <f>FE127*VLOOKUP('Données projet'!$B$16,Paramètres!$A$1:$I$89,3,0)*VLOOKUP('Données projet'!$B$16,Paramètres!$A$1:$I$89,5,0)</f>
        <v>234.09359999999998</v>
      </c>
      <c r="FG127" s="13">
        <f t="shared" si="101"/>
        <v>57.166902703920208</v>
      </c>
      <c r="FH127" s="20">
        <f t="shared" si="76"/>
        <v>507.27870887599425</v>
      </c>
      <c r="FI127" s="59">
        <f t="shared" si="77"/>
        <v>797.68148337528282</v>
      </c>
      <c r="FJ127" s="59">
        <f ca="1">AVERAGE(OFFSET($FI$3,0,0,'Données projet'!$E$16+1,1))-AVERAGE(OFFSET($H$3,0,0,'Données projet'!$E$16+1,1))</f>
        <v>457.706832425622</v>
      </c>
      <c r="FK127" s="59">
        <f t="shared" si="102"/>
        <v>474.61768219844873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65.247918798362534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65.247918798362534</v>
      </c>
      <c r="FU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319</v>
      </c>
      <c r="GA127" s="17">
        <f>FZ127*VLOOKUP('Données projet'!$B$17,Paramètres!$A$1:$I$89,3,0)*VLOOKUP('Données projet'!$B$17,Paramètres!$A$1:$I$89,5,0)</f>
        <v>308.53680000000003</v>
      </c>
      <c r="GB127" s="13">
        <f t="shared" si="103"/>
        <v>72.963171684496103</v>
      </c>
      <c r="GC127" s="20">
        <f t="shared" si="79"/>
        <v>664.4457840171641</v>
      </c>
      <c r="GD127" s="59">
        <f t="shared" si="80"/>
        <v>954.84855851645261</v>
      </c>
      <c r="GE127" s="59">
        <f ca="1">AVERAGE(OFFSET($GD$3,0,0,'Données projet'!$E$17+1,1))-AVERAGE(OFFSET($H$3,0,0,'Données projet'!$E$17+1,1))</f>
        <v>428.11167311086814</v>
      </c>
      <c r="GF127" s="59">
        <f t="shared" si="104"/>
        <v>415.69449942923609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21.939597490786905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21.939597490786905</v>
      </c>
      <c r="GP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1.1368683772161603E-13</v>
      </c>
      <c r="GV127" s="17">
        <f>GU127*VLOOKUP('Données projet'!$B$18,Paramètres!$A$1:$I$89,3,0)*VLOOKUP('Données projet'!$B$18,Paramètres!$A$1:$I$89,5,0)</f>
        <v>6.5087988332379613E-14</v>
      </c>
      <c r="GW127" s="13">
        <f t="shared" si="105"/>
        <v>1.0279249680474958E-12</v>
      </c>
      <c r="GX127" s="20">
        <f t="shared" si="82"/>
        <v>1.9036642323616162E-12</v>
      </c>
      <c r="GY127" s="59">
        <f t="shared" si="83"/>
        <v>290.40277449929039</v>
      </c>
      <c r="GZ127" s="59">
        <f ca="1">AVERAGE(OFFSET($GY$3,0,0,'Données projet'!$E$18+1,1))-AVERAGE(OFFSET($H$3,0,0,'Données projet'!$E$18+1,1))</f>
        <v>249.88816678272056</v>
      </c>
      <c r="HA127" s="59">
        <f t="shared" si="106"/>
        <v>432.10802787437319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12.908328049061629</v>
      </c>
      <c r="HH127" s="21">
        <f>EXP(-LN(2)/25)*HH126+(1-EXP(-LN(2)/25))/(LN(2)/25)*Calculateur!HC127*Calculateur!HE127*VLOOKUP('Données projet'!$B$18,Paramètres!$A$1:$I$89,3,0)*0.475*44/12</f>
        <v>1.5880015594714454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14.496329608533074</v>
      </c>
    </row>
    <row r="128" spans="1:218" x14ac:dyDescent="0.3">
      <c r="A128" s="10">
        <f t="shared" si="85"/>
        <v>125</v>
      </c>
      <c r="B128" s="71">
        <f>'Scénario référence'!$B$16*5+'Scénario référence'!$B$17*0+'Scénario référence'!$B$18*5</f>
        <v>1.4000000000000001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5.1333333333333337</v>
      </c>
      <c r="H128" s="65">
        <f t="shared" si="56"/>
        <v>236.13333333333335</v>
      </c>
      <c r="I128" s="6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319</v>
      </c>
      <c r="O128" s="13">
        <f>N128*VLOOKUP('Données projet'!$B$9,Paramètres!$A$1:$I$89,3,0)*VLOOKUP('Données projet'!$B$9,Paramètres!$A$1:$I$89,5,0)</f>
        <v>253.79640000000001</v>
      </c>
      <c r="P128" s="13">
        <f t="shared" si="87"/>
        <v>61.39816832228076</v>
      </c>
      <c r="Q128" s="20">
        <f t="shared" si="107"/>
        <v>548.96387316130563</v>
      </c>
      <c r="R128" s="59">
        <f t="shared" si="55"/>
        <v>839.41748630461689</v>
      </c>
      <c r="S128" s="59">
        <f ca="1">AVERAGE(OFFSET($R$3,0,0,'Données projet'!$E$9+1,1))-AVERAGE(OFFSET($H$3,0,0,'Données projet'!$E$9+1,1))</f>
        <v>360.06385535620069</v>
      </c>
      <c r="T128" s="59">
        <f t="shared" si="88"/>
        <v>350.82516032456408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21.807892578329643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21.807892578329643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277.77359999999993</v>
      </c>
      <c r="AK128" s="13">
        <f t="shared" si="89"/>
        <v>66.496288176842356</v>
      </c>
      <c r="AL128" s="20">
        <f t="shared" si="58"/>
        <v>599.60338857466706</v>
      </c>
      <c r="AM128" s="59">
        <f t="shared" si="59"/>
        <v>890.05700171797821</v>
      </c>
      <c r="AN128" s="59">
        <f ca="1">AVERAGE(OFFSET($AM$3,0,0,'Données projet'!$E$10+1,1))-AVERAGE(OFFSET($H$3,0,0,'Données projet'!$E$10+1,1))</f>
        <v>448.65237942538027</v>
      </c>
      <c r="AO128" s="59">
        <f t="shared" si="90"/>
        <v>283.56749129825107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82.113361314373023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82.113361314373023</v>
      </c>
      <c r="AY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403.99999999999989</v>
      </c>
      <c r="BE128" s="13">
        <f>BD128*VLOOKUP('Données projet'!$B$11,Paramètres!$A$1:$I$89,3,0)*VLOOKUP('Données projet'!$B$11,Paramètres!$A$1:$I$89,5,0)</f>
        <v>346.63199999999995</v>
      </c>
      <c r="BF128" s="13">
        <f t="shared" si="91"/>
        <v>80.868615263336864</v>
      </c>
      <c r="BG128" s="20">
        <f t="shared" si="61"/>
        <v>744.56357158364483</v>
      </c>
      <c r="BH128" s="59">
        <f t="shared" si="62"/>
        <v>1035.017184726956</v>
      </c>
      <c r="BI128" s="59">
        <f ca="1">AVERAGE(OFFSET($BH$3,0,0,'Données projet'!$E$11+1,1))-AVERAGE(OFFSET($H$3,0,0,'Données projet'!$E$11+1,1))</f>
        <v>456.76871853389395</v>
      </c>
      <c r="BJ128" s="59">
        <f t="shared" si="92"/>
        <v>262.12425810289176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90.532256022570252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90.532256022570252</v>
      </c>
      <c r="BT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255.00000000000006</v>
      </c>
      <c r="BZ128" s="13">
        <f>BY128*VLOOKUP('Données projet'!$B$12,Paramètres!$A$1:$I$89,3,0)*VLOOKUP('Données projet'!$B$12,Paramètres!$A$1:$I$89,5,0)</f>
        <v>186.96600000000004</v>
      </c>
      <c r="CA128" s="13">
        <f t="shared" si="93"/>
        <v>46.868551400324648</v>
      </c>
      <c r="CB128" s="20">
        <f t="shared" si="64"/>
        <v>407.26184368889881</v>
      </c>
      <c r="CC128" s="59">
        <f t="shared" si="65"/>
        <v>697.71545683221007</v>
      </c>
      <c r="CD128" s="59">
        <f ca="1">AVERAGE(OFFSET($CC$3,0,0,'Données projet'!$E$12+1,1))-AVERAGE(OFFSET($H$3,0,0,'Données projet'!$E$12+1,1))</f>
        <v>242.65851607945316</v>
      </c>
      <c r="CE128" s="59">
        <f t="shared" si="94"/>
        <v>218.9349999985487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249.0000000000002</v>
      </c>
      <c r="CU128" s="17">
        <f>CT128*VLOOKUP('Données projet'!$B$13,Paramètres!$A$1:$I$89,3,0)*VLOOKUP('Données projet'!$B$13,Paramètres!$A$1:$I$89,5,0)</f>
        <v>217.52640000000019</v>
      </c>
      <c r="CV128" s="13">
        <f t="shared" si="95"/>
        <v>53.576907690651304</v>
      </c>
      <c r="CW128" s="20">
        <f t="shared" si="67"/>
        <v>472.17159422788467</v>
      </c>
      <c r="CX128" s="59">
        <f t="shared" si="68"/>
        <v>762.62520737119587</v>
      </c>
      <c r="CY128" s="59">
        <f ca="1">AVERAGE(OFFSET($CX$3,0,0,'Données projet'!$E$13+1,1))-AVERAGE(OFFSET($H$3,0,0,'Données projet'!$E$13+1,1))</f>
        <v>326.9460696675867</v>
      </c>
      <c r="CZ128" s="59">
        <f t="shared" si="96"/>
        <v>393.4020374592568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21.013106846048682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21.013106846048682</v>
      </c>
      <c r="DJ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349.00000000000017</v>
      </c>
      <c r="DP128" s="17">
        <f>DO128*VLOOKUP('Données projet'!$B$14,Paramètres!$A$1:$I$89,3,0)*VLOOKUP('Données projet'!$B$14,Paramètres!$A$1:$I$89,5,0)</f>
        <v>272.22000000000014</v>
      </c>
      <c r="DQ128" s="13">
        <f t="shared" si="97"/>
        <v>65.320184547527205</v>
      </c>
      <c r="DR128" s="20">
        <f t="shared" si="70"/>
        <v>587.88248808694345</v>
      </c>
      <c r="DS128" s="59">
        <f t="shared" si="71"/>
        <v>878.3361012302546</v>
      </c>
      <c r="DT128" s="59">
        <f ca="1">AVERAGE(OFFSET($DS$3,0,0,'Données projet'!$E$14+1,1))-AVERAGE(OFFSET($H$3,0,0,'Données projet'!$E$14+1,1))</f>
        <v>364.34528546733799</v>
      </c>
      <c r="DU128" s="59">
        <f t="shared" si="98"/>
        <v>346.5839763411152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29.162668934489112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29.162668934489112</v>
      </c>
      <c r="EE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213.98519999999999</v>
      </c>
      <c r="EL128" s="13">
        <f t="shared" si="99"/>
        <v>52.805497044008654</v>
      </c>
      <c r="EM128" s="20">
        <f t="shared" si="73"/>
        <v>464.66046401831505</v>
      </c>
      <c r="EN128" s="59">
        <f t="shared" si="74"/>
        <v>755.11407716162626</v>
      </c>
      <c r="EO128" s="59">
        <f ca="1">AVERAGE(OFFSET($EN$3,0,0,'Données projet'!$E$15+1,1))-AVERAGE(OFFSET($H$3,0,0,'Données projet'!$E$15+1,1))</f>
        <v>310.38232870602445</v>
      </c>
      <c r="EP128" s="59">
        <f t="shared" si="100"/>
        <v>303.45934457265537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18.387046683689693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18.387046683689693</v>
      </c>
      <c r="EZ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245.99999999999994</v>
      </c>
      <c r="FF128" s="17">
        <f>FE128*VLOOKUP('Données projet'!$B$16,Paramètres!$A$1:$I$89,3,0)*VLOOKUP('Données projet'!$B$16,Paramètres!$A$1:$I$89,5,0)</f>
        <v>234.09359999999998</v>
      </c>
      <c r="FG128" s="13">
        <f t="shared" si="101"/>
        <v>57.166902703920208</v>
      </c>
      <c r="FH128" s="20">
        <f t="shared" si="76"/>
        <v>507.27870887599425</v>
      </c>
      <c r="FI128" s="59">
        <f t="shared" si="77"/>
        <v>797.73232201930546</v>
      </c>
      <c r="FJ128" s="59">
        <f ca="1">AVERAGE(OFFSET($FI$3,0,0,'Données projet'!$E$16+1,1))-AVERAGE(OFFSET($H$3,0,0,'Données projet'!$E$16+1,1))</f>
        <v>457.706832425622</v>
      </c>
      <c r="FK128" s="59">
        <f t="shared" si="102"/>
        <v>474.61768219844873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63.968446908027452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63.968446908027452</v>
      </c>
      <c r="FU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319</v>
      </c>
      <c r="GA128" s="17">
        <f>FZ128*VLOOKUP('Données projet'!$B$17,Paramètres!$A$1:$I$89,3,0)*VLOOKUP('Données projet'!$B$17,Paramètres!$A$1:$I$89,5,0)</f>
        <v>308.53680000000003</v>
      </c>
      <c r="GB128" s="13">
        <f t="shared" si="103"/>
        <v>72.963171684496103</v>
      </c>
      <c r="GC128" s="20">
        <f t="shared" si="79"/>
        <v>664.4457840171641</v>
      </c>
      <c r="GD128" s="59">
        <f t="shared" si="80"/>
        <v>954.89939716047525</v>
      </c>
      <c r="GE128" s="59">
        <f ca="1">AVERAGE(OFFSET($GD$3,0,0,'Données projet'!$E$17+1,1))-AVERAGE(OFFSET($H$3,0,0,'Données projet'!$E$17+1,1))</f>
        <v>428.11167311086814</v>
      </c>
      <c r="GF128" s="59">
        <f t="shared" si="104"/>
        <v>415.69449942923609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21.509375365825697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21.509375365825697</v>
      </c>
      <c r="GP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1.1368683772161603E-13</v>
      </c>
      <c r="GV128" s="17">
        <f>GU128*VLOOKUP('Données projet'!$B$18,Paramètres!$A$1:$I$89,3,0)*VLOOKUP('Données projet'!$B$18,Paramètres!$A$1:$I$89,5,0)</f>
        <v>6.5087988332379613E-14</v>
      </c>
      <c r="GW128" s="13">
        <f t="shared" si="105"/>
        <v>1.0279249680474958E-12</v>
      </c>
      <c r="GX128" s="20">
        <f t="shared" si="82"/>
        <v>1.9036642323616162E-12</v>
      </c>
      <c r="GY128" s="59">
        <f t="shared" si="83"/>
        <v>290.45361314331308</v>
      </c>
      <c r="GZ128" s="59">
        <f ca="1">AVERAGE(OFFSET($GY$3,0,0,'Données projet'!$E$18+1,1))-AVERAGE(OFFSET($H$3,0,0,'Données projet'!$E$18+1,1))</f>
        <v>249.88816678272056</v>
      </c>
      <c r="HA128" s="59">
        <f t="shared" si="106"/>
        <v>432.10802787437319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12.655203609322216</v>
      </c>
      <c r="HH128" s="21">
        <f>EXP(-LN(2)/25)*HH127+(1-EXP(-LN(2)/25))/(LN(2)/25)*Calculateur!HC128*Calculateur!HE128*VLOOKUP('Données projet'!$B$18,Paramètres!$A$1:$I$89,3,0)*0.475*44/12</f>
        <v>1.5445775733183262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14.199781182640542</v>
      </c>
    </row>
    <row r="129" spans="1:218" x14ac:dyDescent="0.3">
      <c r="A129" s="10">
        <f t="shared" si="85"/>
        <v>126</v>
      </c>
      <c r="B129" s="71">
        <f>'Scénario référence'!$B$16*5+'Scénario référence'!$B$17*0+'Scénario référence'!$B$18*5</f>
        <v>1.4000000000000001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5.1333333333333337</v>
      </c>
      <c r="H129" s="65">
        <f t="shared" si="56"/>
        <v>236.13333333333335</v>
      </c>
      <c r="I129" s="6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319</v>
      </c>
      <c r="O129" s="13">
        <f>N129*VLOOKUP('Données projet'!$B$9,Paramètres!$A$1:$I$89,3,0)*VLOOKUP('Données projet'!$B$9,Paramètres!$A$1:$I$89,5,0)</f>
        <v>253.79640000000001</v>
      </c>
      <c r="P129" s="13">
        <f t="shared" si="87"/>
        <v>61.39816832228076</v>
      </c>
      <c r="Q129" s="20">
        <f t="shared" si="107"/>
        <v>548.96387316130563</v>
      </c>
      <c r="R129" s="59">
        <f t="shared" si="55"/>
        <v>839.46744301182389</v>
      </c>
      <c r="S129" s="59">
        <f ca="1">AVERAGE(OFFSET($R$3,0,0,'Données projet'!$E$9+1,1))-AVERAGE(OFFSET($H$3,0,0,'Données projet'!$E$9+1,1))</f>
        <v>360.06385535620069</v>
      </c>
      <c r="T129" s="59">
        <f t="shared" si="88"/>
        <v>350.82516032456408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21.380253106369658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21.380253106369658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277.77359999999993</v>
      </c>
      <c r="AK129" s="13">
        <f t="shared" si="89"/>
        <v>66.496288176842356</v>
      </c>
      <c r="AL129" s="20">
        <f t="shared" si="58"/>
        <v>599.60338857466706</v>
      </c>
      <c r="AM129" s="59">
        <f t="shared" si="59"/>
        <v>890.10695842518521</v>
      </c>
      <c r="AN129" s="59">
        <f ca="1">AVERAGE(OFFSET($AM$3,0,0,'Données projet'!$E$10+1,1))-AVERAGE(OFFSET($H$3,0,0,'Données projet'!$E$10+1,1))</f>
        <v>448.65237942538027</v>
      </c>
      <c r="AO129" s="59">
        <f t="shared" si="90"/>
        <v>283.56749129825107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80.50316838320316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80.50316838320316</v>
      </c>
      <c r="AY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403.99999999999989</v>
      </c>
      <c r="BE129" s="13">
        <f>BD129*VLOOKUP('Données projet'!$B$11,Paramètres!$A$1:$I$89,3,0)*VLOOKUP('Données projet'!$B$11,Paramètres!$A$1:$I$89,5,0)</f>
        <v>346.63199999999995</v>
      </c>
      <c r="BF129" s="13">
        <f t="shared" si="91"/>
        <v>80.868615263336864</v>
      </c>
      <c r="BG129" s="20">
        <f t="shared" si="61"/>
        <v>744.56357158364483</v>
      </c>
      <c r="BH129" s="59">
        <f t="shared" si="62"/>
        <v>1035.067141434163</v>
      </c>
      <c r="BI129" s="59">
        <f ca="1">AVERAGE(OFFSET($BH$3,0,0,'Données projet'!$E$11+1,1))-AVERAGE(OFFSET($H$3,0,0,'Données projet'!$E$11+1,1))</f>
        <v>456.76871853389395</v>
      </c>
      <c r="BJ129" s="59">
        <f t="shared" si="92"/>
        <v>262.12425810289176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88.756973701191384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88.756973701191384</v>
      </c>
      <c r="BT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255.00000000000006</v>
      </c>
      <c r="BZ129" s="13">
        <f>BY129*VLOOKUP('Données projet'!$B$12,Paramètres!$A$1:$I$89,3,0)*VLOOKUP('Données projet'!$B$12,Paramètres!$A$1:$I$89,5,0)</f>
        <v>186.96600000000004</v>
      </c>
      <c r="CA129" s="13">
        <f t="shared" si="93"/>
        <v>46.868551400324648</v>
      </c>
      <c r="CB129" s="20">
        <f t="shared" si="64"/>
        <v>407.26184368889881</v>
      </c>
      <c r="CC129" s="59">
        <f t="shared" si="65"/>
        <v>697.76541353941707</v>
      </c>
      <c r="CD129" s="59">
        <f ca="1">AVERAGE(OFFSET($CC$3,0,0,'Données projet'!$E$12+1,1))-AVERAGE(OFFSET($H$3,0,0,'Données projet'!$E$12+1,1))</f>
        <v>242.65851607945316</v>
      </c>
      <c r="CE129" s="59">
        <f t="shared" si="94"/>
        <v>218.9349999985487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249.0000000000002</v>
      </c>
      <c r="CU129" s="17">
        <f>CT129*VLOOKUP('Données projet'!$B$13,Paramètres!$A$1:$I$89,3,0)*VLOOKUP('Données projet'!$B$13,Paramètres!$A$1:$I$89,5,0)</f>
        <v>217.52640000000019</v>
      </c>
      <c r="CV129" s="13">
        <f t="shared" si="95"/>
        <v>53.576907690651304</v>
      </c>
      <c r="CW129" s="20">
        <f t="shared" si="67"/>
        <v>472.17159422788467</v>
      </c>
      <c r="CX129" s="59">
        <f t="shared" si="68"/>
        <v>762.67516407840287</v>
      </c>
      <c r="CY129" s="59">
        <f ca="1">AVERAGE(OFFSET($CX$3,0,0,'Données projet'!$E$13+1,1))-AVERAGE(OFFSET($H$3,0,0,'Données projet'!$E$13+1,1))</f>
        <v>326.9460696675867</v>
      </c>
      <c r="CZ129" s="59">
        <f t="shared" si="96"/>
        <v>393.4020374592568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20.601052637527296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20.601052637527296</v>
      </c>
      <c r="DJ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349.00000000000017</v>
      </c>
      <c r="DP129" s="17">
        <f>DO129*VLOOKUP('Données projet'!$B$14,Paramètres!$A$1:$I$89,3,0)*VLOOKUP('Données projet'!$B$14,Paramètres!$A$1:$I$89,5,0)</f>
        <v>272.22000000000014</v>
      </c>
      <c r="DQ129" s="13">
        <f t="shared" si="97"/>
        <v>65.320184547527205</v>
      </c>
      <c r="DR129" s="20">
        <f t="shared" si="70"/>
        <v>587.88248808694345</v>
      </c>
      <c r="DS129" s="59">
        <f t="shared" si="71"/>
        <v>878.3860579374616</v>
      </c>
      <c r="DT129" s="59">
        <f ca="1">AVERAGE(OFFSET($DS$3,0,0,'Données projet'!$E$14+1,1))-AVERAGE(OFFSET($H$3,0,0,'Données projet'!$E$14+1,1))</f>
        <v>364.34528546733799</v>
      </c>
      <c r="DU129" s="59">
        <f t="shared" si="98"/>
        <v>346.5839763411152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28.590806784155465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28.590806784155465</v>
      </c>
      <c r="EE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213.98519999999999</v>
      </c>
      <c r="EL129" s="13">
        <f t="shared" si="99"/>
        <v>52.805497044008654</v>
      </c>
      <c r="EM129" s="20">
        <f t="shared" si="73"/>
        <v>464.66046401831505</v>
      </c>
      <c r="EN129" s="59">
        <f t="shared" si="74"/>
        <v>755.16403386883326</v>
      </c>
      <c r="EO129" s="59">
        <f ca="1">AVERAGE(OFFSET($EN$3,0,0,'Données projet'!$E$15+1,1))-AVERAGE(OFFSET($H$3,0,0,'Données projet'!$E$15+1,1))</f>
        <v>310.38232870602445</v>
      </c>
      <c r="EP129" s="59">
        <f t="shared" si="100"/>
        <v>303.45934457265537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18.026487913213625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18.026487913213625</v>
      </c>
      <c r="EZ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245.99999999999994</v>
      </c>
      <c r="FF129" s="17">
        <f>FE129*VLOOKUP('Données projet'!$B$16,Paramètres!$A$1:$I$89,3,0)*VLOOKUP('Données projet'!$B$16,Paramètres!$A$1:$I$89,5,0)</f>
        <v>234.09359999999998</v>
      </c>
      <c r="FG129" s="13">
        <f t="shared" si="101"/>
        <v>57.166902703920208</v>
      </c>
      <c r="FH129" s="20">
        <f t="shared" si="76"/>
        <v>507.27870887599425</v>
      </c>
      <c r="FI129" s="59">
        <f t="shared" si="77"/>
        <v>797.78227872651246</v>
      </c>
      <c r="FJ129" s="59">
        <f ca="1">AVERAGE(OFFSET($FI$3,0,0,'Données projet'!$E$16+1,1))-AVERAGE(OFFSET($H$3,0,0,'Données projet'!$E$16+1,1))</f>
        <v>457.706832425622</v>
      </c>
      <c r="FK129" s="59">
        <f t="shared" si="102"/>
        <v>474.61768219844873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62.714064681061046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62.714064681061046</v>
      </c>
      <c r="FU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319</v>
      </c>
      <c r="GA129" s="17">
        <f>FZ129*VLOOKUP('Données projet'!$B$17,Paramètres!$A$1:$I$89,3,0)*VLOOKUP('Données projet'!$B$17,Paramètres!$A$1:$I$89,5,0)</f>
        <v>308.53680000000003</v>
      </c>
      <c r="GB129" s="13">
        <f t="shared" si="103"/>
        <v>72.963171684496103</v>
      </c>
      <c r="GC129" s="20">
        <f t="shared" si="79"/>
        <v>664.4457840171641</v>
      </c>
      <c r="GD129" s="59">
        <f t="shared" si="80"/>
        <v>954.94935386768225</v>
      </c>
      <c r="GE129" s="59">
        <f ca="1">AVERAGE(OFFSET($GD$3,0,0,'Données projet'!$E$17+1,1))-AVERAGE(OFFSET($H$3,0,0,'Données projet'!$E$17+1,1))</f>
        <v>428.11167311086814</v>
      </c>
      <c r="GF129" s="59">
        <f t="shared" si="104"/>
        <v>415.69449942923609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21.087589634325393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21.087589634325393</v>
      </c>
      <c r="GP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1.1368683772161603E-13</v>
      </c>
      <c r="GV129" s="17">
        <f>GU129*VLOOKUP('Données projet'!$B$18,Paramètres!$A$1:$I$89,3,0)*VLOOKUP('Données projet'!$B$18,Paramètres!$A$1:$I$89,5,0)</f>
        <v>6.5087988332379613E-14</v>
      </c>
      <c r="GW129" s="13">
        <f t="shared" si="105"/>
        <v>1.0279249680474958E-12</v>
      </c>
      <c r="GX129" s="20">
        <f t="shared" si="82"/>
        <v>1.9036642323616162E-12</v>
      </c>
      <c r="GY129" s="59">
        <f t="shared" si="83"/>
        <v>290.50356985052008</v>
      </c>
      <c r="GZ129" s="59">
        <f ca="1">AVERAGE(OFFSET($GY$3,0,0,'Données projet'!$E$18+1,1))-AVERAGE(OFFSET($H$3,0,0,'Données projet'!$E$18+1,1))</f>
        <v>249.88816678272056</v>
      </c>
      <c r="HA129" s="59">
        <f t="shared" si="106"/>
        <v>432.10802787437319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12.407042785455429</v>
      </c>
      <c r="HH129" s="21">
        <f>EXP(-LN(2)/25)*HH128+(1-EXP(-LN(2)/25))/(LN(2)/25)*Calculateur!HC129*Calculateur!HE129*VLOOKUP('Données projet'!$B$18,Paramètres!$A$1:$I$89,3,0)*0.475*44/12</f>
        <v>1.5023410183501322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13.909383803805561</v>
      </c>
    </row>
    <row r="130" spans="1:218" x14ac:dyDescent="0.3">
      <c r="A130" s="10">
        <f t="shared" si="85"/>
        <v>127</v>
      </c>
      <c r="B130" s="71">
        <f>'Scénario référence'!$B$16*5+'Scénario référence'!$B$17*0+'Scénario référence'!$B$18*5</f>
        <v>1.4000000000000001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5.1333333333333337</v>
      </c>
      <c r="H130" s="65">
        <f t="shared" si="56"/>
        <v>236.13333333333335</v>
      </c>
      <c r="I130" s="6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319</v>
      </c>
      <c r="O130" s="13">
        <f>N130*VLOOKUP('Données projet'!$B$9,Paramètres!$A$1:$I$89,3,0)*VLOOKUP('Données projet'!$B$9,Paramètres!$A$1:$I$89,5,0)</f>
        <v>253.79640000000001</v>
      </c>
      <c r="P130" s="13">
        <f t="shared" si="87"/>
        <v>61.39816832228076</v>
      </c>
      <c r="Q130" s="20">
        <f t="shared" si="107"/>
        <v>548.96387316130563</v>
      </c>
      <c r="R130" s="59">
        <f t="shared" si="55"/>
        <v>839.51653308184723</v>
      </c>
      <c r="S130" s="59">
        <f ca="1">AVERAGE(OFFSET($R$3,0,0,'Données projet'!$E$9+1,1))-AVERAGE(OFFSET($H$3,0,0,'Données projet'!$E$9+1,1))</f>
        <v>360.06385535620069</v>
      </c>
      <c r="T130" s="59">
        <f t="shared" si="88"/>
        <v>350.82516032456408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20.960999383620486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20.960999383620486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277.77359999999993</v>
      </c>
      <c r="AK130" s="13">
        <f t="shared" si="89"/>
        <v>66.496288176842356</v>
      </c>
      <c r="AL130" s="20">
        <f t="shared" si="58"/>
        <v>599.60338857466706</v>
      </c>
      <c r="AM130" s="59">
        <f t="shared" si="59"/>
        <v>890.15604849520878</v>
      </c>
      <c r="AN130" s="59">
        <f ca="1">AVERAGE(OFFSET($AM$3,0,0,'Données projet'!$E$10+1,1))-AVERAGE(OFFSET($H$3,0,0,'Données projet'!$E$10+1,1))</f>
        <v>448.65237942538027</v>
      </c>
      <c r="AO130" s="59">
        <f t="shared" si="90"/>
        <v>283.56749129825107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78.92455035329283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78.92455035329283</v>
      </c>
      <c r="AY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403.99999999999989</v>
      </c>
      <c r="BE130" s="13">
        <f>BD130*VLOOKUP('Données projet'!$B$11,Paramètres!$A$1:$I$89,3,0)*VLOOKUP('Données projet'!$B$11,Paramètres!$A$1:$I$89,5,0)</f>
        <v>346.63199999999995</v>
      </c>
      <c r="BF130" s="13">
        <f t="shared" si="91"/>
        <v>80.868615263336864</v>
      </c>
      <c r="BG130" s="20">
        <f t="shared" si="61"/>
        <v>744.56357158364483</v>
      </c>
      <c r="BH130" s="59">
        <f t="shared" si="62"/>
        <v>1035.1162315041865</v>
      </c>
      <c r="BI130" s="59">
        <f ca="1">AVERAGE(OFFSET($BH$3,0,0,'Données projet'!$E$11+1,1))-AVERAGE(OFFSET($H$3,0,0,'Données projet'!$E$11+1,1))</f>
        <v>456.76871853389395</v>
      </c>
      <c r="BJ130" s="59">
        <f t="shared" si="92"/>
        <v>262.12425810289176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87.016503583319448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87.016503583319448</v>
      </c>
      <c r="BT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255.00000000000006</v>
      </c>
      <c r="BZ130" s="13">
        <f>BY130*VLOOKUP('Données projet'!$B$12,Paramètres!$A$1:$I$89,3,0)*VLOOKUP('Données projet'!$B$12,Paramètres!$A$1:$I$89,5,0)</f>
        <v>186.96600000000004</v>
      </c>
      <c r="CA130" s="13">
        <f t="shared" si="93"/>
        <v>46.868551400324648</v>
      </c>
      <c r="CB130" s="20">
        <f t="shared" si="64"/>
        <v>407.26184368889881</v>
      </c>
      <c r="CC130" s="59">
        <f t="shared" si="65"/>
        <v>697.81450360944041</v>
      </c>
      <c r="CD130" s="59">
        <f ca="1">AVERAGE(OFFSET($CC$3,0,0,'Données projet'!$E$12+1,1))-AVERAGE(OFFSET($H$3,0,0,'Données projet'!$E$12+1,1))</f>
        <v>242.65851607945316</v>
      </c>
      <c r="CE130" s="59">
        <f t="shared" si="94"/>
        <v>218.9349999985487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249.0000000000002</v>
      </c>
      <c r="CU130" s="17">
        <f>CT130*VLOOKUP('Données projet'!$B$13,Paramètres!$A$1:$I$89,3,0)*VLOOKUP('Données projet'!$B$13,Paramètres!$A$1:$I$89,5,0)</f>
        <v>217.52640000000019</v>
      </c>
      <c r="CV130" s="13">
        <f t="shared" si="95"/>
        <v>53.576907690651304</v>
      </c>
      <c r="CW130" s="20">
        <f t="shared" si="67"/>
        <v>472.17159422788467</v>
      </c>
      <c r="CX130" s="59">
        <f t="shared" si="68"/>
        <v>762.72425414842633</v>
      </c>
      <c r="CY130" s="59">
        <f ca="1">AVERAGE(OFFSET($CX$3,0,0,'Données projet'!$E$13+1,1))-AVERAGE(OFFSET($H$3,0,0,'Données projet'!$E$13+1,1))</f>
        <v>326.9460696675867</v>
      </c>
      <c r="CZ130" s="59">
        <f t="shared" si="96"/>
        <v>393.4020374592568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20.197078560706764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20.197078560706764</v>
      </c>
      <c r="DJ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349.00000000000017</v>
      </c>
      <c r="DP130" s="17">
        <f>DO130*VLOOKUP('Données projet'!$B$14,Paramètres!$A$1:$I$89,3,0)*VLOOKUP('Données projet'!$B$14,Paramètres!$A$1:$I$89,5,0)</f>
        <v>272.22000000000014</v>
      </c>
      <c r="DQ130" s="13">
        <f t="shared" si="97"/>
        <v>65.320184547527205</v>
      </c>
      <c r="DR130" s="20">
        <f t="shared" si="70"/>
        <v>587.88248808694345</v>
      </c>
      <c r="DS130" s="59">
        <f t="shared" si="71"/>
        <v>878.43514800748517</v>
      </c>
      <c r="DT130" s="59">
        <f ca="1">AVERAGE(OFFSET($DS$3,0,0,'Données projet'!$E$14+1,1))-AVERAGE(OFFSET($H$3,0,0,'Données projet'!$E$14+1,1))</f>
        <v>364.34528546733799</v>
      </c>
      <c r="DU130" s="59">
        <f t="shared" si="98"/>
        <v>346.5839763411152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28.030158501788389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28.030158501788389</v>
      </c>
      <c r="EE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213.98519999999999</v>
      </c>
      <c r="EL130" s="13">
        <f t="shared" si="99"/>
        <v>52.805497044008654</v>
      </c>
      <c r="EM130" s="20">
        <f t="shared" si="73"/>
        <v>464.66046401831505</v>
      </c>
      <c r="EN130" s="59">
        <f t="shared" si="74"/>
        <v>755.21312393885671</v>
      </c>
      <c r="EO130" s="59">
        <f ca="1">AVERAGE(OFFSET($EN$3,0,0,'Données projet'!$E$15+1,1))-AVERAGE(OFFSET($H$3,0,0,'Données projet'!$E$15+1,1))</f>
        <v>310.38232870602445</v>
      </c>
      <c r="EP130" s="59">
        <f t="shared" si="100"/>
        <v>303.45934457265537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17.67299948030746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17.67299948030746</v>
      </c>
      <c r="EZ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245.99999999999994</v>
      </c>
      <c r="FF130" s="17">
        <f>FE130*VLOOKUP('Données projet'!$B$16,Paramètres!$A$1:$I$89,3,0)*VLOOKUP('Données projet'!$B$16,Paramètres!$A$1:$I$89,5,0)</f>
        <v>234.09359999999998</v>
      </c>
      <c r="FG130" s="13">
        <f t="shared" si="101"/>
        <v>57.166902703920208</v>
      </c>
      <c r="FH130" s="20">
        <f t="shared" si="76"/>
        <v>507.27870887599425</v>
      </c>
      <c r="FI130" s="59">
        <f t="shared" si="77"/>
        <v>797.83136879653591</v>
      </c>
      <c r="FJ130" s="59">
        <f ca="1">AVERAGE(OFFSET($FI$3,0,0,'Données projet'!$E$16+1,1))-AVERAGE(OFFSET($H$3,0,0,'Données projet'!$E$16+1,1))</f>
        <v>457.706832425622</v>
      </c>
      <c r="FK130" s="59">
        <f t="shared" si="102"/>
        <v>474.61768219844873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61.484280124467844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61.484280124467844</v>
      </c>
      <c r="FU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319</v>
      </c>
      <c r="GA130" s="17">
        <f>FZ130*VLOOKUP('Données projet'!$B$17,Paramètres!$A$1:$I$89,3,0)*VLOOKUP('Données projet'!$B$17,Paramètres!$A$1:$I$89,5,0)</f>
        <v>308.53680000000003</v>
      </c>
      <c r="GB130" s="13">
        <f t="shared" si="103"/>
        <v>72.963171684496103</v>
      </c>
      <c r="GC130" s="20">
        <f t="shared" si="79"/>
        <v>664.4457840171641</v>
      </c>
      <c r="GD130" s="59">
        <f t="shared" si="80"/>
        <v>954.99844393770582</v>
      </c>
      <c r="GE130" s="59">
        <f ca="1">AVERAGE(OFFSET($GD$3,0,0,'Données projet'!$E$17+1,1))-AVERAGE(OFFSET($H$3,0,0,'Données projet'!$E$17+1,1))</f>
        <v>428.11167311086814</v>
      </c>
      <c r="GF130" s="59">
        <f t="shared" si="104"/>
        <v>415.69449942923609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20.674074863755916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20.674074863755916</v>
      </c>
      <c r="GP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1.1368683772161603E-13</v>
      </c>
      <c r="GV130" s="17">
        <f>GU130*VLOOKUP('Données projet'!$B$18,Paramètres!$A$1:$I$89,3,0)*VLOOKUP('Données projet'!$B$18,Paramètres!$A$1:$I$89,5,0)</f>
        <v>6.5087988332379613E-14</v>
      </c>
      <c r="GW130" s="13">
        <f t="shared" si="105"/>
        <v>1.0279249680474958E-12</v>
      </c>
      <c r="GX130" s="20">
        <f t="shared" si="82"/>
        <v>1.9036642323616162E-12</v>
      </c>
      <c r="GY130" s="59">
        <f t="shared" si="83"/>
        <v>290.55265992054353</v>
      </c>
      <c r="GZ130" s="59">
        <f ca="1">AVERAGE(OFFSET($GY$3,0,0,'Données projet'!$E$18+1,1))-AVERAGE(OFFSET($H$3,0,0,'Données projet'!$E$18+1,1))</f>
        <v>249.88816678272056</v>
      </c>
      <c r="HA130" s="59">
        <f t="shared" si="106"/>
        <v>432.10802787437319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12.163748243981514</v>
      </c>
      <c r="HH130" s="21">
        <f>EXP(-LN(2)/25)*HH129+(1-EXP(-LN(2)/25))/(LN(2)/25)*Calculateur!HC130*Calculateur!HE130*VLOOKUP('Données projet'!$B$18,Paramètres!$A$1:$I$89,3,0)*0.475*44/12</f>
        <v>1.4612594241986674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13.625007668180181</v>
      </c>
    </row>
    <row r="131" spans="1:218" x14ac:dyDescent="0.3">
      <c r="A131" s="10">
        <f t="shared" si="85"/>
        <v>128</v>
      </c>
      <c r="B131" s="71">
        <f>'Scénario référence'!$B$16*5+'Scénario référence'!$B$17*0+'Scénario référence'!$B$18*5</f>
        <v>1.4000000000000001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5.1333333333333337</v>
      </c>
      <c r="H131" s="65">
        <f t="shared" si="56"/>
        <v>236.13333333333335</v>
      </c>
      <c r="I131" s="6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319</v>
      </c>
      <c r="O131" s="13">
        <f>N131*VLOOKUP('Données projet'!$B$9,Paramètres!$A$1:$I$89,3,0)*VLOOKUP('Données projet'!$B$9,Paramètres!$A$1:$I$89,5,0)</f>
        <v>253.79640000000001</v>
      </c>
      <c r="P131" s="13">
        <f t="shared" si="87"/>
        <v>61.39816832228076</v>
      </c>
      <c r="Q131" s="20">
        <f t="shared" ref="Q131:Q153" si="108">(O131+P131)*0.475*44/12</f>
        <v>548.96387316130563</v>
      </c>
      <c r="R131" s="59">
        <f t="shared" ref="R131:R194" si="109">Q131+(I131+J131)*44/12</f>
        <v>839.5647715489049</v>
      </c>
      <c r="S131" s="59">
        <f ca="1">AVERAGE(OFFSET($R$3,0,0,'Données projet'!$E$9+1,1))-AVERAGE(OFFSET($H$3,0,0,'Données projet'!$E$9+1,1))</f>
        <v>360.06385535620069</v>
      </c>
      <c r="T131" s="59">
        <f t="shared" si="88"/>
        <v>350.82516032456408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20.549966970654904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20.549966970654904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277.77359999999993</v>
      </c>
      <c r="AK131" s="13">
        <f t="shared" si="89"/>
        <v>66.496288176842356</v>
      </c>
      <c r="AL131" s="20">
        <f t="shared" si="58"/>
        <v>599.60338857466706</v>
      </c>
      <c r="AM131" s="59">
        <f t="shared" si="59"/>
        <v>890.20428696226622</v>
      </c>
      <c r="AN131" s="59">
        <f ca="1">AVERAGE(OFFSET($AM$3,0,0,'Données projet'!$E$10+1,1))-AVERAGE(OFFSET($H$3,0,0,'Données projet'!$E$10+1,1))</f>
        <v>448.65237942538027</v>
      </c>
      <c r="AO131" s="59">
        <f t="shared" si="90"/>
        <v>283.56749129825107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77.376888060087126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77.376888060087126</v>
      </c>
      <c r="AY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403.99999999999989</v>
      </c>
      <c r="BE131" s="13">
        <f>BD131*VLOOKUP('Données projet'!$B$11,Paramètres!$A$1:$I$89,3,0)*VLOOKUP('Données projet'!$B$11,Paramètres!$A$1:$I$89,5,0)</f>
        <v>346.63199999999995</v>
      </c>
      <c r="BF131" s="13">
        <f t="shared" si="91"/>
        <v>80.868615263336864</v>
      </c>
      <c r="BG131" s="20">
        <f t="shared" si="61"/>
        <v>744.56357158364483</v>
      </c>
      <c r="BH131" s="59">
        <f t="shared" si="62"/>
        <v>1035.164469971244</v>
      </c>
      <c r="BI131" s="59">
        <f ca="1">AVERAGE(OFFSET($BH$3,0,0,'Données projet'!$E$11+1,1))-AVERAGE(OFFSET($H$3,0,0,'Données projet'!$E$11+1,1))</f>
        <v>456.76871853389395</v>
      </c>
      <c r="BJ131" s="59">
        <f t="shared" si="92"/>
        <v>262.12425810289176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85.310163022877035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85.310163022877035</v>
      </c>
      <c r="BT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255.00000000000006</v>
      </c>
      <c r="BZ131" s="13">
        <f>BY131*VLOOKUP('Données projet'!$B$12,Paramètres!$A$1:$I$89,3,0)*VLOOKUP('Données projet'!$B$12,Paramètres!$A$1:$I$89,5,0)</f>
        <v>186.96600000000004</v>
      </c>
      <c r="CA131" s="13">
        <f t="shared" si="93"/>
        <v>46.868551400324648</v>
      </c>
      <c r="CB131" s="20">
        <f t="shared" si="64"/>
        <v>407.26184368889881</v>
      </c>
      <c r="CC131" s="59">
        <f t="shared" si="65"/>
        <v>697.86274207649808</v>
      </c>
      <c r="CD131" s="59">
        <f ca="1">AVERAGE(OFFSET($CC$3,0,0,'Données projet'!$E$12+1,1))-AVERAGE(OFFSET($H$3,0,0,'Données projet'!$E$12+1,1))</f>
        <v>242.65851607945316</v>
      </c>
      <c r="CE131" s="59">
        <f t="shared" si="94"/>
        <v>218.9349999985487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249.0000000000002</v>
      </c>
      <c r="CU131" s="17">
        <f>CT131*VLOOKUP('Données projet'!$B$13,Paramètres!$A$1:$I$89,3,0)*VLOOKUP('Données projet'!$B$13,Paramètres!$A$1:$I$89,5,0)</f>
        <v>217.52640000000019</v>
      </c>
      <c r="CV131" s="13">
        <f t="shared" si="95"/>
        <v>53.576907690651304</v>
      </c>
      <c r="CW131" s="20">
        <f t="shared" si="67"/>
        <v>472.17159422788467</v>
      </c>
      <c r="CX131" s="59">
        <f t="shared" si="68"/>
        <v>762.77249261548388</v>
      </c>
      <c r="CY131" s="59">
        <f ca="1">AVERAGE(OFFSET($CX$3,0,0,'Données projet'!$E$13+1,1))-AVERAGE(OFFSET($H$3,0,0,'Données projet'!$E$13+1,1))</f>
        <v>326.9460696675867</v>
      </c>
      <c r="CZ131" s="59">
        <f t="shared" si="96"/>
        <v>393.4020374592568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19.801026169132825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19.801026169132825</v>
      </c>
      <c r="DJ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349.00000000000017</v>
      </c>
      <c r="DP131" s="17">
        <f>DO131*VLOOKUP('Données projet'!$B$14,Paramètres!$A$1:$I$89,3,0)*VLOOKUP('Données projet'!$B$14,Paramètres!$A$1:$I$89,5,0)</f>
        <v>272.22000000000014</v>
      </c>
      <c r="DQ131" s="13">
        <f t="shared" si="97"/>
        <v>65.320184547527205</v>
      </c>
      <c r="DR131" s="20">
        <f t="shared" si="70"/>
        <v>587.88248808694345</v>
      </c>
      <c r="DS131" s="59">
        <f t="shared" si="71"/>
        <v>878.48338647454261</v>
      </c>
      <c r="DT131" s="59">
        <f ca="1">AVERAGE(OFFSET($DS$3,0,0,'Données projet'!$E$14+1,1))-AVERAGE(OFFSET($H$3,0,0,'Données projet'!$E$14+1,1))</f>
        <v>364.34528546733799</v>
      </c>
      <c r="DU131" s="59">
        <f t="shared" si="98"/>
        <v>346.5839763411152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27.480504190276847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27.480504190276847</v>
      </c>
      <c r="EE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213.98519999999999</v>
      </c>
      <c r="EL131" s="13">
        <f t="shared" si="99"/>
        <v>52.805497044008654</v>
      </c>
      <c r="EM131" s="20">
        <f t="shared" si="73"/>
        <v>464.66046401831505</v>
      </c>
      <c r="EN131" s="59">
        <f t="shared" si="74"/>
        <v>755.26136240591427</v>
      </c>
      <c r="EO131" s="59">
        <f ca="1">AVERAGE(OFFSET($EN$3,0,0,'Données projet'!$E$15+1,1))-AVERAGE(OFFSET($H$3,0,0,'Données projet'!$E$15+1,1))</f>
        <v>310.38232870602445</v>
      </c>
      <c r="EP131" s="59">
        <f t="shared" si="100"/>
        <v>303.45934457265537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17.32644273996393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17.32644273996393</v>
      </c>
      <c r="EZ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245.99999999999994</v>
      </c>
      <c r="FF131" s="17">
        <f>FE131*VLOOKUP('Données projet'!$B$16,Paramètres!$A$1:$I$89,3,0)*VLOOKUP('Données projet'!$B$16,Paramètres!$A$1:$I$89,5,0)</f>
        <v>234.09359999999998</v>
      </c>
      <c r="FG131" s="13">
        <f t="shared" si="101"/>
        <v>57.166902703920208</v>
      </c>
      <c r="FH131" s="20">
        <f t="shared" si="76"/>
        <v>507.27870887599425</v>
      </c>
      <c r="FI131" s="59">
        <f t="shared" si="77"/>
        <v>797.87960726359347</v>
      </c>
      <c r="FJ131" s="59">
        <f ca="1">AVERAGE(OFFSET($FI$3,0,0,'Données projet'!$E$16+1,1))-AVERAGE(OFFSET($H$3,0,0,'Données projet'!$E$16+1,1))</f>
        <v>457.706832425622</v>
      </c>
      <c r="FK131" s="59">
        <f t="shared" si="102"/>
        <v>474.61768219844873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60.278610892934921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60.278610892934921</v>
      </c>
      <c r="FU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319</v>
      </c>
      <c r="GA131" s="17">
        <f>FZ131*VLOOKUP('Données projet'!$B$17,Paramètres!$A$1:$I$89,3,0)*VLOOKUP('Données projet'!$B$17,Paramètres!$A$1:$I$89,5,0)</f>
        <v>308.53680000000003</v>
      </c>
      <c r="GB131" s="13">
        <f t="shared" si="103"/>
        <v>72.963171684496103</v>
      </c>
      <c r="GC131" s="20">
        <f t="shared" si="79"/>
        <v>664.4457840171641</v>
      </c>
      <c r="GD131" s="59">
        <f t="shared" si="80"/>
        <v>955.04668240476326</v>
      </c>
      <c r="GE131" s="59">
        <f ca="1">AVERAGE(OFFSET($GD$3,0,0,'Données projet'!$E$17+1,1))-AVERAGE(OFFSET($H$3,0,0,'Données projet'!$E$17+1,1))</f>
        <v>428.11167311086814</v>
      </c>
      <c r="GF131" s="59">
        <f t="shared" si="104"/>
        <v>415.69449942923609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20.268668865618199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20.268668865618199</v>
      </c>
      <c r="GP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1.1368683772161603E-13</v>
      </c>
      <c r="GV131" s="17">
        <f>GU131*VLOOKUP('Données projet'!$B$18,Paramètres!$A$1:$I$89,3,0)*VLOOKUP('Données projet'!$B$18,Paramètres!$A$1:$I$89,5,0)</f>
        <v>6.5087988332379613E-14</v>
      </c>
      <c r="GW131" s="13">
        <f t="shared" si="105"/>
        <v>1.0279249680474958E-12</v>
      </c>
      <c r="GX131" s="20">
        <f t="shared" si="82"/>
        <v>1.9036642323616162E-12</v>
      </c>
      <c r="GY131" s="59">
        <f t="shared" si="83"/>
        <v>290.60089838760109</v>
      </c>
      <c r="GZ131" s="59">
        <f ca="1">AVERAGE(OFFSET($GY$3,0,0,'Données projet'!$E$18+1,1))-AVERAGE(OFFSET($H$3,0,0,'Données projet'!$E$18+1,1))</f>
        <v>249.88816678272056</v>
      </c>
      <c r="HA131" s="59">
        <f t="shared" si="106"/>
        <v>432.10802787437319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11.925224560070886</v>
      </c>
      <c r="HH131" s="21">
        <f>EXP(-LN(2)/25)*HH130+(1-EXP(-LN(2)/25))/(LN(2)/25)*Calculateur!HC131*Calculateur!HE131*VLOOKUP('Données projet'!$B$18,Paramètres!$A$1:$I$89,3,0)*0.475*44/12</f>
        <v>1.4213012083996615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13.346525768470547</v>
      </c>
    </row>
    <row r="132" spans="1:218" x14ac:dyDescent="0.3">
      <c r="A132" s="10">
        <f t="shared" si="85"/>
        <v>129</v>
      </c>
      <c r="B132" s="71">
        <f>'Scénario référence'!$B$16*5+'Scénario référence'!$B$17*0+'Scénario référence'!$B$18*5</f>
        <v>1.4000000000000001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5.1333333333333337</v>
      </c>
      <c r="H132" s="65">
        <f t="shared" ref="H132:H195" si="110">(B132+E132+F132)*44/12+(C132+D132)*0.475*44/12</f>
        <v>236.13333333333335</v>
      </c>
      <c r="I132" s="6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319</v>
      </c>
      <c r="O132" s="13">
        <f>N132*VLOOKUP('Données projet'!$B$9,Paramètres!$A$1:$I$89,3,0)*VLOOKUP('Données projet'!$B$9,Paramètres!$A$1:$I$89,5,0)</f>
        <v>253.79640000000001</v>
      </c>
      <c r="P132" s="13">
        <f t="shared" si="87"/>
        <v>61.39816832228076</v>
      </c>
      <c r="Q132" s="20">
        <f t="shared" si="108"/>
        <v>548.96387316130563</v>
      </c>
      <c r="R132" s="59">
        <f t="shared" si="109"/>
        <v>839.61217318640388</v>
      </c>
      <c r="S132" s="59">
        <f ca="1">AVERAGE(OFFSET($R$3,0,0,'Données projet'!$E$9+1,1))-AVERAGE(OFFSET($H$3,0,0,'Données projet'!$E$9+1,1))</f>
        <v>360.06385535620069</v>
      </c>
      <c r="T132" s="59">
        <f t="shared" si="88"/>
        <v>350.82516032456408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20.146994652602558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20.146994652602558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277.77359999999993</v>
      </c>
      <c r="AK132" s="13">
        <f t="shared" si="89"/>
        <v>66.496288176842356</v>
      </c>
      <c r="AL132" s="20">
        <f t="shared" ref="AL132:AL153" si="112">(AJ132+AK132)*0.475*44/12</f>
        <v>599.60338857466706</v>
      </c>
      <c r="AM132" s="59">
        <f t="shared" ref="AM132:AM195" si="113">AL132+(AD132+AE132)*44/12</f>
        <v>890.25168859976543</v>
      </c>
      <c r="AN132" s="59">
        <f ca="1">AVERAGE(OFFSET($AM$3,0,0,'Données projet'!$E$10+1,1))-AVERAGE(OFFSET($H$3,0,0,'Données projet'!$E$10+1,1))</f>
        <v>448.65237942538027</v>
      </c>
      <c r="AO132" s="59">
        <f t="shared" si="90"/>
        <v>283.56749129825107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75.859574480470386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75.859574480470386</v>
      </c>
      <c r="AY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403.99999999999989</v>
      </c>
      <c r="BE132" s="13">
        <f>BD132*VLOOKUP('Données projet'!$B$11,Paramètres!$A$1:$I$89,3,0)*VLOOKUP('Données projet'!$B$11,Paramètres!$A$1:$I$89,5,0)</f>
        <v>346.63199999999995</v>
      </c>
      <c r="BF132" s="13">
        <f t="shared" si="91"/>
        <v>80.868615263336864</v>
      </c>
      <c r="BG132" s="20">
        <f t="shared" ref="BG132:BG153" si="115">(BE132+BF132)*0.475*44/12</f>
        <v>744.56357158364483</v>
      </c>
      <c r="BH132" s="59">
        <f t="shared" ref="BH132:BH195" si="116">BG132+(AY132+AZ132)*44/12</f>
        <v>1035.2118716087432</v>
      </c>
      <c r="BI132" s="59">
        <f ca="1">AVERAGE(OFFSET($BH$3,0,0,'Données projet'!$E$11+1,1))-AVERAGE(OFFSET($H$3,0,0,'Données projet'!$E$11+1,1))</f>
        <v>456.76871853389395</v>
      </c>
      <c r="BJ132" s="59">
        <f t="shared" si="92"/>
        <v>262.12425810289176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83.637282760059918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83.637282760059918</v>
      </c>
      <c r="BT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255.00000000000006</v>
      </c>
      <c r="BZ132" s="13">
        <f>BY132*VLOOKUP('Données projet'!$B$12,Paramètres!$A$1:$I$89,3,0)*VLOOKUP('Données projet'!$B$12,Paramètres!$A$1:$I$89,5,0)</f>
        <v>186.96600000000004</v>
      </c>
      <c r="CA132" s="13">
        <f t="shared" si="93"/>
        <v>46.868551400324648</v>
      </c>
      <c r="CB132" s="20">
        <f t="shared" ref="CB132:CB153" si="118">(BZ132+CA132)*0.475*44/12</f>
        <v>407.26184368889881</v>
      </c>
      <c r="CC132" s="59">
        <f t="shared" ref="CC132:CC195" si="119">CB132+(BT132+BU132)*44/12</f>
        <v>697.91014371399706</v>
      </c>
      <c r="CD132" s="59">
        <f ca="1">AVERAGE(OFFSET($CC$3,0,0,'Données projet'!$E$12+1,1))-AVERAGE(OFFSET($H$3,0,0,'Données projet'!$E$12+1,1))</f>
        <v>242.65851607945316</v>
      </c>
      <c r="CE132" s="59">
        <f t="shared" si="94"/>
        <v>218.9349999985487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249.0000000000002</v>
      </c>
      <c r="CU132" s="17">
        <f>CT132*VLOOKUP('Données projet'!$B$13,Paramètres!$A$1:$I$89,3,0)*VLOOKUP('Données projet'!$B$13,Paramètres!$A$1:$I$89,5,0)</f>
        <v>217.52640000000019</v>
      </c>
      <c r="CV132" s="13">
        <f t="shared" si="95"/>
        <v>53.576907690651304</v>
      </c>
      <c r="CW132" s="20">
        <f t="shared" ref="CW132:CW153" si="121">(CU132+CV132)*0.475*44/12</f>
        <v>472.17159422788467</v>
      </c>
      <c r="CX132" s="59">
        <f t="shared" ref="CX132:CX195" si="122">CW132+(CO132+CP132)*44/12</f>
        <v>762.81989425298298</v>
      </c>
      <c r="CY132" s="59">
        <f ca="1">AVERAGE(OFFSET($CX$3,0,0,'Données projet'!$E$13+1,1))-AVERAGE(OFFSET($H$3,0,0,'Données projet'!$E$13+1,1))</f>
        <v>326.9460696675867</v>
      </c>
      <c r="CZ132" s="59">
        <f t="shared" si="96"/>
        <v>393.4020374592568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19.412740123389547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19.412740123389547</v>
      </c>
      <c r="DJ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349.00000000000017</v>
      </c>
      <c r="DP132" s="17">
        <f>DO132*VLOOKUP('Données projet'!$B$14,Paramètres!$A$1:$I$89,3,0)*VLOOKUP('Données projet'!$B$14,Paramètres!$A$1:$I$89,5,0)</f>
        <v>272.22000000000014</v>
      </c>
      <c r="DQ132" s="13">
        <f t="shared" si="97"/>
        <v>65.320184547527205</v>
      </c>
      <c r="DR132" s="20">
        <f t="shared" ref="DR132:DR153" si="124">(DP132+DQ132)*0.475*44/12</f>
        <v>587.88248808694345</v>
      </c>
      <c r="DS132" s="59">
        <f t="shared" ref="DS132:DS195" si="125">DR132+(DJ132+DK132)*44/12</f>
        <v>878.53078811204182</v>
      </c>
      <c r="DT132" s="59">
        <f ca="1">AVERAGE(OFFSET($DS$3,0,0,'Données projet'!$E$14+1,1))-AVERAGE(OFFSET($H$3,0,0,'Données projet'!$E$14+1,1))</f>
        <v>364.34528546733799</v>
      </c>
      <c r="DU132" s="59">
        <f t="shared" si="98"/>
        <v>346.5839763411152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26.941628264558016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26.941628264558016</v>
      </c>
      <c r="EE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213.98519999999999</v>
      </c>
      <c r="EL132" s="13">
        <f t="shared" si="99"/>
        <v>52.805497044008654</v>
      </c>
      <c r="EM132" s="20">
        <f t="shared" ref="EM132:EM153" si="127">(EK132+EL132)*0.475*44/12</f>
        <v>464.66046401831505</v>
      </c>
      <c r="EN132" s="59">
        <f t="shared" ref="EN132:EN195" si="128">EM132+(EE132+EF132)*44/12</f>
        <v>755.30876404341336</v>
      </c>
      <c r="EO132" s="59">
        <f ca="1">AVERAGE(OFFSET($EN$3,0,0,'Données projet'!$E$15+1,1))-AVERAGE(OFFSET($H$3,0,0,'Données projet'!$E$15+1,1))</f>
        <v>310.38232870602445</v>
      </c>
      <c r="EP132" s="59">
        <f t="shared" si="100"/>
        <v>303.45934457265537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16.986681765919798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16.986681765919798</v>
      </c>
      <c r="EZ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245.99999999999994</v>
      </c>
      <c r="FF132" s="17">
        <f>FE132*VLOOKUP('Données projet'!$B$16,Paramètres!$A$1:$I$89,3,0)*VLOOKUP('Données projet'!$B$16,Paramètres!$A$1:$I$89,5,0)</f>
        <v>234.09359999999998</v>
      </c>
      <c r="FG132" s="13">
        <f t="shared" si="101"/>
        <v>57.166902703920208</v>
      </c>
      <c r="FH132" s="20">
        <f t="shared" ref="FH132:FH153" si="130">(FF132+FG132)*0.475*44/12</f>
        <v>507.27870887599425</v>
      </c>
      <c r="FI132" s="59">
        <f t="shared" ref="FI132:FI195" si="131">FH132+(EZ132+FA132)*44/12</f>
        <v>797.92700890109256</v>
      </c>
      <c r="FJ132" s="59">
        <f ca="1">AVERAGE(OFFSET($FI$3,0,0,'Données projet'!$E$16+1,1))-AVERAGE(OFFSET($H$3,0,0,'Données projet'!$E$16+1,1))</f>
        <v>457.706832425622</v>
      </c>
      <c r="FK132" s="59">
        <f t="shared" si="102"/>
        <v>474.61768219844873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59.096584099646741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59.096584099646741</v>
      </c>
      <c r="FU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319</v>
      </c>
      <c r="GA132" s="17">
        <f>FZ132*VLOOKUP('Données projet'!$B$17,Paramètres!$A$1:$I$89,3,0)*VLOOKUP('Données projet'!$B$17,Paramètres!$A$1:$I$89,5,0)</f>
        <v>308.53680000000003</v>
      </c>
      <c r="GB132" s="13">
        <f t="shared" si="103"/>
        <v>72.963171684496103</v>
      </c>
      <c r="GC132" s="20">
        <f t="shared" ref="GC132:GC153" si="133">(GA132+GB132)*0.475*44/12</f>
        <v>664.4457840171641</v>
      </c>
      <c r="GD132" s="59">
        <f t="shared" ref="GD132:GD195" si="134">GC132+(FU132+FV132)*44/12</f>
        <v>955.09408404226247</v>
      </c>
      <c r="GE132" s="59">
        <f ca="1">AVERAGE(OFFSET($GD$3,0,0,'Données projet'!$E$17+1,1))-AVERAGE(OFFSET($H$3,0,0,'Données projet'!$E$17+1,1))</f>
        <v>428.11167311086814</v>
      </c>
      <c r="GF132" s="59">
        <f t="shared" si="104"/>
        <v>415.69449942923609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19.871212631830723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19.871212631830723</v>
      </c>
      <c r="GP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1.1368683772161603E-13</v>
      </c>
      <c r="GV132" s="17">
        <f>GU132*VLOOKUP('Données projet'!$B$18,Paramètres!$A$1:$I$89,3,0)*VLOOKUP('Données projet'!$B$18,Paramètres!$A$1:$I$89,5,0)</f>
        <v>6.5087988332379613E-14</v>
      </c>
      <c r="GW132" s="13">
        <f t="shared" si="105"/>
        <v>1.0279249680474958E-12</v>
      </c>
      <c r="GX132" s="20">
        <f t="shared" ref="GX132:GX153" si="136">(GV132+GW132)*0.475*44/12</f>
        <v>1.9036642323616162E-12</v>
      </c>
      <c r="GY132" s="59">
        <f t="shared" ref="GY132:GY195" si="137">GX132+(GP132+GQ132)*44/12</f>
        <v>290.64830002510018</v>
      </c>
      <c r="GZ132" s="59">
        <f ca="1">AVERAGE(OFFSET($GY$3,0,0,'Données projet'!$E$18+1,1))-AVERAGE(OFFSET($H$3,0,0,'Données projet'!$E$18+1,1))</f>
        <v>249.88816678272056</v>
      </c>
      <c r="HA132" s="59">
        <f t="shared" si="106"/>
        <v>432.10802787437319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11.691378180116661</v>
      </c>
      <c r="HH132" s="21">
        <f>EXP(-LN(2)/25)*HH131+(1-EXP(-LN(2)/25))/(LN(2)/25)*Calculateur!HC132*Calculateur!HE132*VLOOKUP('Données projet'!$B$18,Paramètres!$A$1:$I$89,3,0)*0.475*44/12</f>
        <v>1.3824356521129906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13.073813832229652</v>
      </c>
    </row>
    <row r="133" spans="1:218" x14ac:dyDescent="0.3">
      <c r="A133" s="10">
        <f t="shared" ref="A133:A152" si="139">A132+1</f>
        <v>130</v>
      </c>
      <c r="B133" s="71">
        <f>'Scénario référence'!$B$16*5+'Scénario référence'!$B$17*0+'Scénario référence'!$B$18*5</f>
        <v>1.4000000000000001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5.1333333333333337</v>
      </c>
      <c r="H133" s="65">
        <f t="shared" si="110"/>
        <v>236.13333333333335</v>
      </c>
      <c r="I133" s="6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319</v>
      </c>
      <c r="O133" s="13">
        <f>N133*VLOOKUP('Données projet'!$B$9,Paramètres!$A$1:$I$89,3,0)*VLOOKUP('Données projet'!$B$9,Paramètres!$A$1:$I$89,5,0)</f>
        <v>253.79640000000001</v>
      </c>
      <c r="P133" s="13">
        <f t="shared" ref="P133:P196" si="141">EXP(-1.0587+0.8836*LN(O133)+0.284)</f>
        <v>61.39816832228076</v>
      </c>
      <c r="Q133" s="20">
        <f t="shared" si="108"/>
        <v>548.96387316130563</v>
      </c>
      <c r="R133" s="59">
        <f t="shared" si="109"/>
        <v>839.65875251146667</v>
      </c>
      <c r="S133" s="59">
        <f ca="1">AVERAGE(OFFSET($R$3,0,0,'Données projet'!$E$9+1,1))-AVERAGE(OFFSET($H$3,0,0,'Données projet'!$E$9+1,1))</f>
        <v>360.06385535620069</v>
      </c>
      <c r="T133" s="59">
        <f t="shared" ref="T133:T196" si="142">$T$3</f>
        <v>350.82516032456408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19.751924375918374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19.751924375918374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277.77359999999993</v>
      </c>
      <c r="AK133" s="13">
        <f t="shared" ref="AK133:AK153" si="143">EXP(-1.0587+0.8836*LN(AJ133)+0.284)</f>
        <v>66.496288176842356</v>
      </c>
      <c r="AL133" s="20">
        <f t="shared" si="112"/>
        <v>599.60338857466706</v>
      </c>
      <c r="AM133" s="59">
        <f t="shared" si="113"/>
        <v>890.298267924828</v>
      </c>
      <c r="AN133" s="59">
        <f ca="1">AVERAGE(OFFSET($AM$3,0,0,'Données projet'!$E$10+1,1))-AVERAGE(OFFSET($H$3,0,0,'Données projet'!$E$10+1,1))</f>
        <v>448.65237942538027</v>
      </c>
      <c r="AO133" s="59">
        <f t="shared" ref="AO133:AO196" si="144">$AO$3</f>
        <v>283.56749129825107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74.37201449468003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74.37201449468003</v>
      </c>
      <c r="AY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403.99999999999989</v>
      </c>
      <c r="BE133" s="13">
        <f>BD133*VLOOKUP('Données projet'!$B$11,Paramètres!$A$1:$I$89,3,0)*VLOOKUP('Données projet'!$B$11,Paramètres!$A$1:$I$89,5,0)</f>
        <v>346.63199999999995</v>
      </c>
      <c r="BF133" s="13">
        <f t="shared" ref="BF133:BF153" si="145">EXP(-1.0587+0.8836*LN(BE133)+0.284)</f>
        <v>80.868615263336864</v>
      </c>
      <c r="BG133" s="20">
        <f t="shared" si="115"/>
        <v>744.56357158364483</v>
      </c>
      <c r="BH133" s="59">
        <f t="shared" si="116"/>
        <v>1035.2584509338058</v>
      </c>
      <c r="BI133" s="59">
        <f ca="1">AVERAGE(OFFSET($BH$3,0,0,'Données projet'!$E$11+1,1))-AVERAGE(OFFSET($H$3,0,0,'Données projet'!$E$11+1,1))</f>
        <v>456.76871853389395</v>
      </c>
      <c r="BJ133" s="59">
        <f t="shared" ref="BJ133:BJ196" si="146">$BJ$3</f>
        <v>262.12425810289176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81.99720665884044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81.99720665884044</v>
      </c>
      <c r="BT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255.00000000000006</v>
      </c>
      <c r="BZ133" s="13">
        <f>BY133*VLOOKUP('Données projet'!$B$12,Paramètres!$A$1:$I$89,3,0)*VLOOKUP('Données projet'!$B$12,Paramètres!$A$1:$I$89,5,0)</f>
        <v>186.96600000000004</v>
      </c>
      <c r="CA133" s="13">
        <f t="shared" ref="CA133:CA153" si="147">EXP(-1.0587+0.8836*LN(BZ133)+0.284)</f>
        <v>46.868551400324648</v>
      </c>
      <c r="CB133" s="20">
        <f t="shared" si="118"/>
        <v>407.26184368889881</v>
      </c>
      <c r="CC133" s="59">
        <f t="shared" si="119"/>
        <v>697.95672303905985</v>
      </c>
      <c r="CD133" s="59">
        <f ca="1">AVERAGE(OFFSET($CC$3,0,0,'Données projet'!$E$12+1,1))-AVERAGE(OFFSET($H$3,0,0,'Données projet'!$E$12+1,1))</f>
        <v>242.65851607945316</v>
      </c>
      <c r="CE133" s="59">
        <f t="shared" ref="CE133:CE196" si="148">$CE$3</f>
        <v>218.9349999985487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249.0000000000002</v>
      </c>
      <c r="CU133" s="17">
        <f>CT133*VLOOKUP('Données projet'!$B$13,Paramètres!$A$1:$I$89,3,0)*VLOOKUP('Données projet'!$B$13,Paramètres!$A$1:$I$89,5,0)</f>
        <v>217.52640000000019</v>
      </c>
      <c r="CV133" s="13">
        <f t="shared" ref="CV133:CV153" si="149">EXP(-1.0587+0.8836*LN(CU133)+0.284)</f>
        <v>53.576907690651304</v>
      </c>
      <c r="CW133" s="20">
        <f t="shared" si="121"/>
        <v>472.17159422788467</v>
      </c>
      <c r="CX133" s="59">
        <f t="shared" si="122"/>
        <v>762.86647357804566</v>
      </c>
      <c r="CY133" s="59">
        <f ca="1">AVERAGE(OFFSET($CX$3,0,0,'Données projet'!$E$13+1,1))-AVERAGE(OFFSET($H$3,0,0,'Données projet'!$E$13+1,1))</f>
        <v>326.9460696675867</v>
      </c>
      <c r="CZ133" s="59">
        <f t="shared" ref="CZ133:CZ196" si="150">$CZ$3</f>
        <v>393.4020374592568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19.032068130172192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19.032068130172192</v>
      </c>
      <c r="DJ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349.00000000000017</v>
      </c>
      <c r="DP133" s="17">
        <f>DO133*VLOOKUP('Données projet'!$B$14,Paramètres!$A$1:$I$89,3,0)*VLOOKUP('Données projet'!$B$14,Paramètres!$A$1:$I$89,5,0)</f>
        <v>272.22000000000014</v>
      </c>
      <c r="DQ133" s="13">
        <f t="shared" ref="DQ133:DQ153" si="151">EXP(-1.0587+0.8836*LN(DP133)+0.284)</f>
        <v>65.320184547527205</v>
      </c>
      <c r="DR133" s="20">
        <f t="shared" si="124"/>
        <v>587.88248808694345</v>
      </c>
      <c r="DS133" s="59">
        <f t="shared" si="125"/>
        <v>878.57736743710439</v>
      </c>
      <c r="DT133" s="59">
        <f ca="1">AVERAGE(OFFSET($DS$3,0,0,'Données projet'!$E$14+1,1))-AVERAGE(OFFSET($H$3,0,0,'Données projet'!$E$14+1,1))</f>
        <v>364.34528546733799</v>
      </c>
      <c r="DU133" s="59">
        <f t="shared" ref="DU133:DU196" si="152">$DU$3</f>
        <v>346.5839763411152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26.413319367060673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26.413319367060673</v>
      </c>
      <c r="EE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213.98519999999999</v>
      </c>
      <c r="EL133" s="13">
        <f t="shared" ref="EL133:EL153" si="153">EXP(-1.0587+0.8836*LN(EK133)+0.284)</f>
        <v>52.805497044008654</v>
      </c>
      <c r="EM133" s="20">
        <f t="shared" si="127"/>
        <v>464.66046401831505</v>
      </c>
      <c r="EN133" s="59">
        <f t="shared" si="128"/>
        <v>755.35534336847604</v>
      </c>
      <c r="EO133" s="59">
        <f ca="1">AVERAGE(OFFSET($EN$3,0,0,'Données projet'!$E$15+1,1))-AVERAGE(OFFSET($H$3,0,0,'Données projet'!$E$15+1,1))</f>
        <v>310.38232870602445</v>
      </c>
      <c r="EP133" s="59">
        <f t="shared" ref="EP133:EP196" si="154">$EP$3</f>
        <v>303.45934457265537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16.653583297342937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16.653583297342937</v>
      </c>
      <c r="EZ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245.99999999999994</v>
      </c>
      <c r="FF133" s="17">
        <f>FE133*VLOOKUP('Données projet'!$B$16,Paramètres!$A$1:$I$89,3,0)*VLOOKUP('Données projet'!$B$16,Paramètres!$A$1:$I$89,5,0)</f>
        <v>234.09359999999998</v>
      </c>
      <c r="FG133" s="13">
        <f t="shared" ref="FG133:FG153" si="155">EXP(-1.0587+0.8836*LN(FF133)+0.284)</f>
        <v>57.166902703920208</v>
      </c>
      <c r="FH133" s="20">
        <f t="shared" si="130"/>
        <v>507.27870887599425</v>
      </c>
      <c r="FI133" s="59">
        <f t="shared" si="131"/>
        <v>797.97358822615524</v>
      </c>
      <c r="FJ133" s="59">
        <f ca="1">AVERAGE(OFFSET($FI$3,0,0,'Données projet'!$E$16+1,1))-AVERAGE(OFFSET($H$3,0,0,'Données projet'!$E$16+1,1))</f>
        <v>457.706832425622</v>
      </c>
      <c r="FK133" s="59">
        <f t="shared" ref="FK133:FK196" si="156">$FK$3</f>
        <v>474.61768219844873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57.937736130809789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57.937736130809789</v>
      </c>
      <c r="FU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319</v>
      </c>
      <c r="GA133" s="17">
        <f>FZ133*VLOOKUP('Données projet'!$B$17,Paramètres!$A$1:$I$89,3,0)*VLOOKUP('Données projet'!$B$17,Paramètres!$A$1:$I$89,5,0)</f>
        <v>308.53680000000003</v>
      </c>
      <c r="GB133" s="13">
        <f t="shared" ref="GB133:GB153" si="157">EXP(-1.0587+0.8836*LN(GA133)+0.284)</f>
        <v>72.963171684496103</v>
      </c>
      <c r="GC133" s="20">
        <f t="shared" si="133"/>
        <v>664.4457840171641</v>
      </c>
      <c r="GD133" s="59">
        <f t="shared" si="134"/>
        <v>955.14066336732503</v>
      </c>
      <c r="GE133" s="59">
        <f ca="1">AVERAGE(OFFSET($GD$3,0,0,'Données projet'!$E$17+1,1))-AVERAGE(OFFSET($H$3,0,0,'Données projet'!$E$17+1,1))</f>
        <v>428.11167311086814</v>
      </c>
      <c r="GF133" s="59">
        <f t="shared" ref="GF133:GF196" si="158">$GF$3</f>
        <v>415.69449942923609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19.481550272363453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19.481550272363453</v>
      </c>
      <c r="GP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1.1368683772161603E-13</v>
      </c>
      <c r="GV133" s="17">
        <f>GU133*VLOOKUP('Données projet'!$B$18,Paramètres!$A$1:$I$89,3,0)*VLOOKUP('Données projet'!$B$18,Paramètres!$A$1:$I$89,5,0)</f>
        <v>6.5087988332379613E-14</v>
      </c>
      <c r="GW133" s="13">
        <f t="shared" ref="GW133:GW153" si="159">EXP(-1.0587+0.8836*LN(GV133)+0.284)</f>
        <v>1.0279249680474958E-12</v>
      </c>
      <c r="GX133" s="20">
        <f t="shared" si="136"/>
        <v>1.9036642323616162E-12</v>
      </c>
      <c r="GY133" s="59">
        <f t="shared" si="137"/>
        <v>290.69487935016286</v>
      </c>
      <c r="GZ133" s="59">
        <f ca="1">AVERAGE(OFFSET($GY$3,0,0,'Données projet'!$E$18+1,1))-AVERAGE(OFFSET($H$3,0,0,'Données projet'!$E$18+1,1))</f>
        <v>249.88816678272056</v>
      </c>
      <c r="HA133" s="59">
        <f t="shared" ref="HA133:HA196" si="160">$HA$3</f>
        <v>432.10802787437319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11.462117385041132</v>
      </c>
      <c r="HH133" s="21">
        <f>EXP(-LN(2)/25)*HH132+(1-EXP(-LN(2)/25))/(LN(2)/25)*Calculateur!HC133*Calculateur!HE133*VLOOKUP('Données projet'!$B$18,Paramètres!$A$1:$I$89,3,0)*0.475*44/12</f>
        <v>1.3446328765068296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12.806750261547961</v>
      </c>
    </row>
    <row r="134" spans="1:218" x14ac:dyDescent="0.3">
      <c r="A134" s="10">
        <f t="shared" si="139"/>
        <v>131</v>
      </c>
      <c r="B134" s="71">
        <f>'Scénario référence'!$B$16*5+'Scénario référence'!$B$17*0+'Scénario référence'!$B$18*5</f>
        <v>1.4000000000000001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5.1333333333333337</v>
      </c>
      <c r="H134" s="65">
        <f t="shared" si="110"/>
        <v>236.13333333333335</v>
      </c>
      <c r="I134" s="6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319</v>
      </c>
      <c r="O134" s="13">
        <f>N134*VLOOKUP('Données projet'!$B$9,Paramètres!$A$1:$I$89,3,0)*VLOOKUP('Données projet'!$B$9,Paramètres!$A$1:$I$89,5,0)</f>
        <v>253.79640000000001</v>
      </c>
      <c r="P134" s="13">
        <f t="shared" si="141"/>
        <v>61.39816832228076</v>
      </c>
      <c r="Q134" s="20">
        <f t="shared" si="108"/>
        <v>548.96387316130563</v>
      </c>
      <c r="R134" s="59">
        <f t="shared" si="109"/>
        <v>839.70452378937512</v>
      </c>
      <c r="S134" s="59">
        <f ca="1">AVERAGE(OFFSET($R$3,0,0,'Données projet'!$E$9+1,1))-AVERAGE(OFFSET($H$3,0,0,'Données projet'!$E$9+1,1))</f>
        <v>360.06385535620069</v>
      </c>
      <c r="T134" s="59">
        <f t="shared" si="142"/>
        <v>350.82516032456408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19.364601186390892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19.364601186390892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277.77359999999993</v>
      </c>
      <c r="AK134" s="13">
        <f t="shared" si="143"/>
        <v>66.496288176842356</v>
      </c>
      <c r="AL134" s="20">
        <f t="shared" si="112"/>
        <v>599.60338857466706</v>
      </c>
      <c r="AM134" s="59">
        <f t="shared" si="113"/>
        <v>890.34403920273667</v>
      </c>
      <c r="AN134" s="59">
        <f ca="1">AVERAGE(OFFSET($AM$3,0,0,'Données projet'!$E$10+1,1))-AVERAGE(OFFSET($H$3,0,0,'Données projet'!$E$10+1,1))</f>
        <v>448.65237942538027</v>
      </c>
      <c r="AO134" s="59">
        <f t="shared" si="144"/>
        <v>283.56749129825107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72.913624652889027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72.913624652889027</v>
      </c>
      <c r="AY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403.99999999999989</v>
      </c>
      <c r="BE134" s="13">
        <f>BD134*VLOOKUP('Données projet'!$B$11,Paramètres!$A$1:$I$89,3,0)*VLOOKUP('Données projet'!$B$11,Paramètres!$A$1:$I$89,5,0)</f>
        <v>346.63199999999995</v>
      </c>
      <c r="BF134" s="13">
        <f t="shared" si="145"/>
        <v>80.868615263336864</v>
      </c>
      <c r="BG134" s="20">
        <f t="shared" si="115"/>
        <v>744.56357158364483</v>
      </c>
      <c r="BH134" s="59">
        <f t="shared" si="116"/>
        <v>1035.3042222117144</v>
      </c>
      <c r="BI134" s="59">
        <f ca="1">AVERAGE(OFFSET($BH$3,0,0,'Données projet'!$E$11+1,1))-AVERAGE(OFFSET($H$3,0,0,'Données projet'!$E$11+1,1))</f>
        <v>456.76871853389395</v>
      </c>
      <c r="BJ134" s="59">
        <f t="shared" si="146"/>
        <v>262.12425810289176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80.389291449618227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80.389291449618227</v>
      </c>
      <c r="BT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255.00000000000006</v>
      </c>
      <c r="BZ134" s="13">
        <f>BY134*VLOOKUP('Données projet'!$B$12,Paramètres!$A$1:$I$89,3,0)*VLOOKUP('Données projet'!$B$12,Paramètres!$A$1:$I$89,5,0)</f>
        <v>186.96600000000004</v>
      </c>
      <c r="CA134" s="13">
        <f t="shared" si="147"/>
        <v>46.868551400324648</v>
      </c>
      <c r="CB134" s="20">
        <f t="shared" si="118"/>
        <v>407.26184368889881</v>
      </c>
      <c r="CC134" s="59">
        <f t="shared" si="119"/>
        <v>698.0024943169683</v>
      </c>
      <c r="CD134" s="59">
        <f ca="1">AVERAGE(OFFSET($CC$3,0,0,'Données projet'!$E$12+1,1))-AVERAGE(OFFSET($H$3,0,0,'Données projet'!$E$12+1,1))</f>
        <v>242.65851607945316</v>
      </c>
      <c r="CE134" s="59">
        <f t="shared" si="148"/>
        <v>218.9349999985487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249.0000000000002</v>
      </c>
      <c r="CU134" s="17">
        <f>CT134*VLOOKUP('Données projet'!$B$13,Paramètres!$A$1:$I$89,3,0)*VLOOKUP('Données projet'!$B$13,Paramètres!$A$1:$I$89,5,0)</f>
        <v>217.52640000000019</v>
      </c>
      <c r="CV134" s="13">
        <f t="shared" si="149"/>
        <v>53.576907690651304</v>
      </c>
      <c r="CW134" s="20">
        <f t="shared" si="121"/>
        <v>472.17159422788467</v>
      </c>
      <c r="CX134" s="59">
        <f t="shared" si="122"/>
        <v>762.91224485595421</v>
      </c>
      <c r="CY134" s="59">
        <f ca="1">AVERAGE(OFFSET($CX$3,0,0,'Données projet'!$E$13+1,1))-AVERAGE(OFFSET($H$3,0,0,'Données projet'!$E$13+1,1))</f>
        <v>326.9460696675867</v>
      </c>
      <c r="CZ134" s="59">
        <f t="shared" si="150"/>
        <v>393.4020374592568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18.658860882554841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18.658860882554841</v>
      </c>
      <c r="DJ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349.00000000000017</v>
      </c>
      <c r="DP134" s="17">
        <f>DO134*VLOOKUP('Données projet'!$B$14,Paramètres!$A$1:$I$89,3,0)*VLOOKUP('Données projet'!$B$14,Paramètres!$A$1:$I$89,5,0)</f>
        <v>272.22000000000014</v>
      </c>
      <c r="DQ134" s="13">
        <f t="shared" si="151"/>
        <v>65.320184547527205</v>
      </c>
      <c r="DR134" s="20">
        <f t="shared" si="124"/>
        <v>587.88248808694345</v>
      </c>
      <c r="DS134" s="59">
        <f t="shared" si="125"/>
        <v>878.62313871501306</v>
      </c>
      <c r="DT134" s="59">
        <f ca="1">AVERAGE(OFFSET($DS$3,0,0,'Données projet'!$E$14+1,1))-AVERAGE(OFFSET($H$3,0,0,'Données projet'!$E$14+1,1))</f>
        <v>364.34528546733799</v>
      </c>
      <c r="DU134" s="59">
        <f t="shared" si="152"/>
        <v>346.5839763411152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25.895370284806646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25.895370284806646</v>
      </c>
      <c r="EE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213.98519999999999</v>
      </c>
      <c r="EL134" s="13">
        <f t="shared" si="153"/>
        <v>52.805497044008654</v>
      </c>
      <c r="EM134" s="20">
        <f t="shared" si="127"/>
        <v>464.66046401831505</v>
      </c>
      <c r="EN134" s="59">
        <f t="shared" si="128"/>
        <v>755.4011146463846</v>
      </c>
      <c r="EO134" s="59">
        <f ca="1">AVERAGE(OFFSET($EN$3,0,0,'Données projet'!$E$15+1,1))-AVERAGE(OFFSET($H$3,0,0,'Données projet'!$E$15+1,1))</f>
        <v>310.38232870602445</v>
      </c>
      <c r="EP134" s="59">
        <f t="shared" si="154"/>
        <v>303.45934457265537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16.327016686564864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16.327016686564864</v>
      </c>
      <c r="EZ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245.99999999999994</v>
      </c>
      <c r="FF134" s="17">
        <f>FE134*VLOOKUP('Données projet'!$B$16,Paramètres!$A$1:$I$89,3,0)*VLOOKUP('Données projet'!$B$16,Paramètres!$A$1:$I$89,5,0)</f>
        <v>234.09359999999998</v>
      </c>
      <c r="FG134" s="13">
        <f t="shared" si="155"/>
        <v>57.166902703920208</v>
      </c>
      <c r="FH134" s="20">
        <f t="shared" si="130"/>
        <v>507.27870887599425</v>
      </c>
      <c r="FI134" s="59">
        <f t="shared" si="131"/>
        <v>798.0193595040638</v>
      </c>
      <c r="FJ134" s="59">
        <f ca="1">AVERAGE(OFFSET($FI$3,0,0,'Données projet'!$E$16+1,1))-AVERAGE(OFFSET($H$3,0,0,'Données projet'!$E$16+1,1))</f>
        <v>457.706832425622</v>
      </c>
      <c r="FK134" s="59">
        <f t="shared" si="156"/>
        <v>474.61768219844873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56.801612463814259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56.801612463814259</v>
      </c>
      <c r="FU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319</v>
      </c>
      <c r="GA134" s="17">
        <f>FZ134*VLOOKUP('Données projet'!$B$17,Paramètres!$A$1:$I$89,3,0)*VLOOKUP('Données projet'!$B$17,Paramètres!$A$1:$I$89,5,0)</f>
        <v>308.53680000000003</v>
      </c>
      <c r="GB134" s="13">
        <f t="shared" si="157"/>
        <v>72.963171684496103</v>
      </c>
      <c r="GC134" s="20">
        <f t="shared" si="133"/>
        <v>664.4457840171641</v>
      </c>
      <c r="GD134" s="59">
        <f t="shared" si="134"/>
        <v>955.1864346452337</v>
      </c>
      <c r="GE134" s="59">
        <f ca="1">AVERAGE(OFFSET($GD$3,0,0,'Données projet'!$E$17+1,1))-AVERAGE(OFFSET($H$3,0,0,'Données projet'!$E$17+1,1))</f>
        <v>428.11167311086814</v>
      </c>
      <c r="GF134" s="59">
        <f t="shared" si="158"/>
        <v>415.69449942923609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19.099528954094765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19.099528954094765</v>
      </c>
      <c r="GP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1.1368683772161603E-13</v>
      </c>
      <c r="GV134" s="17">
        <f>GU134*VLOOKUP('Données projet'!$B$18,Paramètres!$A$1:$I$89,3,0)*VLOOKUP('Données projet'!$B$18,Paramètres!$A$1:$I$89,5,0)</f>
        <v>6.5087988332379613E-14</v>
      </c>
      <c r="GW134" s="13">
        <f t="shared" si="159"/>
        <v>1.0279249680474958E-12</v>
      </c>
      <c r="GX134" s="20">
        <f t="shared" si="136"/>
        <v>1.9036642323616162E-12</v>
      </c>
      <c r="GY134" s="59">
        <f t="shared" si="137"/>
        <v>290.74065062807142</v>
      </c>
      <c r="GZ134" s="59">
        <f ca="1">AVERAGE(OFFSET($GY$3,0,0,'Données projet'!$E$18+1,1))-AVERAGE(OFFSET($H$3,0,0,'Données projet'!$E$18+1,1))</f>
        <v>249.88816678272056</v>
      </c>
      <c r="HA134" s="59">
        <f t="shared" si="160"/>
        <v>432.10802787437319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11.237352254321756</v>
      </c>
      <c r="HH134" s="21">
        <f>EXP(-LN(2)/25)*HH133+(1-EXP(-LN(2)/25))/(LN(2)/25)*Calculateur!HC134*Calculateur!HE134*VLOOKUP('Données projet'!$B$18,Paramètres!$A$1:$I$89,3,0)*0.475*44/12</f>
        <v>1.3078638197875805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12.545216074109337</v>
      </c>
    </row>
    <row r="135" spans="1:218" x14ac:dyDescent="0.3">
      <c r="A135" s="10">
        <f t="shared" si="139"/>
        <v>132</v>
      </c>
      <c r="B135" s="71">
        <f>'Scénario référence'!$B$16*5+'Scénario référence'!$B$17*0+'Scénario référence'!$B$18*5</f>
        <v>1.4000000000000001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5.1333333333333337</v>
      </c>
      <c r="H135" s="65">
        <f t="shared" si="110"/>
        <v>236.13333333333335</v>
      </c>
      <c r="I135" s="6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319</v>
      </c>
      <c r="O135" s="13">
        <f>N135*VLOOKUP('Données projet'!$B$9,Paramètres!$A$1:$I$89,3,0)*VLOOKUP('Données projet'!$B$9,Paramètres!$A$1:$I$89,5,0)</f>
        <v>253.79640000000001</v>
      </c>
      <c r="P135" s="13">
        <f t="shared" si="141"/>
        <v>61.39816832228076</v>
      </c>
      <c r="Q135" s="20">
        <f t="shared" si="108"/>
        <v>548.96387316130563</v>
      </c>
      <c r="R135" s="59">
        <f t="shared" si="109"/>
        <v>839.7495010379414</v>
      </c>
      <c r="S135" s="59">
        <f ca="1">AVERAGE(OFFSET($R$3,0,0,'Données projet'!$E$9+1,1))-AVERAGE(OFFSET($H$3,0,0,'Données projet'!$E$9+1,1))</f>
        <v>360.06385535620069</v>
      </c>
      <c r="T135" s="59">
        <f t="shared" si="142"/>
        <v>350.82516032456408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18.984873168366228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18.984873168366228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277.77359999999993</v>
      </c>
      <c r="AK135" s="13">
        <f t="shared" si="143"/>
        <v>66.496288176842356</v>
      </c>
      <c r="AL135" s="20">
        <f t="shared" si="112"/>
        <v>599.60338857466706</v>
      </c>
      <c r="AM135" s="59">
        <f t="shared" si="113"/>
        <v>890.38901645130284</v>
      </c>
      <c r="AN135" s="59">
        <f ca="1">AVERAGE(OFFSET($AM$3,0,0,'Données projet'!$E$10+1,1))-AVERAGE(OFFSET($H$3,0,0,'Données projet'!$E$10+1,1))</f>
        <v>448.65237942538027</v>
      </c>
      <c r="AO135" s="59">
        <f t="shared" si="144"/>
        <v>283.56749129825107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71.483832946365581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71.483832946365581</v>
      </c>
      <c r="AY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403.99999999999989</v>
      </c>
      <c r="BE135" s="13">
        <f>BD135*VLOOKUP('Données projet'!$B$11,Paramètres!$A$1:$I$89,3,0)*VLOOKUP('Données projet'!$B$11,Paramètres!$A$1:$I$89,5,0)</f>
        <v>346.63199999999995</v>
      </c>
      <c r="BF135" s="13">
        <f t="shared" si="145"/>
        <v>80.868615263336864</v>
      </c>
      <c r="BG135" s="20">
        <f t="shared" si="115"/>
        <v>744.56357158364483</v>
      </c>
      <c r="BH135" s="59">
        <f t="shared" si="116"/>
        <v>1035.3491994602805</v>
      </c>
      <c r="BI135" s="59">
        <f ca="1">AVERAGE(OFFSET($BH$3,0,0,'Données projet'!$E$11+1,1))-AVERAGE(OFFSET($H$3,0,0,'Données projet'!$E$11+1,1))</f>
        <v>456.76871853389395</v>
      </c>
      <c r="BJ135" s="59">
        <f t="shared" si="146"/>
        <v>262.12425810289176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78.812906476917433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78.812906476917433</v>
      </c>
      <c r="BT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255.00000000000006</v>
      </c>
      <c r="BZ135" s="13">
        <f>BY135*VLOOKUP('Données projet'!$B$12,Paramètres!$A$1:$I$89,3,0)*VLOOKUP('Données projet'!$B$12,Paramètres!$A$1:$I$89,5,0)</f>
        <v>186.96600000000004</v>
      </c>
      <c r="CA135" s="13">
        <f t="shared" si="147"/>
        <v>46.868551400324648</v>
      </c>
      <c r="CB135" s="20">
        <f t="shared" si="118"/>
        <v>407.26184368889881</v>
      </c>
      <c r="CC135" s="59">
        <f t="shared" si="119"/>
        <v>698.04747156553458</v>
      </c>
      <c r="CD135" s="59">
        <f ca="1">AVERAGE(OFFSET($CC$3,0,0,'Données projet'!$E$12+1,1))-AVERAGE(OFFSET($H$3,0,0,'Données projet'!$E$12+1,1))</f>
        <v>242.65851607945316</v>
      </c>
      <c r="CE135" s="59">
        <f t="shared" si="148"/>
        <v>218.9349999985487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249.0000000000002</v>
      </c>
      <c r="CU135" s="17">
        <f>CT135*VLOOKUP('Données projet'!$B$13,Paramètres!$A$1:$I$89,3,0)*VLOOKUP('Données projet'!$B$13,Paramètres!$A$1:$I$89,5,0)</f>
        <v>217.52640000000019</v>
      </c>
      <c r="CV135" s="13">
        <f t="shared" si="149"/>
        <v>53.576907690651304</v>
      </c>
      <c r="CW135" s="20">
        <f t="shared" si="121"/>
        <v>472.17159422788467</v>
      </c>
      <c r="CX135" s="59">
        <f t="shared" si="122"/>
        <v>762.9572221045205</v>
      </c>
      <c r="CY135" s="59">
        <f ca="1">AVERAGE(OFFSET($CX$3,0,0,'Données projet'!$E$13+1,1))-AVERAGE(OFFSET($H$3,0,0,'Données projet'!$E$13+1,1))</f>
        <v>326.9460696675867</v>
      </c>
      <c r="CZ135" s="59">
        <f t="shared" si="150"/>
        <v>393.4020374592568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18.29297200142932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18.29297200142932</v>
      </c>
      <c r="DJ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349.00000000000017</v>
      </c>
      <c r="DP135" s="17">
        <f>DO135*VLOOKUP('Données projet'!$B$14,Paramètres!$A$1:$I$89,3,0)*VLOOKUP('Données projet'!$B$14,Paramètres!$A$1:$I$89,5,0)</f>
        <v>272.22000000000014</v>
      </c>
      <c r="DQ135" s="13">
        <f t="shared" si="151"/>
        <v>65.320184547527205</v>
      </c>
      <c r="DR135" s="20">
        <f t="shared" si="124"/>
        <v>587.88248808694345</v>
      </c>
      <c r="DS135" s="59">
        <f t="shared" si="125"/>
        <v>878.66811596357923</v>
      </c>
      <c r="DT135" s="59">
        <f ca="1">AVERAGE(OFFSET($DS$3,0,0,'Données projet'!$E$14+1,1))-AVERAGE(OFFSET($H$3,0,0,'Données projet'!$E$14+1,1))</f>
        <v>364.34528546733799</v>
      </c>
      <c r="DU135" s="59">
        <f t="shared" si="152"/>
        <v>346.5839763411152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25.387577868137871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25.387577868137871</v>
      </c>
      <c r="EE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213.98519999999999</v>
      </c>
      <c r="EL135" s="13">
        <f t="shared" si="153"/>
        <v>52.805497044008654</v>
      </c>
      <c r="EM135" s="20">
        <f t="shared" si="127"/>
        <v>464.66046401831505</v>
      </c>
      <c r="EN135" s="59">
        <f t="shared" si="128"/>
        <v>755.44609189495077</v>
      </c>
      <c r="EO135" s="59">
        <f ca="1">AVERAGE(OFFSET($EN$3,0,0,'Données projet'!$E$15+1,1))-AVERAGE(OFFSET($H$3,0,0,'Données projet'!$E$15+1,1))</f>
        <v>310.38232870602445</v>
      </c>
      <c r="EP135" s="59">
        <f t="shared" si="154"/>
        <v>303.45934457265537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16.006853847838187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16.006853847838187</v>
      </c>
      <c r="EZ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245.99999999999994</v>
      </c>
      <c r="FF135" s="17">
        <f>FE135*VLOOKUP('Données projet'!$B$16,Paramètres!$A$1:$I$89,3,0)*VLOOKUP('Données projet'!$B$16,Paramètres!$A$1:$I$89,5,0)</f>
        <v>234.09359999999998</v>
      </c>
      <c r="FG135" s="13">
        <f t="shared" si="155"/>
        <v>57.166902703920208</v>
      </c>
      <c r="FH135" s="20">
        <f t="shared" si="130"/>
        <v>507.27870887599425</v>
      </c>
      <c r="FI135" s="59">
        <f t="shared" si="131"/>
        <v>798.06433675262997</v>
      </c>
      <c r="FJ135" s="59">
        <f ca="1">AVERAGE(OFFSET($FI$3,0,0,'Données projet'!$E$16+1,1))-AVERAGE(OFFSET($H$3,0,0,'Données projet'!$E$16+1,1))</f>
        <v>457.706832425622</v>
      </c>
      <c r="FK135" s="59">
        <f t="shared" si="156"/>
        <v>474.61768219844873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55.687767488961498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55.687767488961498</v>
      </c>
      <c r="FU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319</v>
      </c>
      <c r="GA135" s="17">
        <f>FZ135*VLOOKUP('Données projet'!$B$17,Paramètres!$A$1:$I$89,3,0)*VLOOKUP('Données projet'!$B$17,Paramètres!$A$1:$I$89,5,0)</f>
        <v>308.53680000000003</v>
      </c>
      <c r="GB135" s="13">
        <f t="shared" si="157"/>
        <v>72.963171684496103</v>
      </c>
      <c r="GC135" s="20">
        <f t="shared" si="133"/>
        <v>664.4457840171641</v>
      </c>
      <c r="GD135" s="59">
        <f t="shared" si="134"/>
        <v>955.23141189379987</v>
      </c>
      <c r="GE135" s="59">
        <f ca="1">AVERAGE(OFFSET($GD$3,0,0,'Données projet'!$E$17+1,1))-AVERAGE(OFFSET($H$3,0,0,'Données projet'!$E$17+1,1))</f>
        <v>428.11167311086814</v>
      </c>
      <c r="GF135" s="59">
        <f t="shared" si="158"/>
        <v>415.69449942923609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18.724998840867329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18.724998840867329</v>
      </c>
      <c r="GP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1.1368683772161603E-13</v>
      </c>
      <c r="GV135" s="17">
        <f>GU135*VLOOKUP('Données projet'!$B$18,Paramètres!$A$1:$I$89,3,0)*VLOOKUP('Données projet'!$B$18,Paramètres!$A$1:$I$89,5,0)</f>
        <v>6.5087988332379613E-14</v>
      </c>
      <c r="GW135" s="13">
        <f t="shared" si="159"/>
        <v>1.0279249680474958E-12</v>
      </c>
      <c r="GX135" s="20">
        <f t="shared" si="136"/>
        <v>1.9036642323616162E-12</v>
      </c>
      <c r="GY135" s="59">
        <f t="shared" si="137"/>
        <v>290.78562787663765</v>
      </c>
      <c r="GZ135" s="59">
        <f ca="1">AVERAGE(OFFSET($GY$3,0,0,'Données projet'!$E$18+1,1))-AVERAGE(OFFSET($H$3,0,0,'Données projet'!$E$18+1,1))</f>
        <v>249.88816678272056</v>
      </c>
      <c r="HA135" s="59">
        <f t="shared" si="160"/>
        <v>432.10802787437319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11.016994630722595</v>
      </c>
      <c r="HH135" s="21">
        <f>EXP(-LN(2)/25)*HH134+(1-EXP(-LN(2)/25))/(LN(2)/25)*Calculateur!HC135*Calculateur!HE135*VLOOKUP('Données projet'!$B$18,Paramètres!$A$1:$I$89,3,0)*0.475*44/12</f>
        <v>1.2721002148579199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12.289094845580514</v>
      </c>
    </row>
    <row r="136" spans="1:218" x14ac:dyDescent="0.3">
      <c r="A136" s="10">
        <f t="shared" si="139"/>
        <v>133</v>
      </c>
      <c r="B136" s="71">
        <f>'Scénario référence'!$B$16*5+'Scénario référence'!$B$17*0+'Scénario référence'!$B$18*5</f>
        <v>1.4000000000000001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5.1333333333333337</v>
      </c>
      <c r="H136" s="65">
        <f t="shared" si="110"/>
        <v>236.13333333333335</v>
      </c>
      <c r="I136" s="6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319</v>
      </c>
      <c r="O136" s="13">
        <f>N136*VLOOKUP('Données projet'!$B$9,Paramètres!$A$1:$I$89,3,0)*VLOOKUP('Données projet'!$B$9,Paramètres!$A$1:$I$89,5,0)</f>
        <v>253.79640000000001</v>
      </c>
      <c r="P136" s="13">
        <f t="shared" si="141"/>
        <v>61.39816832228076</v>
      </c>
      <c r="Q136" s="20">
        <f t="shared" si="108"/>
        <v>548.96387316130563</v>
      </c>
      <c r="R136" s="59">
        <f t="shared" si="109"/>
        <v>839.79369803179907</v>
      </c>
      <c r="S136" s="59">
        <f ca="1">AVERAGE(OFFSET($R$3,0,0,'Données projet'!$E$9+1,1))-AVERAGE(OFFSET($H$3,0,0,'Données projet'!$E$9+1,1))</f>
        <v>360.06385535620069</v>
      </c>
      <c r="T136" s="59">
        <f t="shared" si="142"/>
        <v>350.82516032456408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18.612591385163807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18.612591385163807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277.77359999999993</v>
      </c>
      <c r="AK136" s="13">
        <f t="shared" si="143"/>
        <v>66.496288176842356</v>
      </c>
      <c r="AL136" s="20">
        <f t="shared" si="112"/>
        <v>599.60338857466706</v>
      </c>
      <c r="AM136" s="59">
        <f t="shared" si="113"/>
        <v>890.43321344516039</v>
      </c>
      <c r="AN136" s="59">
        <f ca="1">AVERAGE(OFFSET($AM$3,0,0,'Données projet'!$E$10+1,1))-AVERAGE(OFFSET($H$3,0,0,'Données projet'!$E$10+1,1))</f>
        <v>448.65237942538027</v>
      </c>
      <c r="AO136" s="59">
        <f t="shared" si="144"/>
        <v>283.56749129825107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70.082078583120222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70.082078583120222</v>
      </c>
      <c r="AY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403.99999999999989</v>
      </c>
      <c r="BE136" s="13">
        <f>BD136*VLOOKUP('Données projet'!$B$11,Paramètres!$A$1:$I$89,3,0)*VLOOKUP('Données projet'!$B$11,Paramètres!$A$1:$I$89,5,0)</f>
        <v>346.63199999999995</v>
      </c>
      <c r="BF136" s="13">
        <f t="shared" si="145"/>
        <v>80.868615263336864</v>
      </c>
      <c r="BG136" s="20">
        <f t="shared" si="115"/>
        <v>744.56357158364483</v>
      </c>
      <c r="BH136" s="59">
        <f t="shared" si="116"/>
        <v>1035.3933964541382</v>
      </c>
      <c r="BI136" s="59">
        <f ca="1">AVERAGE(OFFSET($BH$3,0,0,'Données projet'!$E$11+1,1))-AVERAGE(OFFSET($H$3,0,0,'Données projet'!$E$11+1,1))</f>
        <v>456.76871853389395</v>
      </c>
      <c r="BJ136" s="59">
        <f t="shared" si="146"/>
        <v>262.12425810289176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77.267433452031398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77.267433452031398</v>
      </c>
      <c r="BT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255.00000000000006</v>
      </c>
      <c r="BZ136" s="13">
        <f>BY136*VLOOKUP('Données projet'!$B$12,Paramètres!$A$1:$I$89,3,0)*VLOOKUP('Données projet'!$B$12,Paramètres!$A$1:$I$89,5,0)</f>
        <v>186.96600000000004</v>
      </c>
      <c r="CA136" s="13">
        <f t="shared" si="147"/>
        <v>46.868551400324648</v>
      </c>
      <c r="CB136" s="20">
        <f t="shared" si="118"/>
        <v>407.26184368889881</v>
      </c>
      <c r="CC136" s="59">
        <f t="shared" si="119"/>
        <v>698.09166855939225</v>
      </c>
      <c r="CD136" s="59">
        <f ca="1">AVERAGE(OFFSET($CC$3,0,0,'Données projet'!$E$12+1,1))-AVERAGE(OFFSET($H$3,0,0,'Données projet'!$E$12+1,1))</f>
        <v>242.65851607945316</v>
      </c>
      <c r="CE136" s="59">
        <f t="shared" si="148"/>
        <v>218.9349999985487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249.0000000000002</v>
      </c>
      <c r="CU136" s="17">
        <f>CT136*VLOOKUP('Données projet'!$B$13,Paramètres!$A$1:$I$89,3,0)*VLOOKUP('Données projet'!$B$13,Paramètres!$A$1:$I$89,5,0)</f>
        <v>217.52640000000019</v>
      </c>
      <c r="CV136" s="13">
        <f t="shared" si="149"/>
        <v>53.576907690651304</v>
      </c>
      <c r="CW136" s="20">
        <f t="shared" si="121"/>
        <v>472.17159422788467</v>
      </c>
      <c r="CX136" s="59">
        <f t="shared" si="122"/>
        <v>763.00141909837805</v>
      </c>
      <c r="CY136" s="59">
        <f ca="1">AVERAGE(OFFSET($CX$3,0,0,'Données projet'!$E$13+1,1))-AVERAGE(OFFSET($H$3,0,0,'Données projet'!$E$13+1,1))</f>
        <v>326.9460696675867</v>
      </c>
      <c r="CZ136" s="59">
        <f t="shared" si="150"/>
        <v>393.4020374592568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17.934257978092489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17.934257978092489</v>
      </c>
      <c r="DJ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349.00000000000017</v>
      </c>
      <c r="DP136" s="17">
        <f>DO136*VLOOKUP('Données projet'!$B$14,Paramètres!$A$1:$I$89,3,0)*VLOOKUP('Données projet'!$B$14,Paramètres!$A$1:$I$89,5,0)</f>
        <v>272.22000000000014</v>
      </c>
      <c r="DQ136" s="13">
        <f t="shared" si="151"/>
        <v>65.320184547527205</v>
      </c>
      <c r="DR136" s="20">
        <f t="shared" si="124"/>
        <v>587.88248808694345</v>
      </c>
      <c r="DS136" s="59">
        <f t="shared" si="125"/>
        <v>878.71231295743678</v>
      </c>
      <c r="DT136" s="59">
        <f ca="1">AVERAGE(OFFSET($DS$3,0,0,'Données projet'!$E$14+1,1))-AVERAGE(OFFSET($H$3,0,0,'Données projet'!$E$14+1,1))</f>
        <v>364.34528546733799</v>
      </c>
      <c r="DU136" s="59">
        <f t="shared" si="152"/>
        <v>346.5839763411152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24.889742951037181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24.889742951037181</v>
      </c>
      <c r="EE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213.98519999999999</v>
      </c>
      <c r="EL136" s="13">
        <f t="shared" si="153"/>
        <v>52.805497044008654</v>
      </c>
      <c r="EM136" s="20">
        <f t="shared" si="127"/>
        <v>464.66046401831505</v>
      </c>
      <c r="EN136" s="59">
        <f t="shared" si="128"/>
        <v>755.49028888880844</v>
      </c>
      <c r="EO136" s="59">
        <f ca="1">AVERAGE(OFFSET($EN$3,0,0,'Données projet'!$E$15+1,1))-AVERAGE(OFFSET($H$3,0,0,'Données projet'!$E$15+1,1))</f>
        <v>310.38232870602445</v>
      </c>
      <c r="EP136" s="59">
        <f t="shared" si="154"/>
        <v>303.45934457265537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15.692969207098889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15.692969207098889</v>
      </c>
      <c r="EZ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245.99999999999994</v>
      </c>
      <c r="FF136" s="17">
        <f>FE136*VLOOKUP('Données projet'!$B$16,Paramètres!$A$1:$I$89,3,0)*VLOOKUP('Données projet'!$B$16,Paramètres!$A$1:$I$89,5,0)</f>
        <v>234.09359999999998</v>
      </c>
      <c r="FG136" s="13">
        <f t="shared" si="155"/>
        <v>57.166902703920208</v>
      </c>
      <c r="FH136" s="20">
        <f t="shared" si="130"/>
        <v>507.27870887599425</v>
      </c>
      <c r="FI136" s="59">
        <f t="shared" si="131"/>
        <v>798.10853374648764</v>
      </c>
      <c r="FJ136" s="59">
        <f ca="1">AVERAGE(OFFSET($FI$3,0,0,'Données projet'!$E$16+1,1))-AVERAGE(OFFSET($H$3,0,0,'Données projet'!$E$16+1,1))</f>
        <v>457.706832425622</v>
      </c>
      <c r="FK136" s="59">
        <f t="shared" si="156"/>
        <v>474.61768219844873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54.595764334687246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54.595764334687246</v>
      </c>
      <c r="FU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319</v>
      </c>
      <c r="GA136" s="17">
        <f>FZ136*VLOOKUP('Données projet'!$B$17,Paramètres!$A$1:$I$89,3,0)*VLOOKUP('Données projet'!$B$17,Paramètres!$A$1:$I$89,5,0)</f>
        <v>308.53680000000003</v>
      </c>
      <c r="GB136" s="13">
        <f t="shared" si="157"/>
        <v>72.963171684496103</v>
      </c>
      <c r="GC136" s="20">
        <f t="shared" si="133"/>
        <v>664.4457840171641</v>
      </c>
      <c r="GD136" s="59">
        <f t="shared" si="134"/>
        <v>955.27560888765743</v>
      </c>
      <c r="GE136" s="59">
        <f ca="1">AVERAGE(OFFSET($GD$3,0,0,'Données projet'!$E$17+1,1))-AVERAGE(OFFSET($H$3,0,0,'Données projet'!$E$17+1,1))</f>
        <v>428.11167311086814</v>
      </c>
      <c r="GF136" s="59">
        <f t="shared" si="158"/>
        <v>415.69449942923609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18.35781303471947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18.35781303471947</v>
      </c>
      <c r="GP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1.1368683772161603E-13</v>
      </c>
      <c r="GV136" s="17">
        <f>GU136*VLOOKUP('Données projet'!$B$18,Paramètres!$A$1:$I$89,3,0)*VLOOKUP('Données projet'!$B$18,Paramètres!$A$1:$I$89,5,0)</f>
        <v>6.5087988332379613E-14</v>
      </c>
      <c r="GW136" s="13">
        <f t="shared" si="159"/>
        <v>1.0279249680474958E-12</v>
      </c>
      <c r="GX136" s="20">
        <f t="shared" si="136"/>
        <v>1.9036642323616162E-12</v>
      </c>
      <c r="GY136" s="59">
        <f t="shared" si="137"/>
        <v>290.82982487049526</v>
      </c>
      <c r="GZ136" s="59">
        <f ca="1">AVERAGE(OFFSET($GY$3,0,0,'Données projet'!$E$18+1,1))-AVERAGE(OFFSET($H$3,0,0,'Données projet'!$E$18+1,1))</f>
        <v>249.88816678272056</v>
      </c>
      <c r="HA136" s="59">
        <f t="shared" si="160"/>
        <v>432.10802787437319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10.800958085717333</v>
      </c>
      <c r="HH136" s="21">
        <f>EXP(-LN(2)/25)*HH135+(1-EXP(-LN(2)/25))/(LN(2)/25)*Calculateur!HC136*Calculateur!HE136*VLOOKUP('Données projet'!$B$18,Paramètres!$A$1:$I$89,3,0)*0.475*44/12</f>
        <v>1.2373145675857873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12.038272653303121</v>
      </c>
    </row>
    <row r="137" spans="1:218" x14ac:dyDescent="0.3">
      <c r="A137" s="10">
        <f t="shared" si="139"/>
        <v>134</v>
      </c>
      <c r="B137" s="71">
        <f>'Scénario référence'!$B$16*5+'Scénario référence'!$B$17*0+'Scénario référence'!$B$18*5</f>
        <v>1.4000000000000001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5.1333333333333337</v>
      </c>
      <c r="H137" s="65">
        <f t="shared" si="110"/>
        <v>236.13333333333335</v>
      </c>
      <c r="I137" s="6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319</v>
      </c>
      <c r="O137" s="13">
        <f>N137*VLOOKUP('Données projet'!$B$9,Paramètres!$A$1:$I$89,3,0)*VLOOKUP('Données projet'!$B$9,Paramètres!$A$1:$I$89,5,0)</f>
        <v>253.79640000000001</v>
      </c>
      <c r="P137" s="13">
        <f t="shared" si="141"/>
        <v>61.39816832228076</v>
      </c>
      <c r="Q137" s="20">
        <f t="shared" si="108"/>
        <v>548.96387316130563</v>
      </c>
      <c r="R137" s="59">
        <f t="shared" si="109"/>
        <v>839.83712830662284</v>
      </c>
      <c r="S137" s="59">
        <f ca="1">AVERAGE(OFFSET($R$3,0,0,'Données projet'!$E$9+1,1))-AVERAGE(OFFSET($H$3,0,0,'Données projet'!$E$9+1,1))</f>
        <v>360.06385535620069</v>
      </c>
      <c r="T137" s="59">
        <f t="shared" si="142"/>
        <v>350.82516032456408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18.247609820660518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18.247609820660518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277.77359999999993</v>
      </c>
      <c r="AK137" s="13">
        <f t="shared" si="143"/>
        <v>66.496288176842356</v>
      </c>
      <c r="AL137" s="20">
        <f t="shared" si="112"/>
        <v>599.60338857466706</v>
      </c>
      <c r="AM137" s="59">
        <f t="shared" si="113"/>
        <v>890.47664371998417</v>
      </c>
      <c r="AN137" s="59">
        <f ca="1">AVERAGE(OFFSET($AM$3,0,0,'Données projet'!$E$10+1,1))-AVERAGE(OFFSET($H$3,0,0,'Données projet'!$E$10+1,1))</f>
        <v>448.65237942538027</v>
      </c>
      <c r="AO137" s="59">
        <f t="shared" si="144"/>
        <v>283.56749129825107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68.707811767952364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68.707811767952364</v>
      </c>
      <c r="AY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403.99999999999989</v>
      </c>
      <c r="BE137" s="13">
        <f>BD137*VLOOKUP('Données projet'!$B$11,Paramètres!$A$1:$I$89,3,0)*VLOOKUP('Données projet'!$B$11,Paramètres!$A$1:$I$89,5,0)</f>
        <v>346.63199999999995</v>
      </c>
      <c r="BF137" s="13">
        <f t="shared" si="145"/>
        <v>80.868615263336864</v>
      </c>
      <c r="BG137" s="20">
        <f t="shared" si="115"/>
        <v>744.56357158364483</v>
      </c>
      <c r="BH137" s="59">
        <f t="shared" si="116"/>
        <v>1035.4368267289619</v>
      </c>
      <c r="BI137" s="59">
        <f ca="1">AVERAGE(OFFSET($BH$3,0,0,'Données projet'!$E$11+1,1))-AVERAGE(OFFSET($H$3,0,0,'Données projet'!$E$11+1,1))</f>
        <v>456.76871853389395</v>
      </c>
      <c r="BJ137" s="59">
        <f t="shared" si="146"/>
        <v>262.12425810289176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75.752266210517917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75.752266210517917</v>
      </c>
      <c r="BT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255.00000000000006</v>
      </c>
      <c r="BZ137" s="13">
        <f>BY137*VLOOKUP('Données projet'!$B$12,Paramètres!$A$1:$I$89,3,0)*VLOOKUP('Données projet'!$B$12,Paramètres!$A$1:$I$89,5,0)</f>
        <v>186.96600000000004</v>
      </c>
      <c r="CA137" s="13">
        <f t="shared" si="147"/>
        <v>46.868551400324648</v>
      </c>
      <c r="CB137" s="20">
        <f t="shared" si="118"/>
        <v>407.26184368889881</v>
      </c>
      <c r="CC137" s="59">
        <f t="shared" si="119"/>
        <v>698.13509883421602</v>
      </c>
      <c r="CD137" s="59">
        <f ca="1">AVERAGE(OFFSET($CC$3,0,0,'Données projet'!$E$12+1,1))-AVERAGE(OFFSET($H$3,0,0,'Données projet'!$E$12+1,1))</f>
        <v>242.65851607945316</v>
      </c>
      <c r="CE137" s="59">
        <f t="shared" si="148"/>
        <v>218.9349999985487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249.0000000000002</v>
      </c>
      <c r="CU137" s="17">
        <f>CT137*VLOOKUP('Données projet'!$B$13,Paramètres!$A$1:$I$89,3,0)*VLOOKUP('Données projet'!$B$13,Paramètres!$A$1:$I$89,5,0)</f>
        <v>217.52640000000019</v>
      </c>
      <c r="CV137" s="13">
        <f t="shared" si="149"/>
        <v>53.576907690651304</v>
      </c>
      <c r="CW137" s="20">
        <f t="shared" si="121"/>
        <v>472.17159422788467</v>
      </c>
      <c r="CX137" s="59">
        <f t="shared" si="122"/>
        <v>763.04484937320183</v>
      </c>
      <c r="CY137" s="59">
        <f ca="1">AVERAGE(OFFSET($CX$3,0,0,'Données projet'!$E$13+1,1))-AVERAGE(OFFSET($H$3,0,0,'Données projet'!$E$13+1,1))</f>
        <v>326.9460696675867</v>
      </c>
      <c r="CZ137" s="59">
        <f t="shared" si="150"/>
        <v>393.4020374592568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17.582578117959343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17.582578117959343</v>
      </c>
      <c r="DJ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349.00000000000017</v>
      </c>
      <c r="DP137" s="17">
        <f>DO137*VLOOKUP('Données projet'!$B$14,Paramètres!$A$1:$I$89,3,0)*VLOOKUP('Données projet'!$B$14,Paramètres!$A$1:$I$89,5,0)</f>
        <v>272.22000000000014</v>
      </c>
      <c r="DQ137" s="13">
        <f t="shared" si="151"/>
        <v>65.320184547527205</v>
      </c>
      <c r="DR137" s="20">
        <f t="shared" si="124"/>
        <v>587.88248808694345</v>
      </c>
      <c r="DS137" s="59">
        <f t="shared" si="125"/>
        <v>878.75574323226056</v>
      </c>
      <c r="DT137" s="59">
        <f ca="1">AVERAGE(OFFSET($DS$3,0,0,'Données projet'!$E$14+1,1))-AVERAGE(OFFSET($H$3,0,0,'Données projet'!$E$14+1,1))</f>
        <v>364.34528546733799</v>
      </c>
      <c r="DU137" s="59">
        <f t="shared" si="152"/>
        <v>346.5839763411152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24.401670273011518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24.401670273011518</v>
      </c>
      <c r="EE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213.98519999999999</v>
      </c>
      <c r="EL137" s="13">
        <f t="shared" si="153"/>
        <v>52.805497044008654</v>
      </c>
      <c r="EM137" s="20">
        <f t="shared" si="127"/>
        <v>464.66046401831505</v>
      </c>
      <c r="EN137" s="59">
        <f t="shared" si="128"/>
        <v>755.53371916363221</v>
      </c>
      <c r="EO137" s="59">
        <f ca="1">AVERAGE(OFFSET($EN$3,0,0,'Données projet'!$E$15+1,1))-AVERAGE(OFFSET($H$3,0,0,'Données projet'!$E$15+1,1))</f>
        <v>310.38232870602445</v>
      </c>
      <c r="EP137" s="59">
        <f t="shared" si="154"/>
        <v>303.45934457265537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15.385239652713762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15.385239652713762</v>
      </c>
      <c r="EZ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245.99999999999994</v>
      </c>
      <c r="FF137" s="17">
        <f>FE137*VLOOKUP('Données projet'!$B$16,Paramètres!$A$1:$I$89,3,0)*VLOOKUP('Données projet'!$B$16,Paramètres!$A$1:$I$89,5,0)</f>
        <v>234.09359999999998</v>
      </c>
      <c r="FG137" s="13">
        <f t="shared" si="155"/>
        <v>57.166902703920208</v>
      </c>
      <c r="FH137" s="20">
        <f t="shared" si="130"/>
        <v>507.27870887599425</v>
      </c>
      <c r="FI137" s="59">
        <f t="shared" si="131"/>
        <v>798.15196402131141</v>
      </c>
      <c r="FJ137" s="59">
        <f ca="1">AVERAGE(OFFSET($FI$3,0,0,'Données projet'!$E$16+1,1))-AVERAGE(OFFSET($H$3,0,0,'Données projet'!$E$16+1,1))</f>
        <v>457.706832425622</v>
      </c>
      <c r="FK137" s="59">
        <f t="shared" si="156"/>
        <v>474.61768219844873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53.525174696212162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53.525174696212162</v>
      </c>
      <c r="FU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319</v>
      </c>
      <c r="GA137" s="17">
        <f>FZ137*VLOOKUP('Données projet'!$B$17,Paramètres!$A$1:$I$89,3,0)*VLOOKUP('Données projet'!$B$17,Paramètres!$A$1:$I$89,5,0)</f>
        <v>308.53680000000003</v>
      </c>
      <c r="GB137" s="13">
        <f t="shared" si="157"/>
        <v>72.963171684496103</v>
      </c>
      <c r="GC137" s="20">
        <f t="shared" si="133"/>
        <v>664.4457840171641</v>
      </c>
      <c r="GD137" s="59">
        <f t="shared" si="134"/>
        <v>955.3190391624812</v>
      </c>
      <c r="GE137" s="59">
        <f ca="1">AVERAGE(OFFSET($GD$3,0,0,'Données projet'!$E$17+1,1))-AVERAGE(OFFSET($H$3,0,0,'Données projet'!$E$17+1,1))</f>
        <v>428.11167311086814</v>
      </c>
      <c r="GF137" s="59">
        <f t="shared" si="158"/>
        <v>415.69449942923609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17.997827518268945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17.997827518268945</v>
      </c>
      <c r="GP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1.1368683772161603E-13</v>
      </c>
      <c r="GV137" s="17">
        <f>GU137*VLOOKUP('Données projet'!$B$18,Paramètres!$A$1:$I$89,3,0)*VLOOKUP('Données projet'!$B$18,Paramètres!$A$1:$I$89,5,0)</f>
        <v>6.5087988332379613E-14</v>
      </c>
      <c r="GW137" s="13">
        <f t="shared" si="159"/>
        <v>1.0279249680474958E-12</v>
      </c>
      <c r="GX137" s="20">
        <f t="shared" si="136"/>
        <v>1.9036642323616162E-12</v>
      </c>
      <c r="GY137" s="59">
        <f t="shared" si="137"/>
        <v>290.87325514531904</v>
      </c>
      <c r="GZ137" s="59">
        <f ca="1">AVERAGE(OFFSET($GY$3,0,0,'Données projet'!$E$18+1,1))-AVERAGE(OFFSET($H$3,0,0,'Données projet'!$E$18+1,1))</f>
        <v>249.88816678272056</v>
      </c>
      <c r="HA137" s="59">
        <f t="shared" si="160"/>
        <v>432.10802787437319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10.589157885590344</v>
      </c>
      <c r="HH137" s="21">
        <f>EXP(-LN(2)/25)*HH136+(1-EXP(-LN(2)/25))/(LN(2)/25)*Calculateur!HC137*Calculateur!HE137*VLOOKUP('Données projet'!$B$18,Paramètres!$A$1:$I$89,3,0)*0.475*44/12</f>
        <v>1.2034801356676088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11.792638021257954</v>
      </c>
    </row>
    <row r="138" spans="1:218" x14ac:dyDescent="0.3">
      <c r="A138" s="10">
        <f t="shared" si="139"/>
        <v>135</v>
      </c>
      <c r="B138" s="71">
        <f>'Scénario référence'!$B$16*5+'Scénario référence'!$B$17*0+'Scénario référence'!$B$18*5</f>
        <v>1.4000000000000001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5.1333333333333337</v>
      </c>
      <c r="H138" s="65">
        <f t="shared" si="110"/>
        <v>236.13333333333335</v>
      </c>
      <c r="I138" s="6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319</v>
      </c>
      <c r="O138" s="13">
        <f>N138*VLOOKUP('Données projet'!$B$9,Paramètres!$A$1:$I$89,3,0)*VLOOKUP('Données projet'!$B$9,Paramètres!$A$1:$I$89,5,0)</f>
        <v>253.79640000000001</v>
      </c>
      <c r="P138" s="13">
        <f t="shared" si="141"/>
        <v>61.39816832228076</v>
      </c>
      <c r="Q138" s="20">
        <f t="shared" si="108"/>
        <v>548.96387316130563</v>
      </c>
      <c r="R138" s="59">
        <f t="shared" si="109"/>
        <v>839.879805163274</v>
      </c>
      <c r="S138" s="59">
        <f ca="1">AVERAGE(OFFSET($R$3,0,0,'Données projet'!$E$9+1,1))-AVERAGE(OFFSET($H$3,0,0,'Données projet'!$E$9+1,1))</f>
        <v>360.06385535620069</v>
      </c>
      <c r="T138" s="59">
        <f t="shared" si="142"/>
        <v>350.82516032456408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17.889785322020366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17.889785322020366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277.77359999999993</v>
      </c>
      <c r="AK138" s="13">
        <f t="shared" si="143"/>
        <v>66.496288176842356</v>
      </c>
      <c r="AL138" s="20">
        <f t="shared" si="112"/>
        <v>599.60338857466706</v>
      </c>
      <c r="AM138" s="59">
        <f t="shared" si="113"/>
        <v>890.51932057663544</v>
      </c>
      <c r="AN138" s="59">
        <f ca="1">AVERAGE(OFFSET($AM$3,0,0,'Données projet'!$E$10+1,1))-AVERAGE(OFFSET($H$3,0,0,'Données projet'!$E$10+1,1))</f>
        <v>448.65237942538027</v>
      </c>
      <c r="AO138" s="59">
        <f t="shared" si="144"/>
        <v>283.56749129825107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67.360493486809958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67.360493486809958</v>
      </c>
      <c r="AY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403.99999999999989</v>
      </c>
      <c r="BE138" s="13">
        <f>BD138*VLOOKUP('Données projet'!$B$11,Paramètres!$A$1:$I$89,3,0)*VLOOKUP('Données projet'!$B$11,Paramètres!$A$1:$I$89,5,0)</f>
        <v>346.63199999999995</v>
      </c>
      <c r="BF138" s="13">
        <f t="shared" si="145"/>
        <v>80.868615263336864</v>
      </c>
      <c r="BG138" s="20">
        <f t="shared" si="115"/>
        <v>744.56357158364483</v>
      </c>
      <c r="BH138" s="59">
        <f t="shared" si="116"/>
        <v>1035.4795035856132</v>
      </c>
      <c r="BI138" s="59">
        <f ca="1">AVERAGE(OFFSET($BH$3,0,0,'Données projet'!$E$11+1,1))-AVERAGE(OFFSET($H$3,0,0,'Données projet'!$E$11+1,1))</f>
        <v>456.76871853389395</v>
      </c>
      <c r="BJ138" s="59">
        <f t="shared" si="146"/>
        <v>262.12425810289176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74.266810474449755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74.266810474449755</v>
      </c>
      <c r="BT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255.00000000000006</v>
      </c>
      <c r="BZ138" s="13">
        <f>BY138*VLOOKUP('Données projet'!$B$12,Paramètres!$A$1:$I$89,3,0)*VLOOKUP('Données projet'!$B$12,Paramètres!$A$1:$I$89,5,0)</f>
        <v>186.96600000000004</v>
      </c>
      <c r="CA138" s="13">
        <f t="shared" si="147"/>
        <v>46.868551400324648</v>
      </c>
      <c r="CB138" s="20">
        <f t="shared" si="118"/>
        <v>407.26184368889881</v>
      </c>
      <c r="CC138" s="59">
        <f t="shared" si="119"/>
        <v>698.17777569086718</v>
      </c>
      <c r="CD138" s="59">
        <f ca="1">AVERAGE(OFFSET($CC$3,0,0,'Données projet'!$E$12+1,1))-AVERAGE(OFFSET($H$3,0,0,'Données projet'!$E$12+1,1))</f>
        <v>242.65851607945316</v>
      </c>
      <c r="CE138" s="59">
        <f t="shared" si="148"/>
        <v>218.9349999985487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249.0000000000002</v>
      </c>
      <c r="CU138" s="17">
        <f>CT138*VLOOKUP('Données projet'!$B$13,Paramètres!$A$1:$I$89,3,0)*VLOOKUP('Données projet'!$B$13,Paramètres!$A$1:$I$89,5,0)</f>
        <v>217.52640000000019</v>
      </c>
      <c r="CV138" s="13">
        <f t="shared" si="149"/>
        <v>53.576907690651304</v>
      </c>
      <c r="CW138" s="20">
        <f t="shared" si="121"/>
        <v>472.17159422788467</v>
      </c>
      <c r="CX138" s="59">
        <f t="shared" si="122"/>
        <v>763.08752622985298</v>
      </c>
      <c r="CY138" s="59">
        <f ca="1">AVERAGE(OFFSET($CX$3,0,0,'Données projet'!$E$13+1,1))-AVERAGE(OFFSET($H$3,0,0,'Données projet'!$E$13+1,1))</f>
        <v>326.9460696675867</v>
      </c>
      <c r="CZ138" s="59">
        <f t="shared" si="150"/>
        <v>393.4020374592568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17.237794485379876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17.237794485379876</v>
      </c>
      <c r="DJ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349.00000000000017</v>
      </c>
      <c r="DP138" s="17">
        <f>DO138*VLOOKUP('Données projet'!$B$14,Paramètres!$A$1:$I$89,3,0)*VLOOKUP('Données projet'!$B$14,Paramètres!$A$1:$I$89,5,0)</f>
        <v>272.22000000000014</v>
      </c>
      <c r="DQ138" s="13">
        <f t="shared" si="151"/>
        <v>65.320184547527205</v>
      </c>
      <c r="DR138" s="20">
        <f t="shared" si="124"/>
        <v>587.88248808694345</v>
      </c>
      <c r="DS138" s="59">
        <f t="shared" si="125"/>
        <v>878.79842008891183</v>
      </c>
      <c r="DT138" s="59">
        <f ca="1">AVERAGE(OFFSET($DS$3,0,0,'Données projet'!$E$14+1,1))-AVERAGE(OFFSET($H$3,0,0,'Données projet'!$E$14+1,1))</f>
        <v>364.34528546733799</v>
      </c>
      <c r="DU138" s="59">
        <f t="shared" si="152"/>
        <v>346.5839763411152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23.923168402507002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23.923168402507002</v>
      </c>
      <c r="EE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213.98519999999999</v>
      </c>
      <c r="EL138" s="13">
        <f t="shared" si="153"/>
        <v>52.805497044008654</v>
      </c>
      <c r="EM138" s="20">
        <f t="shared" si="127"/>
        <v>464.66046401831505</v>
      </c>
      <c r="EN138" s="59">
        <f t="shared" si="128"/>
        <v>755.57639602028348</v>
      </c>
      <c r="EO138" s="59">
        <f ca="1">AVERAGE(OFFSET($EN$3,0,0,'Données projet'!$E$15+1,1))-AVERAGE(OFFSET($H$3,0,0,'Données projet'!$E$15+1,1))</f>
        <v>310.38232870602445</v>
      </c>
      <c r="EP138" s="59">
        <f t="shared" si="154"/>
        <v>303.45934457265537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15.083544487193635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15.083544487193635</v>
      </c>
      <c r="EZ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245.99999999999994</v>
      </c>
      <c r="FF138" s="17">
        <f>FE138*VLOOKUP('Données projet'!$B$16,Paramètres!$A$1:$I$89,3,0)*VLOOKUP('Données projet'!$B$16,Paramètres!$A$1:$I$89,5,0)</f>
        <v>234.09359999999998</v>
      </c>
      <c r="FG138" s="13">
        <f t="shared" si="155"/>
        <v>57.166902703920208</v>
      </c>
      <c r="FH138" s="20">
        <f t="shared" si="130"/>
        <v>507.27870887599425</v>
      </c>
      <c r="FI138" s="59">
        <f t="shared" si="131"/>
        <v>798.19464087796268</v>
      </c>
      <c r="FJ138" s="59">
        <f ca="1">AVERAGE(OFFSET($FI$3,0,0,'Données projet'!$E$16+1,1))-AVERAGE(OFFSET($H$3,0,0,'Données projet'!$E$16+1,1))</f>
        <v>457.706832425622</v>
      </c>
      <c r="FK138" s="59">
        <f t="shared" si="156"/>
        <v>474.61768219844873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52.475578667552369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52.475578667552369</v>
      </c>
      <c r="FU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319</v>
      </c>
      <c r="GA138" s="17">
        <f>FZ138*VLOOKUP('Données projet'!$B$17,Paramètres!$A$1:$I$89,3,0)*VLOOKUP('Données projet'!$B$17,Paramètres!$A$1:$I$89,5,0)</f>
        <v>308.53680000000003</v>
      </c>
      <c r="GB138" s="13">
        <f t="shared" si="157"/>
        <v>72.963171684496103</v>
      </c>
      <c r="GC138" s="20">
        <f t="shared" si="133"/>
        <v>664.4457840171641</v>
      </c>
      <c r="GD138" s="59">
        <f t="shared" si="134"/>
        <v>955.36171601913247</v>
      </c>
      <c r="GE138" s="59">
        <f ca="1">AVERAGE(OFFSET($GD$3,0,0,'Données projet'!$E$17+1,1))-AVERAGE(OFFSET($H$3,0,0,'Données projet'!$E$17+1,1))</f>
        <v>428.11167311086814</v>
      </c>
      <c r="GF138" s="59">
        <f t="shared" si="158"/>
        <v>415.69449942923609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17.64490109822653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17.64490109822653</v>
      </c>
      <c r="GP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1.1368683772161603E-13</v>
      </c>
      <c r="GV138" s="17">
        <f>GU138*VLOOKUP('Données projet'!$B$18,Paramètres!$A$1:$I$89,3,0)*VLOOKUP('Données projet'!$B$18,Paramètres!$A$1:$I$89,5,0)</f>
        <v>6.5087988332379613E-14</v>
      </c>
      <c r="GW138" s="13">
        <f t="shared" si="159"/>
        <v>1.0279249680474958E-12</v>
      </c>
      <c r="GX138" s="20">
        <f t="shared" si="136"/>
        <v>1.9036642323616162E-12</v>
      </c>
      <c r="GY138" s="59">
        <f t="shared" si="137"/>
        <v>290.91593200197025</v>
      </c>
      <c r="GZ138" s="59">
        <f ca="1">AVERAGE(OFFSET($GY$3,0,0,'Données projet'!$E$18+1,1))-AVERAGE(OFFSET($H$3,0,0,'Données projet'!$E$18+1,1))</f>
        <v>249.88816678272056</v>
      </c>
      <c r="HA138" s="59">
        <f t="shared" si="160"/>
        <v>432.10802787437319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10.38151095820248</v>
      </c>
      <c r="HH138" s="21">
        <f>EXP(-LN(2)/25)*HH137+(1-EXP(-LN(2)/25))/(LN(2)/25)*Calculateur!HC138*Calculateur!HE138*VLOOKUP('Données projet'!$B$18,Paramètres!$A$1:$I$89,3,0)*0.475*44/12</f>
        <v>1.1705709080695084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11.552081866271989</v>
      </c>
    </row>
    <row r="139" spans="1:218" x14ac:dyDescent="0.3">
      <c r="A139" s="10">
        <f t="shared" si="139"/>
        <v>136</v>
      </c>
      <c r="B139" s="71">
        <f>'Scénario référence'!$B$16*5+'Scénario référence'!$B$17*0+'Scénario référence'!$B$18*5</f>
        <v>1.4000000000000001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5.1333333333333337</v>
      </c>
      <c r="H139" s="65">
        <f t="shared" si="110"/>
        <v>236.13333333333335</v>
      </c>
      <c r="I139" s="6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319</v>
      </c>
      <c r="O139" s="13">
        <f>N139*VLOOKUP('Données projet'!$B$9,Paramètres!$A$1:$I$89,3,0)*VLOOKUP('Données projet'!$B$9,Paramètres!$A$1:$I$89,5,0)</f>
        <v>253.79640000000001</v>
      </c>
      <c r="P139" s="13">
        <f t="shared" si="141"/>
        <v>61.39816832228076</v>
      </c>
      <c r="Q139" s="20">
        <f t="shared" si="108"/>
        <v>548.96387316130563</v>
      </c>
      <c r="R139" s="59">
        <f t="shared" si="109"/>
        <v>839.92174167187341</v>
      </c>
      <c r="S139" s="59">
        <f ca="1">AVERAGE(OFFSET($R$3,0,0,'Données projet'!$E$9+1,1))-AVERAGE(OFFSET($H$3,0,0,'Données projet'!$E$9+1,1))</f>
        <v>360.06385535620069</v>
      </c>
      <c r="T139" s="59">
        <f t="shared" si="142"/>
        <v>350.82516032456408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17.538977543547151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17.538977543547151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277.77359999999993</v>
      </c>
      <c r="AK139" s="13">
        <f t="shared" si="143"/>
        <v>66.496288176842356</v>
      </c>
      <c r="AL139" s="20">
        <f t="shared" si="112"/>
        <v>599.60338857466706</v>
      </c>
      <c r="AM139" s="59">
        <f t="shared" si="113"/>
        <v>890.56125708523496</v>
      </c>
      <c r="AN139" s="59">
        <f ca="1">AVERAGE(OFFSET($AM$3,0,0,'Données projet'!$E$10+1,1))-AVERAGE(OFFSET($H$3,0,0,'Données projet'!$E$10+1,1))</f>
        <v>448.65237942538027</v>
      </c>
      <c r="AO139" s="59">
        <f t="shared" si="144"/>
        <v>283.56749129825107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66.039595295377751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66.039595295377751</v>
      </c>
      <c r="AY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403.99999999999989</v>
      </c>
      <c r="BE139" s="13">
        <f>BD139*VLOOKUP('Données projet'!$B$11,Paramètres!$A$1:$I$89,3,0)*VLOOKUP('Données projet'!$B$11,Paramètres!$A$1:$I$89,5,0)</f>
        <v>346.63199999999995</v>
      </c>
      <c r="BF139" s="13">
        <f t="shared" si="145"/>
        <v>80.868615263336864</v>
      </c>
      <c r="BG139" s="20">
        <f t="shared" si="115"/>
        <v>744.56357158364483</v>
      </c>
      <c r="BH139" s="59">
        <f t="shared" si="116"/>
        <v>1035.5214400942127</v>
      </c>
      <c r="BI139" s="59">
        <f ca="1">AVERAGE(OFFSET($BH$3,0,0,'Données projet'!$E$11+1,1))-AVERAGE(OFFSET($H$3,0,0,'Données projet'!$E$11+1,1))</f>
        <v>456.76871853389395</v>
      </c>
      <c r="BJ139" s="59">
        <f t="shared" si="146"/>
        <v>262.12425810289176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72.810483619327357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72.810483619327357</v>
      </c>
      <c r="BT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255.00000000000006</v>
      </c>
      <c r="BZ139" s="13">
        <f>BY139*VLOOKUP('Données projet'!$B$12,Paramètres!$A$1:$I$89,3,0)*VLOOKUP('Données projet'!$B$12,Paramètres!$A$1:$I$89,5,0)</f>
        <v>186.96600000000004</v>
      </c>
      <c r="CA139" s="13">
        <f t="shared" si="147"/>
        <v>46.868551400324648</v>
      </c>
      <c r="CB139" s="20">
        <f t="shared" si="118"/>
        <v>407.26184368889881</v>
      </c>
      <c r="CC139" s="59">
        <f t="shared" si="119"/>
        <v>698.21971219946658</v>
      </c>
      <c r="CD139" s="59">
        <f ca="1">AVERAGE(OFFSET($CC$3,0,0,'Données projet'!$E$12+1,1))-AVERAGE(OFFSET($H$3,0,0,'Données projet'!$E$12+1,1))</f>
        <v>242.65851607945316</v>
      </c>
      <c r="CE139" s="59">
        <f t="shared" si="148"/>
        <v>218.9349999985487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249.0000000000002</v>
      </c>
      <c r="CU139" s="17">
        <f>CT139*VLOOKUP('Données projet'!$B$13,Paramètres!$A$1:$I$89,3,0)*VLOOKUP('Données projet'!$B$13,Paramètres!$A$1:$I$89,5,0)</f>
        <v>217.52640000000019</v>
      </c>
      <c r="CV139" s="13">
        <f t="shared" si="149"/>
        <v>53.576907690651304</v>
      </c>
      <c r="CW139" s="20">
        <f t="shared" si="121"/>
        <v>472.17159422788467</v>
      </c>
      <c r="CX139" s="59">
        <f t="shared" si="122"/>
        <v>763.1294627384525</v>
      </c>
      <c r="CY139" s="59">
        <f ca="1">AVERAGE(OFFSET($CX$3,0,0,'Données projet'!$E$13+1,1))-AVERAGE(OFFSET($H$3,0,0,'Données projet'!$E$13+1,1))</f>
        <v>326.9460696675867</v>
      </c>
      <c r="CZ139" s="59">
        <f t="shared" si="150"/>
        <v>393.4020374592568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16.899771849538041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16.899771849538041</v>
      </c>
      <c r="DJ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349.00000000000017</v>
      </c>
      <c r="DP139" s="17">
        <f>DO139*VLOOKUP('Données projet'!$B$14,Paramètres!$A$1:$I$89,3,0)*VLOOKUP('Données projet'!$B$14,Paramètres!$A$1:$I$89,5,0)</f>
        <v>272.22000000000014</v>
      </c>
      <c r="DQ139" s="13">
        <f t="shared" si="151"/>
        <v>65.320184547527205</v>
      </c>
      <c r="DR139" s="20">
        <f t="shared" si="124"/>
        <v>587.88248808694345</v>
      </c>
      <c r="DS139" s="59">
        <f t="shared" si="125"/>
        <v>878.84035659751135</v>
      </c>
      <c r="DT139" s="59">
        <f ca="1">AVERAGE(OFFSET($DS$3,0,0,'Données projet'!$E$14+1,1))-AVERAGE(OFFSET($H$3,0,0,'Données projet'!$E$14+1,1))</f>
        <v>364.34528546733799</v>
      </c>
      <c r="DU139" s="59">
        <f t="shared" si="152"/>
        <v>346.5839763411152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23.454049661825756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23.454049661825756</v>
      </c>
      <c r="EE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213.98519999999999</v>
      </c>
      <c r="EL139" s="13">
        <f t="shared" si="153"/>
        <v>52.805497044008654</v>
      </c>
      <c r="EM139" s="20">
        <f t="shared" si="127"/>
        <v>464.66046401831505</v>
      </c>
      <c r="EN139" s="59">
        <f t="shared" si="128"/>
        <v>755.61833252888289</v>
      </c>
      <c r="EO139" s="59">
        <f ca="1">AVERAGE(OFFSET($EN$3,0,0,'Données projet'!$E$15+1,1))-AVERAGE(OFFSET($H$3,0,0,'Données projet'!$E$15+1,1))</f>
        <v>310.38232870602445</v>
      </c>
      <c r="EP139" s="59">
        <f t="shared" si="154"/>
        <v>303.45934457265537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14.787765379853475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14.787765379853475</v>
      </c>
      <c r="EZ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245.99999999999994</v>
      </c>
      <c r="FF139" s="17">
        <f>FE139*VLOOKUP('Données projet'!$B$16,Paramètres!$A$1:$I$89,3,0)*VLOOKUP('Données projet'!$B$16,Paramètres!$A$1:$I$89,5,0)</f>
        <v>234.09359999999998</v>
      </c>
      <c r="FG139" s="13">
        <f t="shared" si="155"/>
        <v>57.166902703920208</v>
      </c>
      <c r="FH139" s="20">
        <f t="shared" si="130"/>
        <v>507.27870887599425</v>
      </c>
      <c r="FI139" s="59">
        <f t="shared" si="131"/>
        <v>798.23657738656209</v>
      </c>
      <c r="FJ139" s="59">
        <f ca="1">AVERAGE(OFFSET($FI$3,0,0,'Données projet'!$E$16+1,1))-AVERAGE(OFFSET($H$3,0,0,'Données projet'!$E$16+1,1))</f>
        <v>457.706832425622</v>
      </c>
      <c r="FK139" s="59">
        <f t="shared" si="156"/>
        <v>474.61768219844873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51.44656457682423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51.44656457682423</v>
      </c>
      <c r="FU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319</v>
      </c>
      <c r="GA139" s="17">
        <f>FZ139*VLOOKUP('Données projet'!$B$17,Paramètres!$A$1:$I$89,3,0)*VLOOKUP('Données projet'!$B$17,Paramètres!$A$1:$I$89,5,0)</f>
        <v>308.53680000000003</v>
      </c>
      <c r="GB139" s="13">
        <f t="shared" si="157"/>
        <v>72.963171684496103</v>
      </c>
      <c r="GC139" s="20">
        <f t="shared" si="133"/>
        <v>664.4457840171641</v>
      </c>
      <c r="GD139" s="59">
        <f t="shared" si="134"/>
        <v>955.40365252773199</v>
      </c>
      <c r="GE139" s="59">
        <f ca="1">AVERAGE(OFFSET($GD$3,0,0,'Données projet'!$E$17+1,1))-AVERAGE(OFFSET($H$3,0,0,'Données projet'!$E$17+1,1))</f>
        <v>428.11167311086814</v>
      </c>
      <c r="GF139" s="59">
        <f t="shared" si="158"/>
        <v>415.69449942923609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17.298895350017286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17.298895350017286</v>
      </c>
      <c r="GP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1.1368683772161603E-13</v>
      </c>
      <c r="GV139" s="17">
        <f>GU139*VLOOKUP('Données projet'!$B$18,Paramètres!$A$1:$I$89,3,0)*VLOOKUP('Données projet'!$B$18,Paramètres!$A$1:$I$89,5,0)</f>
        <v>6.5087988332379613E-14</v>
      </c>
      <c r="GW139" s="13">
        <f t="shared" si="159"/>
        <v>1.0279249680474958E-12</v>
      </c>
      <c r="GX139" s="20">
        <f t="shared" si="136"/>
        <v>1.9036642323616162E-12</v>
      </c>
      <c r="GY139" s="59">
        <f t="shared" si="137"/>
        <v>290.95786851056971</v>
      </c>
      <c r="GZ139" s="59">
        <f ca="1">AVERAGE(OFFSET($GY$3,0,0,'Données projet'!$E$18+1,1))-AVERAGE(OFFSET($H$3,0,0,'Données projet'!$E$18+1,1))</f>
        <v>249.88816678272056</v>
      </c>
      <c r="HA139" s="59">
        <f t="shared" si="160"/>
        <v>432.10802787437319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10.177935860408571</v>
      </c>
      <c r="HH139" s="21">
        <f>EXP(-LN(2)/25)*HH138+(1-EXP(-LN(2)/25))/(LN(2)/25)*Calculateur!HC139*Calculateur!HE139*VLOOKUP('Données projet'!$B$18,Paramètres!$A$1:$I$89,3,0)*0.475*44/12</f>
        <v>1.1385615850306989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11.316497445439269</v>
      </c>
    </row>
    <row r="140" spans="1:218" x14ac:dyDescent="0.3">
      <c r="A140" s="10">
        <f t="shared" si="139"/>
        <v>137</v>
      </c>
      <c r="B140" s="71">
        <f>'Scénario référence'!$B$16*5+'Scénario référence'!$B$17*0+'Scénario référence'!$B$18*5</f>
        <v>1.4000000000000001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5.1333333333333337</v>
      </c>
      <c r="H140" s="65">
        <f t="shared" si="110"/>
        <v>236.13333333333335</v>
      </c>
      <c r="I140" s="6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319</v>
      </c>
      <c r="O140" s="13">
        <f>N140*VLOOKUP('Données projet'!$B$9,Paramètres!$A$1:$I$89,3,0)*VLOOKUP('Données projet'!$B$9,Paramètres!$A$1:$I$89,5,0)</f>
        <v>253.79640000000001</v>
      </c>
      <c r="P140" s="13">
        <f t="shared" si="141"/>
        <v>61.39816832228076</v>
      </c>
      <c r="Q140" s="20">
        <f t="shared" si="108"/>
        <v>548.96387316130563</v>
      </c>
      <c r="R140" s="59">
        <f t="shared" si="109"/>
        <v>839.96295067580468</v>
      </c>
      <c r="S140" s="59">
        <f ca="1">AVERAGE(OFFSET($R$3,0,0,'Données projet'!$E$9+1,1))-AVERAGE(OFFSET($H$3,0,0,'Données projet'!$E$9+1,1))</f>
        <v>360.06385535620069</v>
      </c>
      <c r="T140" s="59">
        <f t="shared" si="142"/>
        <v>350.82516032456408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17.19504889163818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17.19504889163818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277.77359999999993</v>
      </c>
      <c r="AK140" s="13">
        <f t="shared" si="143"/>
        <v>66.496288176842356</v>
      </c>
      <c r="AL140" s="20">
        <f t="shared" si="112"/>
        <v>599.60338857466706</v>
      </c>
      <c r="AM140" s="59">
        <f t="shared" si="113"/>
        <v>890.60246608916623</v>
      </c>
      <c r="AN140" s="59">
        <f ca="1">AVERAGE(OFFSET($AM$3,0,0,'Données projet'!$E$10+1,1))-AVERAGE(OFFSET($H$3,0,0,'Données projet'!$E$10+1,1))</f>
        <v>448.65237942538027</v>
      </c>
      <c r="AO140" s="59">
        <f t="shared" si="144"/>
        <v>283.56749129825107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64.744599111811183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64.744599111811183</v>
      </c>
      <c r="AY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403.99999999999989</v>
      </c>
      <c r="BE140" s="13">
        <f>BD140*VLOOKUP('Données projet'!$B$11,Paramètres!$A$1:$I$89,3,0)*VLOOKUP('Données projet'!$B$11,Paramètres!$A$1:$I$89,5,0)</f>
        <v>346.63199999999995</v>
      </c>
      <c r="BF140" s="13">
        <f t="shared" si="145"/>
        <v>80.868615263336864</v>
      </c>
      <c r="BG140" s="20">
        <f t="shared" si="115"/>
        <v>744.56357158364483</v>
      </c>
      <c r="BH140" s="59">
        <f t="shared" si="116"/>
        <v>1035.562649098144</v>
      </c>
      <c r="BI140" s="59">
        <f ca="1">AVERAGE(OFFSET($BH$3,0,0,'Données projet'!$E$11+1,1))-AVERAGE(OFFSET($H$3,0,0,'Données projet'!$E$11+1,1))</f>
        <v>456.76871853389395</v>
      </c>
      <c r="BJ140" s="59">
        <f t="shared" si="146"/>
        <v>262.12425810289176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71.382714445562229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71.382714445562229</v>
      </c>
      <c r="BT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255.00000000000006</v>
      </c>
      <c r="BZ140" s="13">
        <f>BY140*VLOOKUP('Données projet'!$B$12,Paramètres!$A$1:$I$89,3,0)*VLOOKUP('Données projet'!$B$12,Paramètres!$A$1:$I$89,5,0)</f>
        <v>186.96600000000004</v>
      </c>
      <c r="CA140" s="13">
        <f t="shared" si="147"/>
        <v>46.868551400324648</v>
      </c>
      <c r="CB140" s="20">
        <f t="shared" si="118"/>
        <v>407.26184368889881</v>
      </c>
      <c r="CC140" s="59">
        <f t="shared" si="119"/>
        <v>698.26092120339786</v>
      </c>
      <c r="CD140" s="59">
        <f ca="1">AVERAGE(OFFSET($CC$3,0,0,'Données projet'!$E$12+1,1))-AVERAGE(OFFSET($H$3,0,0,'Données projet'!$E$12+1,1))</f>
        <v>242.65851607945316</v>
      </c>
      <c r="CE140" s="59">
        <f t="shared" si="148"/>
        <v>218.9349999985487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249.0000000000002</v>
      </c>
      <c r="CU140" s="17">
        <f>CT140*VLOOKUP('Données projet'!$B$13,Paramètres!$A$1:$I$89,3,0)*VLOOKUP('Données projet'!$B$13,Paramètres!$A$1:$I$89,5,0)</f>
        <v>217.52640000000019</v>
      </c>
      <c r="CV140" s="13">
        <f t="shared" si="149"/>
        <v>53.576907690651304</v>
      </c>
      <c r="CW140" s="20">
        <f t="shared" si="121"/>
        <v>472.17159422788467</v>
      </c>
      <c r="CX140" s="59">
        <f t="shared" si="122"/>
        <v>763.17067174238377</v>
      </c>
      <c r="CY140" s="59">
        <f ca="1">AVERAGE(OFFSET($CX$3,0,0,'Données projet'!$E$13+1,1))-AVERAGE(OFFSET($H$3,0,0,'Données projet'!$E$13+1,1))</f>
        <v>326.9460696675867</v>
      </c>
      <c r="CZ140" s="59">
        <f t="shared" si="150"/>
        <v>393.4020374592568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16.568377631411614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16.568377631411614</v>
      </c>
      <c r="DJ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349.00000000000017</v>
      </c>
      <c r="DP140" s="17">
        <f>DO140*VLOOKUP('Données projet'!$B$14,Paramètres!$A$1:$I$89,3,0)*VLOOKUP('Données projet'!$B$14,Paramètres!$A$1:$I$89,5,0)</f>
        <v>272.22000000000014</v>
      </c>
      <c r="DQ140" s="13">
        <f t="shared" si="151"/>
        <v>65.320184547527205</v>
      </c>
      <c r="DR140" s="20">
        <f t="shared" si="124"/>
        <v>587.88248808694345</v>
      </c>
      <c r="DS140" s="59">
        <f t="shared" si="125"/>
        <v>878.88156560144262</v>
      </c>
      <c r="DT140" s="59">
        <f ca="1">AVERAGE(OFFSET($DS$3,0,0,'Données projet'!$E$14+1,1))-AVERAGE(OFFSET($H$3,0,0,'Données projet'!$E$14+1,1))</f>
        <v>364.34528546733799</v>
      </c>
      <c r="DU140" s="59">
        <f t="shared" si="152"/>
        <v>346.5839763411152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22.994130053515089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22.994130053515089</v>
      </c>
      <c r="EE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213.98519999999999</v>
      </c>
      <c r="EL140" s="13">
        <f t="shared" si="153"/>
        <v>52.805497044008654</v>
      </c>
      <c r="EM140" s="20">
        <f t="shared" si="127"/>
        <v>464.66046401831505</v>
      </c>
      <c r="EN140" s="59">
        <f t="shared" si="128"/>
        <v>755.65954153281416</v>
      </c>
      <c r="EO140" s="59">
        <f ca="1">AVERAGE(OFFSET($EN$3,0,0,'Données projet'!$E$15+1,1))-AVERAGE(OFFSET($H$3,0,0,'Données projet'!$E$15+1,1))</f>
        <v>310.38232870602445</v>
      </c>
      <c r="EP140" s="59">
        <f t="shared" si="154"/>
        <v>303.45934457265537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14.497786320400815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14.497786320400815</v>
      </c>
      <c r="EZ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245.99999999999994</v>
      </c>
      <c r="FF140" s="17">
        <f>FE140*VLOOKUP('Données projet'!$B$16,Paramètres!$A$1:$I$89,3,0)*VLOOKUP('Données projet'!$B$16,Paramètres!$A$1:$I$89,5,0)</f>
        <v>234.09359999999998</v>
      </c>
      <c r="FG140" s="13">
        <f t="shared" si="155"/>
        <v>57.166902703920208</v>
      </c>
      <c r="FH140" s="20">
        <f t="shared" si="130"/>
        <v>507.27870887599425</v>
      </c>
      <c r="FI140" s="59">
        <f t="shared" si="131"/>
        <v>798.27778639049336</v>
      </c>
      <c r="FJ140" s="59">
        <f ca="1">AVERAGE(OFFSET($FI$3,0,0,'Données projet'!$E$16+1,1))-AVERAGE(OFFSET($H$3,0,0,'Données projet'!$E$16+1,1))</f>
        <v>457.706832425622</v>
      </c>
      <c r="FK140" s="59">
        <f t="shared" si="156"/>
        <v>474.61768219844873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50.437728824778652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50.437728824778652</v>
      </c>
      <c r="FU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319</v>
      </c>
      <c r="GA140" s="17">
        <f>FZ140*VLOOKUP('Données projet'!$B$17,Paramètres!$A$1:$I$89,3,0)*VLOOKUP('Données projet'!$B$17,Paramètres!$A$1:$I$89,5,0)</f>
        <v>308.53680000000003</v>
      </c>
      <c r="GB140" s="13">
        <f t="shared" si="157"/>
        <v>72.963171684496103</v>
      </c>
      <c r="GC140" s="20">
        <f t="shared" si="133"/>
        <v>664.4457840171641</v>
      </c>
      <c r="GD140" s="59">
        <f t="shared" si="134"/>
        <v>955.44486153166326</v>
      </c>
      <c r="GE140" s="59">
        <f ca="1">AVERAGE(OFFSET($GD$3,0,0,'Données projet'!$E$17+1,1))-AVERAGE(OFFSET($H$3,0,0,'Données projet'!$E$17+1,1))</f>
        <v>428.11167311086814</v>
      </c>
      <c r="GF140" s="59">
        <f t="shared" si="158"/>
        <v>415.69449942923609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16.959674563487759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16.959674563487759</v>
      </c>
      <c r="GP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1.1368683772161603E-13</v>
      </c>
      <c r="GV140" s="17">
        <f>GU140*VLOOKUP('Données projet'!$B$18,Paramètres!$A$1:$I$89,3,0)*VLOOKUP('Données projet'!$B$18,Paramètres!$A$1:$I$89,5,0)</f>
        <v>6.5087988332379613E-14</v>
      </c>
      <c r="GW140" s="13">
        <f t="shared" si="159"/>
        <v>1.0279249680474958E-12</v>
      </c>
      <c r="GX140" s="20">
        <f t="shared" si="136"/>
        <v>1.9036642323616162E-12</v>
      </c>
      <c r="GY140" s="59">
        <f t="shared" si="137"/>
        <v>290.99907751450098</v>
      </c>
      <c r="GZ140" s="59">
        <f ca="1">AVERAGE(OFFSET($GY$3,0,0,'Données projet'!$E$18+1,1))-AVERAGE(OFFSET($H$3,0,0,'Données projet'!$E$18+1,1))</f>
        <v>249.88816678272056</v>
      </c>
      <c r="HA140" s="59">
        <f t="shared" si="160"/>
        <v>432.10802787437319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9.9783527461138508</v>
      </c>
      <c r="HH140" s="21">
        <f>EXP(-LN(2)/25)*HH139+(1-EXP(-LN(2)/25))/(LN(2)/25)*Calculateur!HC140*Calculateur!HE140*VLOOKUP('Données projet'!$B$18,Paramètres!$A$1:$I$89,3,0)*0.475*44/12</f>
        <v>1.107427558613683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11.085780304727534</v>
      </c>
    </row>
    <row r="141" spans="1:218" x14ac:dyDescent="0.3">
      <c r="A141" s="10">
        <f t="shared" si="139"/>
        <v>138</v>
      </c>
      <c r="B141" s="71">
        <f>'Scénario référence'!$B$16*5+'Scénario référence'!$B$17*0+'Scénario référence'!$B$18*5</f>
        <v>1.4000000000000001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5.1333333333333337</v>
      </c>
      <c r="H141" s="65">
        <f t="shared" si="110"/>
        <v>236.13333333333335</v>
      </c>
      <c r="I141" s="6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319</v>
      </c>
      <c r="O141" s="13">
        <f>N141*VLOOKUP('Données projet'!$B$9,Paramètres!$A$1:$I$89,3,0)*VLOOKUP('Données projet'!$B$9,Paramètres!$A$1:$I$89,5,0)</f>
        <v>253.79640000000001</v>
      </c>
      <c r="P141" s="13">
        <f t="shared" si="141"/>
        <v>61.39816832228076</v>
      </c>
      <c r="Q141" s="20">
        <f t="shared" si="108"/>
        <v>548.96387316130563</v>
      </c>
      <c r="R141" s="59">
        <f t="shared" si="109"/>
        <v>840.00344479564728</v>
      </c>
      <c r="S141" s="59">
        <f ca="1">AVERAGE(OFFSET($R$3,0,0,'Données projet'!$E$9+1,1))-AVERAGE(OFFSET($H$3,0,0,'Données projet'!$E$9+1,1))</f>
        <v>360.06385535620069</v>
      </c>
      <c r="T141" s="59">
        <f t="shared" si="142"/>
        <v>350.82516032456408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16.857864470817379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16.857864470817379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277.77359999999993</v>
      </c>
      <c r="AK141" s="13">
        <f t="shared" si="143"/>
        <v>66.496288176842356</v>
      </c>
      <c r="AL141" s="20">
        <f t="shared" si="112"/>
        <v>599.60338857466706</v>
      </c>
      <c r="AM141" s="59">
        <f t="shared" si="113"/>
        <v>890.64296020900872</v>
      </c>
      <c r="AN141" s="59">
        <f ca="1">AVERAGE(OFFSET($AM$3,0,0,'Données projet'!$E$10+1,1))-AVERAGE(OFFSET($H$3,0,0,'Données projet'!$E$10+1,1))</f>
        <v>448.65237942538027</v>
      </c>
      <c r="AO141" s="59">
        <f t="shared" si="144"/>
        <v>283.56749129825107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63.474997013534683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63.474997013534683</v>
      </c>
      <c r="AY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403.99999999999989</v>
      </c>
      <c r="BE141" s="13">
        <f>BD141*VLOOKUP('Données projet'!$B$11,Paramètres!$A$1:$I$89,3,0)*VLOOKUP('Données projet'!$B$11,Paramètres!$A$1:$I$89,5,0)</f>
        <v>346.63199999999995</v>
      </c>
      <c r="BF141" s="13">
        <f t="shared" si="145"/>
        <v>80.868615263336864</v>
      </c>
      <c r="BG141" s="20">
        <f t="shared" si="115"/>
        <v>744.56357158364483</v>
      </c>
      <c r="BH141" s="59">
        <f t="shared" si="116"/>
        <v>1035.6031432179866</v>
      </c>
      <c r="BI141" s="59">
        <f ca="1">AVERAGE(OFFSET($BH$3,0,0,'Données projet'!$E$11+1,1))-AVERAGE(OFFSET($H$3,0,0,'Données projet'!$E$11+1,1))</f>
        <v>456.76871853389395</v>
      </c>
      <c r="BJ141" s="59">
        <f t="shared" si="146"/>
        <v>262.12425810289176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69.982942954441427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69.982942954441427</v>
      </c>
      <c r="BT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255.00000000000006</v>
      </c>
      <c r="BZ141" s="13">
        <f>BY141*VLOOKUP('Données projet'!$B$12,Paramètres!$A$1:$I$89,3,0)*VLOOKUP('Données projet'!$B$12,Paramètres!$A$1:$I$89,5,0)</f>
        <v>186.96600000000004</v>
      </c>
      <c r="CA141" s="13">
        <f t="shared" si="147"/>
        <v>46.868551400324648</v>
      </c>
      <c r="CB141" s="20">
        <f t="shared" si="118"/>
        <v>407.26184368889881</v>
      </c>
      <c r="CC141" s="59">
        <f t="shared" si="119"/>
        <v>698.30141532324046</v>
      </c>
      <c r="CD141" s="59">
        <f ca="1">AVERAGE(OFFSET($CC$3,0,0,'Données projet'!$E$12+1,1))-AVERAGE(OFFSET($H$3,0,0,'Données projet'!$E$12+1,1))</f>
        <v>242.65851607945316</v>
      </c>
      <c r="CE141" s="59">
        <f t="shared" si="148"/>
        <v>218.9349999985487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249.0000000000002</v>
      </c>
      <c r="CU141" s="17">
        <f>CT141*VLOOKUP('Données projet'!$B$13,Paramètres!$A$1:$I$89,3,0)*VLOOKUP('Données projet'!$B$13,Paramètres!$A$1:$I$89,5,0)</f>
        <v>217.52640000000019</v>
      </c>
      <c r="CV141" s="13">
        <f t="shared" si="149"/>
        <v>53.576907690651304</v>
      </c>
      <c r="CW141" s="20">
        <f t="shared" si="121"/>
        <v>472.17159422788467</v>
      </c>
      <c r="CX141" s="59">
        <f t="shared" si="122"/>
        <v>763.21116586222638</v>
      </c>
      <c r="CY141" s="59">
        <f ca="1">AVERAGE(OFFSET($CX$3,0,0,'Données projet'!$E$13+1,1))-AVERAGE(OFFSET($H$3,0,0,'Données projet'!$E$13+1,1))</f>
        <v>326.9460696675867</v>
      </c>
      <c r="CZ141" s="59">
        <f t="shared" si="150"/>
        <v>393.4020374592568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16.243481851772131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16.243481851772131</v>
      </c>
      <c r="DJ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349.00000000000017</v>
      </c>
      <c r="DP141" s="17">
        <f>DO141*VLOOKUP('Données projet'!$B$14,Paramètres!$A$1:$I$89,3,0)*VLOOKUP('Données projet'!$B$14,Paramètres!$A$1:$I$89,5,0)</f>
        <v>272.22000000000014</v>
      </c>
      <c r="DQ141" s="13">
        <f t="shared" si="151"/>
        <v>65.320184547527205</v>
      </c>
      <c r="DR141" s="20">
        <f t="shared" si="124"/>
        <v>587.88248808694345</v>
      </c>
      <c r="DS141" s="59">
        <f t="shared" si="125"/>
        <v>878.92205972128511</v>
      </c>
      <c r="DT141" s="59">
        <f ca="1">AVERAGE(OFFSET($DS$3,0,0,'Données projet'!$E$14+1,1))-AVERAGE(OFFSET($H$3,0,0,'Données projet'!$E$14+1,1))</f>
        <v>364.34528546733799</v>
      </c>
      <c r="DU141" s="59">
        <f t="shared" si="152"/>
        <v>346.5839763411152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22.543229188200133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22.543229188200133</v>
      </c>
      <c r="EE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213.98519999999999</v>
      </c>
      <c r="EL141" s="13">
        <f t="shared" si="153"/>
        <v>52.805497044008654</v>
      </c>
      <c r="EM141" s="20">
        <f t="shared" si="127"/>
        <v>464.66046401831505</v>
      </c>
      <c r="EN141" s="59">
        <f t="shared" si="128"/>
        <v>755.70003565265665</v>
      </c>
      <c r="EO141" s="59">
        <f ca="1">AVERAGE(OFFSET($EN$3,0,0,'Données projet'!$E$15+1,1))-AVERAGE(OFFSET($H$3,0,0,'Données projet'!$E$15+1,1))</f>
        <v>310.38232870602445</v>
      </c>
      <c r="EP141" s="59">
        <f t="shared" si="154"/>
        <v>303.45934457265537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14.213493573434258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14.213493573434258</v>
      </c>
      <c r="EZ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245.99999999999994</v>
      </c>
      <c r="FF141" s="17">
        <f>FE141*VLOOKUP('Données projet'!$B$16,Paramètres!$A$1:$I$89,3,0)*VLOOKUP('Données projet'!$B$16,Paramètres!$A$1:$I$89,5,0)</f>
        <v>234.09359999999998</v>
      </c>
      <c r="FG141" s="13">
        <f t="shared" si="155"/>
        <v>57.166902703920208</v>
      </c>
      <c r="FH141" s="20">
        <f t="shared" si="130"/>
        <v>507.27870887599425</v>
      </c>
      <c r="FI141" s="59">
        <f t="shared" si="131"/>
        <v>798.31828051033585</v>
      </c>
      <c r="FJ141" s="59">
        <f ca="1">AVERAGE(OFFSET($FI$3,0,0,'Données projet'!$E$16+1,1))-AVERAGE(OFFSET($H$3,0,0,'Données projet'!$E$16+1,1))</f>
        <v>457.706832425622</v>
      </c>
      <c r="FK141" s="59">
        <f t="shared" si="156"/>
        <v>474.61768219844873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49.448675726501634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49.448675726501634</v>
      </c>
      <c r="FU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319</v>
      </c>
      <c r="GA141" s="17">
        <f>FZ141*VLOOKUP('Données projet'!$B$17,Paramètres!$A$1:$I$89,3,0)*VLOOKUP('Données projet'!$B$17,Paramètres!$A$1:$I$89,5,0)</f>
        <v>308.53680000000003</v>
      </c>
      <c r="GB141" s="13">
        <f t="shared" si="157"/>
        <v>72.963171684496103</v>
      </c>
      <c r="GC141" s="20">
        <f t="shared" si="133"/>
        <v>664.4457840171641</v>
      </c>
      <c r="GD141" s="59">
        <f t="shared" si="134"/>
        <v>955.48535565150576</v>
      </c>
      <c r="GE141" s="59">
        <f ca="1">AVERAGE(OFFSET($GD$3,0,0,'Données projet'!$E$17+1,1))-AVERAGE(OFFSET($H$3,0,0,'Données projet'!$E$17+1,1))</f>
        <v>428.11167311086814</v>
      </c>
      <c r="GF141" s="59">
        <f t="shared" si="158"/>
        <v>415.69449942923609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16.627105689677826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16.627105689677826</v>
      </c>
      <c r="GP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1.1368683772161603E-13</v>
      </c>
      <c r="GV141" s="17">
        <f>GU141*VLOOKUP('Données projet'!$B$18,Paramètres!$A$1:$I$89,3,0)*VLOOKUP('Données projet'!$B$18,Paramètres!$A$1:$I$89,5,0)</f>
        <v>6.5087988332379613E-14</v>
      </c>
      <c r="GW141" s="13">
        <f t="shared" si="159"/>
        <v>1.0279249680474958E-12</v>
      </c>
      <c r="GX141" s="20">
        <f t="shared" si="136"/>
        <v>1.9036642323616162E-12</v>
      </c>
      <c r="GY141" s="59">
        <f t="shared" si="137"/>
        <v>291.03957163434353</v>
      </c>
      <c r="GZ141" s="59">
        <f ca="1">AVERAGE(OFFSET($GY$3,0,0,'Données projet'!$E$18+1,1))-AVERAGE(OFFSET($H$3,0,0,'Données projet'!$E$18+1,1))</f>
        <v>249.88816678272056</v>
      </c>
      <c r="HA141" s="59">
        <f t="shared" si="160"/>
        <v>432.10802787437319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9.7826833349567721</v>
      </c>
      <c r="HH141" s="21">
        <f>EXP(-LN(2)/25)*HH140+(1-EXP(-LN(2)/25))/(LN(2)/25)*Calculateur!HC141*Calculateur!HE141*VLOOKUP('Données projet'!$B$18,Paramètres!$A$1:$I$89,3,0)*0.475*44/12</f>
        <v>1.0771448937863075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10.85982822874308</v>
      </c>
    </row>
    <row r="142" spans="1:218" x14ac:dyDescent="0.3">
      <c r="A142" s="10">
        <f t="shared" si="139"/>
        <v>139</v>
      </c>
      <c r="B142" s="71">
        <f>'Scénario référence'!$B$16*5+'Scénario référence'!$B$17*0+'Scénario référence'!$B$18*5</f>
        <v>1.4000000000000001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5.1333333333333337</v>
      </c>
      <c r="H142" s="65">
        <f t="shared" si="110"/>
        <v>236.13333333333335</v>
      </c>
      <c r="I142" s="6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319</v>
      </c>
      <c r="O142" s="13">
        <f>N142*VLOOKUP('Données projet'!$B$9,Paramètres!$A$1:$I$89,3,0)*VLOOKUP('Données projet'!$B$9,Paramètres!$A$1:$I$89,5,0)</f>
        <v>253.79640000000001</v>
      </c>
      <c r="P142" s="13">
        <f t="shared" si="141"/>
        <v>61.39816832228076</v>
      </c>
      <c r="Q142" s="20">
        <f t="shared" si="108"/>
        <v>548.96387316130563</v>
      </c>
      <c r="R142" s="59">
        <f t="shared" si="109"/>
        <v>840.04323643304178</v>
      </c>
      <c r="S142" s="59">
        <f ca="1">AVERAGE(OFFSET($R$3,0,0,'Données projet'!$E$9+1,1))-AVERAGE(OFFSET($H$3,0,0,'Données projet'!$E$9+1,1))</f>
        <v>360.06385535620069</v>
      </c>
      <c r="T142" s="59">
        <f t="shared" si="142"/>
        <v>350.82516032456408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16.527292030826686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16.527292030826686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277.77359999999993</v>
      </c>
      <c r="AK142" s="13">
        <f t="shared" si="143"/>
        <v>66.496288176842356</v>
      </c>
      <c r="AL142" s="20">
        <f t="shared" si="112"/>
        <v>599.60338857466706</v>
      </c>
      <c r="AM142" s="59">
        <f t="shared" si="113"/>
        <v>890.68275184640333</v>
      </c>
      <c r="AN142" s="59">
        <f ca="1">AVERAGE(OFFSET($AM$3,0,0,'Données projet'!$E$10+1,1))-AVERAGE(OFFSET($H$3,0,0,'Données projet'!$E$10+1,1))</f>
        <v>448.65237942538027</v>
      </c>
      <c r="AO142" s="59">
        <f t="shared" si="144"/>
        <v>283.56749129825107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62.230291038024568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62.230291038024568</v>
      </c>
      <c r="AY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403.99999999999989</v>
      </c>
      <c r="BE142" s="13">
        <f>BD142*VLOOKUP('Données projet'!$B$11,Paramètres!$A$1:$I$89,3,0)*VLOOKUP('Données projet'!$B$11,Paramètres!$A$1:$I$89,5,0)</f>
        <v>346.63199999999995</v>
      </c>
      <c r="BF142" s="13">
        <f t="shared" si="145"/>
        <v>80.868615263336864</v>
      </c>
      <c r="BG142" s="20">
        <f t="shared" si="115"/>
        <v>744.56357158364483</v>
      </c>
      <c r="BH142" s="59">
        <f t="shared" si="116"/>
        <v>1035.6429348553811</v>
      </c>
      <c r="BI142" s="59">
        <f ca="1">AVERAGE(OFFSET($BH$3,0,0,'Données projet'!$E$11+1,1))-AVERAGE(OFFSET($H$3,0,0,'Données projet'!$E$11+1,1))</f>
        <v>456.76871853389395</v>
      </c>
      <c r="BJ142" s="59">
        <f t="shared" si="146"/>
        <v>262.12425810289176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68.610620128485195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68.610620128485195</v>
      </c>
      <c r="BT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255.00000000000006</v>
      </c>
      <c r="BZ142" s="13">
        <f>BY142*VLOOKUP('Données projet'!$B$12,Paramètres!$A$1:$I$89,3,0)*VLOOKUP('Données projet'!$B$12,Paramètres!$A$1:$I$89,5,0)</f>
        <v>186.96600000000004</v>
      </c>
      <c r="CA142" s="13">
        <f t="shared" si="147"/>
        <v>46.868551400324648</v>
      </c>
      <c r="CB142" s="20">
        <f t="shared" si="118"/>
        <v>407.26184368889881</v>
      </c>
      <c r="CC142" s="59">
        <f t="shared" si="119"/>
        <v>698.34120696063496</v>
      </c>
      <c r="CD142" s="59">
        <f ca="1">AVERAGE(OFFSET($CC$3,0,0,'Données projet'!$E$12+1,1))-AVERAGE(OFFSET($H$3,0,0,'Données projet'!$E$12+1,1))</f>
        <v>242.65851607945316</v>
      </c>
      <c r="CE142" s="59">
        <f t="shared" si="148"/>
        <v>218.9349999985487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249.0000000000002</v>
      </c>
      <c r="CU142" s="17">
        <f>CT142*VLOOKUP('Données projet'!$B$13,Paramètres!$A$1:$I$89,3,0)*VLOOKUP('Données projet'!$B$13,Paramètres!$A$1:$I$89,5,0)</f>
        <v>217.52640000000019</v>
      </c>
      <c r="CV142" s="13">
        <f t="shared" si="149"/>
        <v>53.576907690651304</v>
      </c>
      <c r="CW142" s="20">
        <f t="shared" si="121"/>
        <v>472.17159422788467</v>
      </c>
      <c r="CX142" s="59">
        <f t="shared" si="122"/>
        <v>763.25095749962088</v>
      </c>
      <c r="CY142" s="59">
        <f ca="1">AVERAGE(OFFSET($CX$3,0,0,'Données projet'!$E$13+1,1))-AVERAGE(OFFSET($H$3,0,0,'Données projet'!$E$13+1,1))</f>
        <v>326.9460696675867</v>
      </c>
      <c r="CZ142" s="59">
        <f t="shared" si="150"/>
        <v>393.4020374592568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15.924957080204519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15.924957080204519</v>
      </c>
      <c r="DJ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349.00000000000017</v>
      </c>
      <c r="DP142" s="17">
        <f>DO142*VLOOKUP('Données projet'!$B$14,Paramètres!$A$1:$I$89,3,0)*VLOOKUP('Données projet'!$B$14,Paramètres!$A$1:$I$89,5,0)</f>
        <v>272.22000000000014</v>
      </c>
      <c r="DQ142" s="13">
        <f t="shared" si="151"/>
        <v>65.320184547527205</v>
      </c>
      <c r="DR142" s="20">
        <f t="shared" si="124"/>
        <v>587.88248808694345</v>
      </c>
      <c r="DS142" s="59">
        <f t="shared" si="125"/>
        <v>878.96185135867972</v>
      </c>
      <c r="DT142" s="59">
        <f ca="1">AVERAGE(OFFSET($DS$3,0,0,'Données projet'!$E$14+1,1))-AVERAGE(OFFSET($H$3,0,0,'Données projet'!$E$14+1,1))</f>
        <v>364.34528546733799</v>
      </c>
      <c r="DU142" s="59">
        <f t="shared" si="152"/>
        <v>346.5839763411152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22.101170213831633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22.101170213831633</v>
      </c>
      <c r="EE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213.98519999999999</v>
      </c>
      <c r="EL142" s="13">
        <f t="shared" si="153"/>
        <v>52.805497044008654</v>
      </c>
      <c r="EM142" s="20">
        <f t="shared" si="127"/>
        <v>464.66046401831505</v>
      </c>
      <c r="EN142" s="59">
        <f t="shared" si="128"/>
        <v>755.73982729005127</v>
      </c>
      <c r="EO142" s="59">
        <f ca="1">AVERAGE(OFFSET($EN$3,0,0,'Données projet'!$E$15+1,1))-AVERAGE(OFFSET($H$3,0,0,'Données projet'!$E$15+1,1))</f>
        <v>310.38232870602445</v>
      </c>
      <c r="EP142" s="59">
        <f t="shared" si="154"/>
        <v>303.45934457265537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13.934775633834262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13.934775633834262</v>
      </c>
      <c r="EZ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245.99999999999994</v>
      </c>
      <c r="FF142" s="17">
        <f>FE142*VLOOKUP('Données projet'!$B$16,Paramètres!$A$1:$I$89,3,0)*VLOOKUP('Données projet'!$B$16,Paramètres!$A$1:$I$89,5,0)</f>
        <v>234.09359999999998</v>
      </c>
      <c r="FG142" s="13">
        <f t="shared" si="155"/>
        <v>57.166902703920208</v>
      </c>
      <c r="FH142" s="20">
        <f t="shared" si="130"/>
        <v>507.27870887599425</v>
      </c>
      <c r="FI142" s="59">
        <f t="shared" si="131"/>
        <v>798.35807214773047</v>
      </c>
      <c r="FJ142" s="59">
        <f ca="1">AVERAGE(OFFSET($FI$3,0,0,'Données projet'!$E$16+1,1))-AVERAGE(OFFSET($H$3,0,0,'Données projet'!$E$16+1,1))</f>
        <v>457.706832425622</v>
      </c>
      <c r="FK142" s="59">
        <f t="shared" si="156"/>
        <v>474.61768219844873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48.479017356219003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48.479017356219003</v>
      </c>
      <c r="FU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319</v>
      </c>
      <c r="GA142" s="17">
        <f>FZ142*VLOOKUP('Données projet'!$B$17,Paramètres!$A$1:$I$89,3,0)*VLOOKUP('Données projet'!$B$17,Paramètres!$A$1:$I$89,5,0)</f>
        <v>308.53680000000003</v>
      </c>
      <c r="GB142" s="13">
        <f t="shared" si="157"/>
        <v>72.963171684496103</v>
      </c>
      <c r="GC142" s="20">
        <f t="shared" si="133"/>
        <v>664.4457840171641</v>
      </c>
      <c r="GD142" s="59">
        <f t="shared" si="134"/>
        <v>955.52514728890037</v>
      </c>
      <c r="GE142" s="59">
        <f ca="1">AVERAGE(OFFSET($GD$3,0,0,'Données projet'!$E$17+1,1))-AVERAGE(OFFSET($H$3,0,0,'Données projet'!$E$17+1,1))</f>
        <v>428.11167311086814</v>
      </c>
      <c r="GF142" s="59">
        <f t="shared" si="158"/>
        <v>415.69449942923609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16.301058288636323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16.301058288636323</v>
      </c>
      <c r="GP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1.1368683772161603E-13</v>
      </c>
      <c r="GV142" s="17">
        <f>GU142*VLOOKUP('Données projet'!$B$18,Paramètres!$A$1:$I$89,3,0)*VLOOKUP('Données projet'!$B$18,Paramètres!$A$1:$I$89,5,0)</f>
        <v>6.5087988332379613E-14</v>
      </c>
      <c r="GW142" s="13">
        <f t="shared" si="159"/>
        <v>1.0279249680474958E-12</v>
      </c>
      <c r="GX142" s="20">
        <f t="shared" si="136"/>
        <v>1.9036642323616162E-12</v>
      </c>
      <c r="GY142" s="59">
        <f t="shared" si="137"/>
        <v>291.07936327173809</v>
      </c>
      <c r="GZ142" s="59">
        <f ca="1">AVERAGE(OFFSET($GY$3,0,0,'Données projet'!$E$18+1,1))-AVERAGE(OFFSET($H$3,0,0,'Données projet'!$E$18+1,1))</f>
        <v>249.88816678272056</v>
      </c>
      <c r="HA142" s="59">
        <f t="shared" si="160"/>
        <v>432.10802787437319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9.5908508816059275</v>
      </c>
      <c r="HH142" s="21">
        <f>EXP(-LN(2)/25)*HH141+(1-EXP(-LN(2)/25))/(LN(2)/25)*Calculateur!HC142*Calculateur!HE142*VLOOKUP('Données projet'!$B$18,Paramètres!$A$1:$I$89,3,0)*0.475*44/12</f>
        <v>1.0476903100211328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10.638541191627061</v>
      </c>
    </row>
    <row r="143" spans="1:218" x14ac:dyDescent="0.3">
      <c r="A143" s="10">
        <f t="shared" si="139"/>
        <v>140</v>
      </c>
      <c r="B143" s="71">
        <f>'Scénario référence'!$B$16*5+'Scénario référence'!$B$17*0+'Scénario référence'!$B$18*5</f>
        <v>1.4000000000000001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5.1333333333333337</v>
      </c>
      <c r="H143" s="65">
        <f t="shared" si="110"/>
        <v>236.13333333333335</v>
      </c>
      <c r="I143" s="6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319</v>
      </c>
      <c r="O143" s="13">
        <f>N143*VLOOKUP('Données projet'!$B$9,Paramètres!$A$1:$I$89,3,0)*VLOOKUP('Données projet'!$B$9,Paramètres!$A$1:$I$89,5,0)</f>
        <v>253.79640000000001</v>
      </c>
      <c r="P143" s="13">
        <f t="shared" si="141"/>
        <v>61.39816832228076</v>
      </c>
      <c r="Q143" s="20">
        <f t="shared" si="108"/>
        <v>548.96387316130563</v>
      </c>
      <c r="R143" s="59">
        <f t="shared" si="109"/>
        <v>840.08233777448845</v>
      </c>
      <c r="S143" s="59">
        <f ca="1">AVERAGE(OFFSET($R$3,0,0,'Données projet'!$E$9+1,1))-AVERAGE(OFFSET($H$3,0,0,'Données projet'!$E$9+1,1))</f>
        <v>360.06385535620069</v>
      </c>
      <c r="T143" s="59">
        <f t="shared" si="142"/>
        <v>350.82516032456408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16.203201914754931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16.203201914754931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277.77359999999993</v>
      </c>
      <c r="AK143" s="13">
        <f t="shared" si="143"/>
        <v>66.496288176842356</v>
      </c>
      <c r="AL143" s="20">
        <f t="shared" si="112"/>
        <v>599.60338857466706</v>
      </c>
      <c r="AM143" s="59">
        <f t="shared" si="113"/>
        <v>890.72185318784989</v>
      </c>
      <c r="AN143" s="59">
        <f ca="1">AVERAGE(OFFSET($AM$3,0,0,'Données projet'!$E$10+1,1))-AVERAGE(OFFSET($H$3,0,0,'Données projet'!$E$10+1,1))</f>
        <v>448.65237942538027</v>
      </c>
      <c r="AO143" s="59">
        <f t="shared" si="144"/>
        <v>283.56749129825107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61.009992987498521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61.009992987498521</v>
      </c>
      <c r="AY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403.99999999999989</v>
      </c>
      <c r="BE143" s="13">
        <f>BD143*VLOOKUP('Données projet'!$B$11,Paramètres!$A$1:$I$89,3,0)*VLOOKUP('Données projet'!$B$11,Paramètres!$A$1:$I$89,5,0)</f>
        <v>346.63199999999995</v>
      </c>
      <c r="BF143" s="13">
        <f t="shared" si="145"/>
        <v>80.868615263336864</v>
      </c>
      <c r="BG143" s="20">
        <f t="shared" si="115"/>
        <v>744.56357158364483</v>
      </c>
      <c r="BH143" s="59">
        <f t="shared" si="116"/>
        <v>1035.6820361968275</v>
      </c>
      <c r="BI143" s="59">
        <f ca="1">AVERAGE(OFFSET($BH$3,0,0,'Données projet'!$E$11+1,1))-AVERAGE(OFFSET($H$3,0,0,'Données projet'!$E$11+1,1))</f>
        <v>456.76871853389395</v>
      </c>
      <c r="BJ143" s="59">
        <f t="shared" si="146"/>
        <v>262.12425810289176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67.265207716111703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67.265207716111703</v>
      </c>
      <c r="BT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255.00000000000006</v>
      </c>
      <c r="BZ143" s="13">
        <f>BY143*VLOOKUP('Données projet'!$B$12,Paramètres!$A$1:$I$89,3,0)*VLOOKUP('Données projet'!$B$12,Paramètres!$A$1:$I$89,5,0)</f>
        <v>186.96600000000004</v>
      </c>
      <c r="CA143" s="13">
        <f t="shared" si="147"/>
        <v>46.868551400324648</v>
      </c>
      <c r="CB143" s="20">
        <f t="shared" si="118"/>
        <v>407.26184368889881</v>
      </c>
      <c r="CC143" s="59">
        <f t="shared" si="119"/>
        <v>698.38030830208163</v>
      </c>
      <c r="CD143" s="59">
        <f ca="1">AVERAGE(OFFSET($CC$3,0,0,'Données projet'!$E$12+1,1))-AVERAGE(OFFSET($H$3,0,0,'Données projet'!$E$12+1,1))</f>
        <v>242.65851607945316</v>
      </c>
      <c r="CE143" s="59">
        <f t="shared" si="148"/>
        <v>218.9349999985487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249.0000000000002</v>
      </c>
      <c r="CU143" s="17">
        <f>CT143*VLOOKUP('Données projet'!$B$13,Paramètres!$A$1:$I$89,3,0)*VLOOKUP('Données projet'!$B$13,Paramètres!$A$1:$I$89,5,0)</f>
        <v>217.52640000000019</v>
      </c>
      <c r="CV143" s="13">
        <f t="shared" si="149"/>
        <v>53.576907690651304</v>
      </c>
      <c r="CW143" s="20">
        <f t="shared" si="121"/>
        <v>472.17159422788467</v>
      </c>
      <c r="CX143" s="59">
        <f t="shared" si="122"/>
        <v>763.29005884106755</v>
      </c>
      <c r="CY143" s="59">
        <f ca="1">AVERAGE(OFFSET($CX$3,0,0,'Données projet'!$E$13+1,1))-AVERAGE(OFFSET($H$3,0,0,'Données projet'!$E$13+1,1))</f>
        <v>326.9460696675867</v>
      </c>
      <c r="CZ143" s="59">
        <f t="shared" si="150"/>
        <v>393.4020374592568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15.612678385126422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15.612678385126422</v>
      </c>
      <c r="DJ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349.00000000000017</v>
      </c>
      <c r="DP143" s="17">
        <f>DO143*VLOOKUP('Données projet'!$B$14,Paramètres!$A$1:$I$89,3,0)*VLOOKUP('Données projet'!$B$14,Paramètres!$A$1:$I$89,5,0)</f>
        <v>272.22000000000014</v>
      </c>
      <c r="DQ143" s="13">
        <f t="shared" si="151"/>
        <v>65.320184547527205</v>
      </c>
      <c r="DR143" s="20">
        <f t="shared" si="124"/>
        <v>587.88248808694345</v>
      </c>
      <c r="DS143" s="59">
        <f t="shared" si="125"/>
        <v>879.00095270012628</v>
      </c>
      <c r="DT143" s="59">
        <f ca="1">AVERAGE(OFFSET($DS$3,0,0,'Données projet'!$E$14+1,1))-AVERAGE(OFFSET($H$3,0,0,'Données projet'!$E$14+1,1))</f>
        <v>364.34528546733799</v>
      </c>
      <c r="DU143" s="59">
        <f t="shared" si="152"/>
        <v>346.5839763411152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21.667779746321148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21.667779746321148</v>
      </c>
      <c r="EE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213.98519999999999</v>
      </c>
      <c r="EL143" s="13">
        <f t="shared" si="153"/>
        <v>52.805497044008654</v>
      </c>
      <c r="EM143" s="20">
        <f t="shared" si="127"/>
        <v>464.66046401831505</v>
      </c>
      <c r="EN143" s="59">
        <f t="shared" si="128"/>
        <v>755.77892863149782</v>
      </c>
      <c r="EO143" s="59">
        <f ca="1">AVERAGE(OFFSET($EN$3,0,0,'Données projet'!$E$15+1,1))-AVERAGE(OFFSET($H$3,0,0,'Données projet'!$E$15+1,1))</f>
        <v>310.38232870602445</v>
      </c>
      <c r="EP143" s="59">
        <f t="shared" si="154"/>
        <v>303.45934457265537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13.661523183028665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13.661523183028665</v>
      </c>
      <c r="EZ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245.99999999999994</v>
      </c>
      <c r="FF143" s="17">
        <f>FE143*VLOOKUP('Données projet'!$B$16,Paramètres!$A$1:$I$89,3,0)*VLOOKUP('Données projet'!$B$16,Paramètres!$A$1:$I$89,5,0)</f>
        <v>234.09359999999998</v>
      </c>
      <c r="FG143" s="13">
        <f t="shared" si="155"/>
        <v>57.166902703920208</v>
      </c>
      <c r="FH143" s="20">
        <f t="shared" si="130"/>
        <v>507.27870887599425</v>
      </c>
      <c r="FI143" s="59">
        <f t="shared" si="131"/>
        <v>798.39717348917702</v>
      </c>
      <c r="FJ143" s="59">
        <f ca="1">AVERAGE(OFFSET($FI$3,0,0,'Données projet'!$E$16+1,1))-AVERAGE(OFFSET($H$3,0,0,'Données projet'!$E$16+1,1))</f>
        <v>457.706832425622</v>
      </c>
      <c r="FK143" s="59">
        <f t="shared" si="156"/>
        <v>474.61768219844873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47.528373395144413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47.528373395144413</v>
      </c>
      <c r="FU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319</v>
      </c>
      <c r="GA143" s="17">
        <f>FZ143*VLOOKUP('Données projet'!$B$17,Paramètres!$A$1:$I$89,3,0)*VLOOKUP('Données projet'!$B$17,Paramètres!$A$1:$I$89,5,0)</f>
        <v>308.53680000000003</v>
      </c>
      <c r="GB143" s="13">
        <f t="shared" si="157"/>
        <v>72.963171684496103</v>
      </c>
      <c r="GC143" s="20">
        <f t="shared" si="133"/>
        <v>664.4457840171641</v>
      </c>
      <c r="GD143" s="59">
        <f t="shared" si="134"/>
        <v>955.56424863034692</v>
      </c>
      <c r="GE143" s="59">
        <f ca="1">AVERAGE(OFFSET($GD$3,0,0,'Données projet'!$E$17+1,1))-AVERAGE(OFFSET($H$3,0,0,'Données projet'!$E$17+1,1))</f>
        <v>428.11167311086814</v>
      </c>
      <c r="GF143" s="59">
        <f t="shared" si="158"/>
        <v>415.69449942923609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15.981404478259964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15.981404478259964</v>
      </c>
      <c r="GP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1.1368683772161603E-13</v>
      </c>
      <c r="GV143" s="17">
        <f>GU143*VLOOKUP('Données projet'!$B$18,Paramètres!$A$1:$I$89,3,0)*VLOOKUP('Données projet'!$B$18,Paramètres!$A$1:$I$89,5,0)</f>
        <v>6.5087988332379613E-14</v>
      </c>
      <c r="GW143" s="13">
        <f t="shared" si="159"/>
        <v>1.0279249680474958E-12</v>
      </c>
      <c r="GX143" s="20">
        <f t="shared" si="136"/>
        <v>1.9036642323616162E-12</v>
      </c>
      <c r="GY143" s="59">
        <f t="shared" si="137"/>
        <v>291.1184646131847</v>
      </c>
      <c r="GZ143" s="59">
        <f ca="1">AVERAGE(OFFSET($GY$3,0,0,'Données projet'!$E$18+1,1))-AVERAGE(OFFSET($H$3,0,0,'Données projet'!$E$18+1,1))</f>
        <v>249.88816678272056</v>
      </c>
      <c r="HA143" s="59">
        <f t="shared" si="160"/>
        <v>432.10802787437319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9.4027801456590492</v>
      </c>
      <c r="HH143" s="21">
        <f>EXP(-LN(2)/25)*HH142+(1-EXP(-LN(2)/25))/(LN(2)/25)*Calculateur!HC143*Calculateur!HE143*VLOOKUP('Données projet'!$B$18,Paramètres!$A$1:$I$89,3,0)*0.475*44/12</f>
        <v>1.0190411633979661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10.421821309057016</v>
      </c>
    </row>
    <row r="144" spans="1:218" x14ac:dyDescent="0.3">
      <c r="A144" s="10">
        <f t="shared" si="139"/>
        <v>141</v>
      </c>
      <c r="B144" s="71">
        <f>'Scénario référence'!$B$16*5+'Scénario référence'!$B$17*0+'Scénario référence'!$B$18*5</f>
        <v>1.4000000000000001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5.1333333333333337</v>
      </c>
      <c r="H144" s="65">
        <f t="shared" si="110"/>
        <v>236.13333333333335</v>
      </c>
      <c r="I144" s="6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319</v>
      </c>
      <c r="O144" s="13">
        <f>N144*VLOOKUP('Données projet'!$B$9,Paramètres!$A$1:$I$89,3,0)*VLOOKUP('Données projet'!$B$9,Paramètres!$A$1:$I$89,5,0)</f>
        <v>253.79640000000001</v>
      </c>
      <c r="P144" s="13">
        <f t="shared" si="141"/>
        <v>61.39816832228076</v>
      </c>
      <c r="Q144" s="20">
        <f t="shared" si="108"/>
        <v>548.96387316130563</v>
      </c>
      <c r="R144" s="59">
        <f t="shared" si="109"/>
        <v>840.12076079507847</v>
      </c>
      <c r="S144" s="59">
        <f ca="1">AVERAGE(OFFSET($R$3,0,0,'Données projet'!$E$9+1,1))-AVERAGE(OFFSET($H$3,0,0,'Données projet'!$E$9+1,1))</f>
        <v>360.06385535620069</v>
      </c>
      <c r="T144" s="59">
        <f t="shared" si="142"/>
        <v>350.82516032456408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15.885467008183893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15.885467008183893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277.77359999999993</v>
      </c>
      <c r="AK144" s="13">
        <f t="shared" si="143"/>
        <v>66.496288176842356</v>
      </c>
      <c r="AL144" s="20">
        <f t="shared" si="112"/>
        <v>599.60338857466706</v>
      </c>
      <c r="AM144" s="59">
        <f t="shared" si="113"/>
        <v>890.76027620843979</v>
      </c>
      <c r="AN144" s="59">
        <f ca="1">AVERAGE(OFFSET($AM$3,0,0,'Données projet'!$E$10+1,1))-AVERAGE(OFFSET($H$3,0,0,'Données projet'!$E$10+1,1))</f>
        <v>448.65237942538027</v>
      </c>
      <c r="AO144" s="59">
        <f t="shared" si="144"/>
        <v>283.56749129825107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59.813624237434979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59.813624237434979</v>
      </c>
      <c r="AY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403.99999999999989</v>
      </c>
      <c r="BE144" s="13">
        <f>BD144*VLOOKUP('Données projet'!$B$11,Paramètres!$A$1:$I$89,3,0)*VLOOKUP('Données projet'!$B$11,Paramètres!$A$1:$I$89,5,0)</f>
        <v>346.63199999999995</v>
      </c>
      <c r="BF144" s="13">
        <f t="shared" si="145"/>
        <v>80.868615263336864</v>
      </c>
      <c r="BG144" s="20">
        <f t="shared" si="115"/>
        <v>744.56357158364483</v>
      </c>
      <c r="BH144" s="59">
        <f t="shared" si="116"/>
        <v>1035.7204592174176</v>
      </c>
      <c r="BI144" s="59">
        <f ca="1">AVERAGE(OFFSET($BH$3,0,0,'Données projet'!$E$11+1,1))-AVERAGE(OFFSET($H$3,0,0,'Données projet'!$E$11+1,1))</f>
        <v>456.76871853389395</v>
      </c>
      <c r="BJ144" s="59">
        <f t="shared" si="146"/>
        <v>262.12425810289176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65.946178020524314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65.946178020524314</v>
      </c>
      <c r="BT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255.00000000000006</v>
      </c>
      <c r="BZ144" s="13">
        <f>BY144*VLOOKUP('Données projet'!$B$12,Paramètres!$A$1:$I$89,3,0)*VLOOKUP('Données projet'!$B$12,Paramètres!$A$1:$I$89,5,0)</f>
        <v>186.96600000000004</v>
      </c>
      <c r="CA144" s="13">
        <f t="shared" si="147"/>
        <v>46.868551400324648</v>
      </c>
      <c r="CB144" s="20">
        <f t="shared" si="118"/>
        <v>407.26184368889881</v>
      </c>
      <c r="CC144" s="59">
        <f t="shared" si="119"/>
        <v>698.41873132267165</v>
      </c>
      <c r="CD144" s="59">
        <f ca="1">AVERAGE(OFFSET($CC$3,0,0,'Données projet'!$E$12+1,1))-AVERAGE(OFFSET($H$3,0,0,'Données projet'!$E$12+1,1))</f>
        <v>242.65851607945316</v>
      </c>
      <c r="CE144" s="59">
        <f t="shared" si="148"/>
        <v>218.9349999985487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249.0000000000002</v>
      </c>
      <c r="CU144" s="17">
        <f>CT144*VLOOKUP('Données projet'!$B$13,Paramètres!$A$1:$I$89,3,0)*VLOOKUP('Données projet'!$B$13,Paramètres!$A$1:$I$89,5,0)</f>
        <v>217.52640000000019</v>
      </c>
      <c r="CV144" s="13">
        <f t="shared" si="149"/>
        <v>53.576907690651304</v>
      </c>
      <c r="CW144" s="20">
        <f t="shared" si="121"/>
        <v>472.17159422788467</v>
      </c>
      <c r="CX144" s="59">
        <f t="shared" si="122"/>
        <v>763.32848186165745</v>
      </c>
      <c r="CY144" s="59">
        <f ca="1">AVERAGE(OFFSET($CX$3,0,0,'Données projet'!$E$13+1,1))-AVERAGE(OFFSET($H$3,0,0,'Données projet'!$E$13+1,1))</f>
        <v>326.9460696675867</v>
      </c>
      <c r="CZ144" s="59">
        <f t="shared" si="150"/>
        <v>393.4020374592568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15.306523284787611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15.306523284787611</v>
      </c>
      <c r="DJ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349.00000000000017</v>
      </c>
      <c r="DP144" s="17">
        <f>DO144*VLOOKUP('Données projet'!$B$14,Paramètres!$A$1:$I$89,3,0)*VLOOKUP('Données projet'!$B$14,Paramètres!$A$1:$I$89,5,0)</f>
        <v>272.22000000000014</v>
      </c>
      <c r="DQ144" s="13">
        <f t="shared" si="151"/>
        <v>65.320184547527205</v>
      </c>
      <c r="DR144" s="20">
        <f t="shared" si="124"/>
        <v>587.88248808694345</v>
      </c>
      <c r="DS144" s="59">
        <f t="shared" si="125"/>
        <v>879.03937572071618</v>
      </c>
      <c r="DT144" s="59">
        <f ca="1">AVERAGE(OFFSET($DS$3,0,0,'Données projet'!$E$14+1,1))-AVERAGE(OFFSET($H$3,0,0,'Données projet'!$E$14+1,1))</f>
        <v>364.34528546733799</v>
      </c>
      <c r="DU144" s="59">
        <f t="shared" si="152"/>
        <v>346.5839763411152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21.242887801536462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21.242887801536462</v>
      </c>
      <c r="EE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213.98519999999999</v>
      </c>
      <c r="EL144" s="13">
        <f t="shared" si="153"/>
        <v>52.805497044008654</v>
      </c>
      <c r="EM144" s="20">
        <f t="shared" si="127"/>
        <v>464.66046401831505</v>
      </c>
      <c r="EN144" s="59">
        <f t="shared" si="128"/>
        <v>755.81735165208784</v>
      </c>
      <c r="EO144" s="59">
        <f ca="1">AVERAGE(OFFSET($EN$3,0,0,'Données projet'!$E$15+1,1))-AVERAGE(OFFSET($H$3,0,0,'Données projet'!$E$15+1,1))</f>
        <v>310.38232870602445</v>
      </c>
      <c r="EP144" s="59">
        <f t="shared" si="154"/>
        <v>303.45934457265537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13.393629046115828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13.393629046115828</v>
      </c>
      <c r="EZ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245.99999999999994</v>
      </c>
      <c r="FF144" s="17">
        <f>FE144*VLOOKUP('Données projet'!$B$16,Paramètres!$A$1:$I$89,3,0)*VLOOKUP('Données projet'!$B$16,Paramètres!$A$1:$I$89,5,0)</f>
        <v>234.09359999999998</v>
      </c>
      <c r="FG144" s="13">
        <f t="shared" si="155"/>
        <v>57.166902703920208</v>
      </c>
      <c r="FH144" s="20">
        <f t="shared" si="130"/>
        <v>507.27870887599425</v>
      </c>
      <c r="FI144" s="59">
        <f t="shared" si="131"/>
        <v>798.43559650976704</v>
      </c>
      <c r="FJ144" s="59">
        <f ca="1">AVERAGE(OFFSET($FI$3,0,0,'Données projet'!$E$16+1,1))-AVERAGE(OFFSET($H$3,0,0,'Données projet'!$E$16+1,1))</f>
        <v>457.706832425622</v>
      </c>
      <c r="FK144" s="59">
        <f t="shared" si="156"/>
        <v>474.61768219844873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46.59637098231093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46.59637098231093</v>
      </c>
      <c r="FU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319</v>
      </c>
      <c r="GA144" s="17">
        <f>FZ144*VLOOKUP('Données projet'!$B$17,Paramètres!$A$1:$I$89,3,0)*VLOOKUP('Données projet'!$B$17,Paramètres!$A$1:$I$89,5,0)</f>
        <v>308.53680000000003</v>
      </c>
      <c r="GB144" s="13">
        <f t="shared" si="157"/>
        <v>72.963171684496103</v>
      </c>
      <c r="GC144" s="20">
        <f t="shared" si="133"/>
        <v>664.4457840171641</v>
      </c>
      <c r="GD144" s="59">
        <f t="shared" si="134"/>
        <v>955.60267165093683</v>
      </c>
      <c r="GE144" s="59">
        <f ca="1">AVERAGE(OFFSET($GD$3,0,0,'Données projet'!$E$17+1,1))-AVERAGE(OFFSET($H$3,0,0,'Données projet'!$E$17+1,1))</f>
        <v>428.11167311086814</v>
      </c>
      <c r="GF144" s="59">
        <f t="shared" si="158"/>
        <v>415.69449942923609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15.668018884135513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15.668018884135513</v>
      </c>
      <c r="GP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1.1368683772161603E-13</v>
      </c>
      <c r="GV144" s="17">
        <f>GU144*VLOOKUP('Données projet'!$B$18,Paramètres!$A$1:$I$89,3,0)*VLOOKUP('Données projet'!$B$18,Paramètres!$A$1:$I$89,5,0)</f>
        <v>6.5087988332379613E-14</v>
      </c>
      <c r="GW144" s="13">
        <f t="shared" si="159"/>
        <v>1.0279249680474958E-12</v>
      </c>
      <c r="GX144" s="20">
        <f t="shared" si="136"/>
        <v>1.9036642323616162E-12</v>
      </c>
      <c r="GY144" s="59">
        <f t="shared" si="137"/>
        <v>291.15688763377466</v>
      </c>
      <c r="GZ144" s="59">
        <f ca="1">AVERAGE(OFFSET($GY$3,0,0,'Données projet'!$E$18+1,1))-AVERAGE(OFFSET($H$3,0,0,'Données projet'!$E$18+1,1))</f>
        <v>249.88816678272056</v>
      </c>
      <c r="HA144" s="59">
        <f t="shared" si="160"/>
        <v>432.10802787437319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9.2183973621322668</v>
      </c>
      <c r="HH144" s="21">
        <f>EXP(-LN(2)/25)*HH143+(1-EXP(-LN(2)/25))/(LN(2)/25)*Calculateur!HC144*Calculateur!HE144*VLOOKUP('Données projet'!$B$18,Paramètres!$A$1:$I$89,3,0)*0.475*44/12</f>
        <v>0.99117542919580304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10.209572791328069</v>
      </c>
    </row>
    <row r="145" spans="1:218" x14ac:dyDescent="0.3">
      <c r="A145" s="10">
        <f t="shared" si="139"/>
        <v>142</v>
      </c>
      <c r="B145" s="71">
        <f>'Scénario référence'!$B$16*5+'Scénario référence'!$B$17*0+'Scénario référence'!$B$18*5</f>
        <v>1.4000000000000001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5.1333333333333337</v>
      </c>
      <c r="H145" s="65">
        <f t="shared" si="110"/>
        <v>236.13333333333335</v>
      </c>
      <c r="I145" s="6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319</v>
      </c>
      <c r="O145" s="13">
        <f>N145*VLOOKUP('Données projet'!$B$9,Paramètres!$A$1:$I$89,3,0)*VLOOKUP('Données projet'!$B$9,Paramètres!$A$1:$I$89,5,0)</f>
        <v>253.79640000000001</v>
      </c>
      <c r="P145" s="13">
        <f t="shared" si="141"/>
        <v>61.39816832228076</v>
      </c>
      <c r="Q145" s="20">
        <f t="shared" si="108"/>
        <v>548.96387316130563</v>
      </c>
      <c r="R145" s="59">
        <f t="shared" si="109"/>
        <v>840.15851726216215</v>
      </c>
      <c r="S145" s="59">
        <f ca="1">AVERAGE(OFFSET($R$3,0,0,'Données projet'!$E$9+1,1))-AVERAGE(OFFSET($H$3,0,0,'Données projet'!$E$9+1,1))</f>
        <v>360.06385535620069</v>
      </c>
      <c r="T145" s="59">
        <f t="shared" si="142"/>
        <v>350.82516032456408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15.573962689331555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15.573962689331555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277.77359999999993</v>
      </c>
      <c r="AK145" s="13">
        <f t="shared" si="143"/>
        <v>66.496288176842356</v>
      </c>
      <c r="AL145" s="20">
        <f t="shared" si="112"/>
        <v>599.60338857466706</v>
      </c>
      <c r="AM145" s="59">
        <f t="shared" si="113"/>
        <v>890.7980326755237</v>
      </c>
      <c r="AN145" s="59">
        <f ca="1">AVERAGE(OFFSET($AM$3,0,0,'Données projet'!$E$10+1,1))-AVERAGE(OFFSET($H$3,0,0,'Données projet'!$E$10+1,1))</f>
        <v>448.65237942538027</v>
      </c>
      <c r="AO145" s="59">
        <f t="shared" si="144"/>
        <v>283.56749129825107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58.640715548847297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58.640715548847297</v>
      </c>
      <c r="AY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403.99999999999989</v>
      </c>
      <c r="BE145" s="13">
        <f>BD145*VLOOKUP('Données projet'!$B$11,Paramètres!$A$1:$I$89,3,0)*VLOOKUP('Données projet'!$B$11,Paramètres!$A$1:$I$89,5,0)</f>
        <v>346.63199999999995</v>
      </c>
      <c r="BF145" s="13">
        <f t="shared" si="145"/>
        <v>80.868615263336864</v>
      </c>
      <c r="BG145" s="20">
        <f t="shared" si="115"/>
        <v>744.56357158364483</v>
      </c>
      <c r="BH145" s="59">
        <f t="shared" si="116"/>
        <v>1035.7582156845015</v>
      </c>
      <c r="BI145" s="59">
        <f ca="1">AVERAGE(OFFSET($BH$3,0,0,'Données projet'!$E$11+1,1))-AVERAGE(OFFSET($H$3,0,0,'Données projet'!$E$11+1,1))</f>
        <v>456.76871853389395</v>
      </c>
      <c r="BJ145" s="59">
        <f t="shared" si="146"/>
        <v>262.12425810289176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64.65301369273871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64.65301369273871</v>
      </c>
      <c r="BT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255.00000000000006</v>
      </c>
      <c r="BZ145" s="13">
        <f>BY145*VLOOKUP('Données projet'!$B$12,Paramètres!$A$1:$I$89,3,0)*VLOOKUP('Données projet'!$B$12,Paramètres!$A$1:$I$89,5,0)</f>
        <v>186.96600000000004</v>
      </c>
      <c r="CA145" s="13">
        <f t="shared" si="147"/>
        <v>46.868551400324648</v>
      </c>
      <c r="CB145" s="20">
        <f t="shared" si="118"/>
        <v>407.26184368889881</v>
      </c>
      <c r="CC145" s="59">
        <f t="shared" si="119"/>
        <v>698.45648778975533</v>
      </c>
      <c r="CD145" s="59">
        <f ca="1">AVERAGE(OFFSET($CC$3,0,0,'Données projet'!$E$12+1,1))-AVERAGE(OFFSET($H$3,0,0,'Données projet'!$E$12+1,1))</f>
        <v>242.65851607945316</v>
      </c>
      <c r="CE145" s="59">
        <f t="shared" si="148"/>
        <v>218.9349999985487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249.0000000000002</v>
      </c>
      <c r="CU145" s="17">
        <f>CT145*VLOOKUP('Données projet'!$B$13,Paramètres!$A$1:$I$89,3,0)*VLOOKUP('Données projet'!$B$13,Paramètres!$A$1:$I$89,5,0)</f>
        <v>217.52640000000019</v>
      </c>
      <c r="CV145" s="13">
        <f t="shared" si="149"/>
        <v>53.576907690651304</v>
      </c>
      <c r="CW145" s="20">
        <f t="shared" si="121"/>
        <v>472.17159422788467</v>
      </c>
      <c r="CX145" s="59">
        <f t="shared" si="122"/>
        <v>763.36623832874125</v>
      </c>
      <c r="CY145" s="59">
        <f ca="1">AVERAGE(OFFSET($CX$3,0,0,'Données projet'!$E$13+1,1))-AVERAGE(OFFSET($H$3,0,0,'Données projet'!$E$13+1,1))</f>
        <v>326.9460696675867</v>
      </c>
      <c r="CZ145" s="59">
        <f t="shared" si="150"/>
        <v>393.4020374592568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15.00637169923027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15.00637169923027</v>
      </c>
      <c r="DJ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349.00000000000017</v>
      </c>
      <c r="DP145" s="17">
        <f>DO145*VLOOKUP('Données projet'!$B$14,Paramètres!$A$1:$I$89,3,0)*VLOOKUP('Données projet'!$B$14,Paramètres!$A$1:$I$89,5,0)</f>
        <v>272.22000000000014</v>
      </c>
      <c r="DQ145" s="13">
        <f t="shared" si="151"/>
        <v>65.320184547527205</v>
      </c>
      <c r="DR145" s="20">
        <f t="shared" si="124"/>
        <v>587.88248808694345</v>
      </c>
      <c r="DS145" s="59">
        <f t="shared" si="125"/>
        <v>879.07713218780009</v>
      </c>
      <c r="DT145" s="59">
        <f ca="1">AVERAGE(OFFSET($DS$3,0,0,'Données projet'!$E$14+1,1))-AVERAGE(OFFSET($H$3,0,0,'Données projet'!$E$14+1,1))</f>
        <v>364.34528546733799</v>
      </c>
      <c r="DU145" s="59">
        <f t="shared" si="152"/>
        <v>346.5839763411152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20.826327728630506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20.826327728630506</v>
      </c>
      <c r="EE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213.98519999999999</v>
      </c>
      <c r="EL145" s="13">
        <f t="shared" si="153"/>
        <v>52.805497044008654</v>
      </c>
      <c r="EM145" s="20">
        <f t="shared" si="127"/>
        <v>464.66046401831505</v>
      </c>
      <c r="EN145" s="59">
        <f t="shared" si="128"/>
        <v>755.85510811917163</v>
      </c>
      <c r="EO145" s="59">
        <f ca="1">AVERAGE(OFFSET($EN$3,0,0,'Données projet'!$E$15+1,1))-AVERAGE(OFFSET($H$3,0,0,'Données projet'!$E$15+1,1))</f>
        <v>310.38232870602445</v>
      </c>
      <c r="EP145" s="59">
        <f t="shared" si="154"/>
        <v>303.45934457265537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13.130988149828562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13.130988149828562</v>
      </c>
      <c r="EZ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245.99999999999994</v>
      </c>
      <c r="FF145" s="17">
        <f>FE145*VLOOKUP('Données projet'!$B$16,Paramètres!$A$1:$I$89,3,0)*VLOOKUP('Données projet'!$B$16,Paramètres!$A$1:$I$89,5,0)</f>
        <v>234.09359999999998</v>
      </c>
      <c r="FG145" s="13">
        <f t="shared" si="155"/>
        <v>57.166902703920208</v>
      </c>
      <c r="FH145" s="20">
        <f t="shared" si="130"/>
        <v>507.27870887599425</v>
      </c>
      <c r="FI145" s="59">
        <f t="shared" si="131"/>
        <v>798.47335297685083</v>
      </c>
      <c r="FJ145" s="59">
        <f ca="1">AVERAGE(OFFSET($FI$3,0,0,'Données projet'!$E$16+1,1))-AVERAGE(OFFSET($H$3,0,0,'Données projet'!$E$16+1,1))</f>
        <v>457.706832425622</v>
      </c>
      <c r="FK145" s="59">
        <f t="shared" si="156"/>
        <v>474.61768219844873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45.682644568327774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45.682644568327774</v>
      </c>
      <c r="FU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319</v>
      </c>
      <c r="GA145" s="17">
        <f>FZ145*VLOOKUP('Données projet'!$B$17,Paramètres!$A$1:$I$89,3,0)*VLOOKUP('Données projet'!$B$17,Paramètres!$A$1:$I$89,5,0)</f>
        <v>308.53680000000003</v>
      </c>
      <c r="GB145" s="13">
        <f t="shared" si="157"/>
        <v>72.963171684496103</v>
      </c>
      <c r="GC145" s="20">
        <f t="shared" si="133"/>
        <v>664.4457840171641</v>
      </c>
      <c r="GD145" s="59">
        <f t="shared" si="134"/>
        <v>955.64042811802074</v>
      </c>
      <c r="GE145" s="59">
        <f ca="1">AVERAGE(OFFSET($GD$3,0,0,'Données projet'!$E$17+1,1))-AVERAGE(OFFSET($H$3,0,0,'Données projet'!$E$17+1,1))</f>
        <v>428.11167311086814</v>
      </c>
      <c r="GF145" s="59">
        <f t="shared" si="158"/>
        <v>415.69449942923609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15.360778590365504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15.360778590365504</v>
      </c>
      <c r="GP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1.1368683772161603E-13</v>
      </c>
      <c r="GV145" s="17">
        <f>GU145*VLOOKUP('Données projet'!$B$18,Paramètres!$A$1:$I$89,3,0)*VLOOKUP('Données projet'!$B$18,Paramètres!$A$1:$I$89,5,0)</f>
        <v>6.5087988332379613E-14</v>
      </c>
      <c r="GW145" s="13">
        <f t="shared" si="159"/>
        <v>1.0279249680474958E-12</v>
      </c>
      <c r="GX145" s="20">
        <f t="shared" si="136"/>
        <v>1.9036642323616162E-12</v>
      </c>
      <c r="GY145" s="59">
        <f t="shared" si="137"/>
        <v>291.19464410085845</v>
      </c>
      <c r="GZ145" s="59">
        <f ca="1">AVERAGE(OFFSET($GY$3,0,0,'Données projet'!$E$18+1,1))-AVERAGE(OFFSET($H$3,0,0,'Données projet'!$E$18+1,1))</f>
        <v>249.88816678272056</v>
      </c>
      <c r="HA145" s="59">
        <f t="shared" si="160"/>
        <v>432.10802787437319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9.0376302125280521</v>
      </c>
      <c r="HH145" s="21">
        <f>EXP(-LN(2)/25)*HH144+(1-EXP(-LN(2)/25))/(LN(2)/25)*Calculateur!HC145*Calculateur!HE145*VLOOKUP('Données projet'!$B$18,Paramètres!$A$1:$I$89,3,0)*0.475*44/12</f>
        <v>0.96407168496079332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10.001701897488845</v>
      </c>
    </row>
    <row r="146" spans="1:218" x14ac:dyDescent="0.3">
      <c r="A146" s="10">
        <f t="shared" si="139"/>
        <v>143</v>
      </c>
      <c r="B146" s="71">
        <f>'Scénario référence'!$B$16*5+'Scénario référence'!$B$17*0+'Scénario référence'!$B$18*5</f>
        <v>1.4000000000000001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5.1333333333333337</v>
      </c>
      <c r="H146" s="65">
        <f t="shared" si="110"/>
        <v>236.13333333333335</v>
      </c>
      <c r="I146" s="6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319</v>
      </c>
      <c r="O146" s="13">
        <f>N146*VLOOKUP('Données projet'!$B$9,Paramètres!$A$1:$I$89,3,0)*VLOOKUP('Données projet'!$B$9,Paramètres!$A$1:$I$89,5,0)</f>
        <v>253.79640000000001</v>
      </c>
      <c r="P146" s="13">
        <f t="shared" si="141"/>
        <v>61.39816832228076</v>
      </c>
      <c r="Q146" s="20">
        <f t="shared" si="108"/>
        <v>548.96387316130563</v>
      </c>
      <c r="R146" s="59">
        <f t="shared" si="109"/>
        <v>840.19561873895282</v>
      </c>
      <c r="S146" s="59">
        <f ca="1">AVERAGE(OFFSET($R$3,0,0,'Données projet'!$E$9+1,1))-AVERAGE(OFFSET($H$3,0,0,'Données projet'!$E$9+1,1))</f>
        <v>360.06385535620069</v>
      </c>
      <c r="T146" s="59">
        <f t="shared" si="142"/>
        <v>350.82516032456408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15.268566780173037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15.268566780173037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277.77359999999993</v>
      </c>
      <c r="AK146" s="13">
        <f t="shared" si="143"/>
        <v>66.496288176842356</v>
      </c>
      <c r="AL146" s="20">
        <f t="shared" si="112"/>
        <v>599.60338857466706</v>
      </c>
      <c r="AM146" s="59">
        <f t="shared" si="113"/>
        <v>890.83513415231437</v>
      </c>
      <c r="AN146" s="59">
        <f ca="1">AVERAGE(OFFSET($AM$3,0,0,'Données projet'!$E$10+1,1))-AVERAGE(OFFSET($H$3,0,0,'Données projet'!$E$10+1,1))</f>
        <v>448.65237942538027</v>
      </c>
      <c r="AO146" s="59">
        <f t="shared" si="144"/>
        <v>283.56749129825107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57.490806884239156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57.490806884239156</v>
      </c>
      <c r="AY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403.99999999999989</v>
      </c>
      <c r="BE146" s="13">
        <f>BD146*VLOOKUP('Données projet'!$B$11,Paramètres!$A$1:$I$89,3,0)*VLOOKUP('Données projet'!$B$11,Paramètres!$A$1:$I$89,5,0)</f>
        <v>346.63199999999995</v>
      </c>
      <c r="BF146" s="13">
        <f t="shared" si="145"/>
        <v>80.868615263336864</v>
      </c>
      <c r="BG146" s="20">
        <f t="shared" si="115"/>
        <v>744.56357158364483</v>
      </c>
      <c r="BH146" s="59">
        <f t="shared" si="116"/>
        <v>1035.7953171612921</v>
      </c>
      <c r="BI146" s="59">
        <f ca="1">AVERAGE(OFFSET($BH$3,0,0,'Données projet'!$E$11+1,1))-AVERAGE(OFFSET($H$3,0,0,'Données projet'!$E$11+1,1))</f>
        <v>456.76871853389395</v>
      </c>
      <c r="BJ146" s="59">
        <f t="shared" si="146"/>
        <v>262.12425810289176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63.38520752866863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63.38520752866863</v>
      </c>
      <c r="BT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255.00000000000006</v>
      </c>
      <c r="BZ146" s="13">
        <f>BY146*VLOOKUP('Données projet'!$B$12,Paramètres!$A$1:$I$89,3,0)*VLOOKUP('Données projet'!$B$12,Paramètres!$A$1:$I$89,5,0)</f>
        <v>186.96600000000004</v>
      </c>
      <c r="CA146" s="13">
        <f t="shared" si="147"/>
        <v>46.868551400324648</v>
      </c>
      <c r="CB146" s="20">
        <f t="shared" si="118"/>
        <v>407.26184368889881</v>
      </c>
      <c r="CC146" s="59">
        <f t="shared" si="119"/>
        <v>698.493589266546</v>
      </c>
      <c r="CD146" s="59">
        <f ca="1">AVERAGE(OFFSET($CC$3,0,0,'Données projet'!$E$12+1,1))-AVERAGE(OFFSET($H$3,0,0,'Données projet'!$E$12+1,1))</f>
        <v>242.65851607945316</v>
      </c>
      <c r="CE146" s="59">
        <f t="shared" si="148"/>
        <v>218.9349999985487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249.0000000000002</v>
      </c>
      <c r="CU146" s="17">
        <f>CT146*VLOOKUP('Données projet'!$B$13,Paramètres!$A$1:$I$89,3,0)*VLOOKUP('Données projet'!$B$13,Paramètres!$A$1:$I$89,5,0)</f>
        <v>217.52640000000019</v>
      </c>
      <c r="CV146" s="13">
        <f t="shared" si="149"/>
        <v>53.576907690651304</v>
      </c>
      <c r="CW146" s="20">
        <f t="shared" si="121"/>
        <v>472.17159422788467</v>
      </c>
      <c r="CX146" s="59">
        <f t="shared" si="122"/>
        <v>763.40333980553191</v>
      </c>
      <c r="CY146" s="59">
        <f ca="1">AVERAGE(OFFSET($CX$3,0,0,'Données projet'!$E$13+1,1))-AVERAGE(OFFSET($H$3,0,0,'Données projet'!$E$13+1,1))</f>
        <v>326.9460696675867</v>
      </c>
      <c r="CZ146" s="59">
        <f t="shared" si="150"/>
        <v>393.4020374592568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14.712105903191318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14.712105903191318</v>
      </c>
      <c r="DJ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349.00000000000017</v>
      </c>
      <c r="DP146" s="17">
        <f>DO146*VLOOKUP('Données projet'!$B$14,Paramètres!$A$1:$I$89,3,0)*VLOOKUP('Données projet'!$B$14,Paramètres!$A$1:$I$89,5,0)</f>
        <v>272.22000000000014</v>
      </c>
      <c r="DQ146" s="13">
        <f t="shared" si="151"/>
        <v>65.320184547527205</v>
      </c>
      <c r="DR146" s="20">
        <f t="shared" si="124"/>
        <v>587.88248808694345</v>
      </c>
      <c r="DS146" s="59">
        <f t="shared" si="125"/>
        <v>879.11423366459076</v>
      </c>
      <c r="DT146" s="59">
        <f ca="1">AVERAGE(OFFSET($DS$3,0,0,'Données projet'!$E$14+1,1))-AVERAGE(OFFSET($H$3,0,0,'Données projet'!$E$14+1,1))</f>
        <v>364.34528546733799</v>
      </c>
      <c r="DU146" s="59">
        <f t="shared" si="152"/>
        <v>346.5839763411152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20.417936144677679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20.417936144677679</v>
      </c>
      <c r="EE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213.98519999999999</v>
      </c>
      <c r="EL146" s="13">
        <f t="shared" si="153"/>
        <v>52.805497044008654</v>
      </c>
      <c r="EM146" s="20">
        <f t="shared" si="127"/>
        <v>464.66046401831505</v>
      </c>
      <c r="EN146" s="59">
        <f t="shared" si="128"/>
        <v>755.8922095959623</v>
      </c>
      <c r="EO146" s="59">
        <f ca="1">AVERAGE(OFFSET($EN$3,0,0,'Données projet'!$E$15+1,1))-AVERAGE(OFFSET($H$3,0,0,'Données projet'!$E$15+1,1))</f>
        <v>310.38232870602445</v>
      </c>
      <c r="EP146" s="59">
        <f t="shared" si="154"/>
        <v>303.45934457265537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12.873497481322362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12.873497481322362</v>
      </c>
      <c r="EZ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245.99999999999994</v>
      </c>
      <c r="FF146" s="17">
        <f>FE146*VLOOKUP('Données projet'!$B$16,Paramètres!$A$1:$I$89,3,0)*VLOOKUP('Données projet'!$B$16,Paramètres!$A$1:$I$89,5,0)</f>
        <v>234.09359999999998</v>
      </c>
      <c r="FG146" s="13">
        <f t="shared" si="155"/>
        <v>57.166902703920208</v>
      </c>
      <c r="FH146" s="20">
        <f t="shared" si="130"/>
        <v>507.27870887599425</v>
      </c>
      <c r="FI146" s="59">
        <f t="shared" si="131"/>
        <v>798.5104544536415</v>
      </c>
      <c r="FJ146" s="59">
        <f ca="1">AVERAGE(OFFSET($FI$3,0,0,'Données projet'!$E$16+1,1))-AVERAGE(OFFSET($H$3,0,0,'Données projet'!$E$16+1,1))</f>
        <v>457.706832425622</v>
      </c>
      <c r="FK146" s="59">
        <f t="shared" si="156"/>
        <v>474.61768219844873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44.786835772004743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44.786835772004743</v>
      </c>
      <c r="FU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319</v>
      </c>
      <c r="GA146" s="17">
        <f>FZ146*VLOOKUP('Données projet'!$B$17,Paramètres!$A$1:$I$89,3,0)*VLOOKUP('Données projet'!$B$17,Paramètres!$A$1:$I$89,5,0)</f>
        <v>308.53680000000003</v>
      </c>
      <c r="GB146" s="13">
        <f t="shared" si="157"/>
        <v>72.963171684496103</v>
      </c>
      <c r="GC146" s="20">
        <f t="shared" si="133"/>
        <v>664.4457840171641</v>
      </c>
      <c r="GD146" s="59">
        <f t="shared" si="134"/>
        <v>955.6775295948114</v>
      </c>
      <c r="GE146" s="59">
        <f ca="1">AVERAGE(OFFSET($GD$3,0,0,'Données projet'!$E$17+1,1))-AVERAGE(OFFSET($H$3,0,0,'Données projet'!$E$17+1,1))</f>
        <v>428.11167311086814</v>
      </c>
      <c r="GF146" s="59">
        <f t="shared" si="158"/>
        <v>415.69449942923609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15.05956309135825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15.05956309135825</v>
      </c>
      <c r="GP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1.1368683772161603E-13</v>
      </c>
      <c r="GV146" s="17">
        <f>GU146*VLOOKUP('Données projet'!$B$18,Paramètres!$A$1:$I$89,3,0)*VLOOKUP('Données projet'!$B$18,Paramètres!$A$1:$I$89,5,0)</f>
        <v>6.5087988332379613E-14</v>
      </c>
      <c r="GW146" s="13">
        <f t="shared" si="159"/>
        <v>1.0279249680474958E-12</v>
      </c>
      <c r="GX146" s="20">
        <f t="shared" si="136"/>
        <v>1.9036642323616162E-12</v>
      </c>
      <c r="GY146" s="59">
        <f t="shared" si="137"/>
        <v>291.23174557764912</v>
      </c>
      <c r="GZ146" s="59">
        <f ca="1">AVERAGE(OFFSET($GY$3,0,0,'Données projet'!$E$18+1,1))-AVERAGE(OFFSET($H$3,0,0,'Données projet'!$E$18+1,1))</f>
        <v>249.88816678272056</v>
      </c>
      <c r="HA146" s="59">
        <f t="shared" si="160"/>
        <v>432.10802787437319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8.8604077964705006</v>
      </c>
      <c r="HH146" s="21">
        <f>EXP(-LN(2)/25)*HH145+(1-EXP(-LN(2)/25))/(LN(2)/25)*Calculateur!HC146*Calculateur!HE146*VLOOKUP('Données projet'!$B$18,Paramètres!$A$1:$I$89,3,0)*0.475*44/12</f>
        <v>0.93770909403721392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9.7981168905077141</v>
      </c>
    </row>
    <row r="147" spans="1:218" x14ac:dyDescent="0.3">
      <c r="A147" s="10">
        <f t="shared" si="139"/>
        <v>144</v>
      </c>
      <c r="B147" s="71">
        <f>'Scénario référence'!$B$16*5+'Scénario référence'!$B$17*0+'Scénario référence'!$B$18*5</f>
        <v>1.4000000000000001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5.1333333333333337</v>
      </c>
      <c r="H147" s="65">
        <f t="shared" si="110"/>
        <v>236.13333333333335</v>
      </c>
      <c r="I147" s="6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319</v>
      </c>
      <c r="O147" s="13">
        <f>N147*VLOOKUP('Données projet'!$B$9,Paramètres!$A$1:$I$89,3,0)*VLOOKUP('Données projet'!$B$9,Paramètres!$A$1:$I$89,5,0)</f>
        <v>253.79640000000001</v>
      </c>
      <c r="P147" s="13">
        <f t="shared" si="141"/>
        <v>61.39816832228076</v>
      </c>
      <c r="Q147" s="20">
        <f t="shared" si="108"/>
        <v>548.96387316130563</v>
      </c>
      <c r="R147" s="59">
        <f t="shared" si="109"/>
        <v>840.23207658806768</v>
      </c>
      <c r="S147" s="59">
        <f ca="1">AVERAGE(OFFSET($R$3,0,0,'Données projet'!$E$9+1,1))-AVERAGE(OFFSET($H$3,0,0,'Données projet'!$E$9+1,1))</f>
        <v>360.06385535620069</v>
      </c>
      <c r="T147" s="59">
        <f t="shared" si="142"/>
        <v>350.82516032456408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14.969159498520007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14.969159498520007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277.77359999999993</v>
      </c>
      <c r="AK147" s="13">
        <f t="shared" si="143"/>
        <v>66.496288176842356</v>
      </c>
      <c r="AL147" s="20">
        <f t="shared" si="112"/>
        <v>599.60338857466706</v>
      </c>
      <c r="AM147" s="59">
        <f t="shared" si="113"/>
        <v>890.87159200142901</v>
      </c>
      <c r="AN147" s="59">
        <f ca="1">AVERAGE(OFFSET($AM$3,0,0,'Données projet'!$E$10+1,1))-AVERAGE(OFFSET($H$3,0,0,'Données projet'!$E$10+1,1))</f>
        <v>448.65237942538027</v>
      </c>
      <c r="AO147" s="59">
        <f t="shared" si="144"/>
        <v>283.56749129825107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56.363447227168955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56.363447227168955</v>
      </c>
      <c r="AY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403.99999999999989</v>
      </c>
      <c r="BE147" s="13">
        <f>BD147*VLOOKUP('Données projet'!$B$11,Paramètres!$A$1:$I$89,3,0)*VLOOKUP('Données projet'!$B$11,Paramètres!$A$1:$I$89,5,0)</f>
        <v>346.63199999999995</v>
      </c>
      <c r="BF147" s="13">
        <f t="shared" si="145"/>
        <v>80.868615263336864</v>
      </c>
      <c r="BG147" s="20">
        <f t="shared" si="115"/>
        <v>744.56357158364483</v>
      </c>
      <c r="BH147" s="59">
        <f t="shared" si="116"/>
        <v>1035.8317750104068</v>
      </c>
      <c r="BI147" s="59">
        <f ca="1">AVERAGE(OFFSET($BH$3,0,0,'Données projet'!$E$11+1,1))-AVERAGE(OFFSET($H$3,0,0,'Données projet'!$E$11+1,1))</f>
        <v>456.76871853389395</v>
      </c>
      <c r="BJ147" s="59">
        <f t="shared" si="146"/>
        <v>262.12425810289176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62.142262270190557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62.142262270190557</v>
      </c>
      <c r="BT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255.00000000000006</v>
      </c>
      <c r="BZ147" s="13">
        <f>BY147*VLOOKUP('Données projet'!$B$12,Paramètres!$A$1:$I$89,3,0)*VLOOKUP('Données projet'!$B$12,Paramètres!$A$1:$I$89,5,0)</f>
        <v>186.96600000000004</v>
      </c>
      <c r="CA147" s="13">
        <f t="shared" si="147"/>
        <v>46.868551400324648</v>
      </c>
      <c r="CB147" s="20">
        <f t="shared" si="118"/>
        <v>407.26184368889881</v>
      </c>
      <c r="CC147" s="59">
        <f t="shared" si="119"/>
        <v>698.53004711566086</v>
      </c>
      <c r="CD147" s="59">
        <f ca="1">AVERAGE(OFFSET($CC$3,0,0,'Données projet'!$E$12+1,1))-AVERAGE(OFFSET($H$3,0,0,'Données projet'!$E$12+1,1))</f>
        <v>242.65851607945316</v>
      </c>
      <c r="CE147" s="59">
        <f t="shared" si="148"/>
        <v>218.9349999985487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249.0000000000002</v>
      </c>
      <c r="CU147" s="17">
        <f>CT147*VLOOKUP('Données projet'!$B$13,Paramètres!$A$1:$I$89,3,0)*VLOOKUP('Données projet'!$B$13,Paramètres!$A$1:$I$89,5,0)</f>
        <v>217.52640000000019</v>
      </c>
      <c r="CV147" s="13">
        <f t="shared" si="149"/>
        <v>53.576907690651304</v>
      </c>
      <c r="CW147" s="20">
        <f t="shared" si="121"/>
        <v>472.17159422788467</v>
      </c>
      <c r="CX147" s="59">
        <f t="shared" si="122"/>
        <v>763.43979765464667</v>
      </c>
      <c r="CY147" s="59">
        <f ca="1">AVERAGE(OFFSET($CX$3,0,0,'Données projet'!$E$13+1,1))-AVERAGE(OFFSET($H$3,0,0,'Données projet'!$E$13+1,1))</f>
        <v>326.9460696675867</v>
      </c>
      <c r="CZ147" s="59">
        <f t="shared" si="150"/>
        <v>393.4020374592568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14.423610479928278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14.423610479928278</v>
      </c>
      <c r="DJ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349.00000000000017</v>
      </c>
      <c r="DP147" s="17">
        <f>DO147*VLOOKUP('Données projet'!$B$14,Paramètres!$A$1:$I$89,3,0)*VLOOKUP('Données projet'!$B$14,Paramètres!$A$1:$I$89,5,0)</f>
        <v>272.22000000000014</v>
      </c>
      <c r="DQ147" s="13">
        <f t="shared" si="151"/>
        <v>65.320184547527205</v>
      </c>
      <c r="DR147" s="20">
        <f t="shared" si="124"/>
        <v>587.88248808694345</v>
      </c>
      <c r="DS147" s="59">
        <f t="shared" si="125"/>
        <v>879.1506915137054</v>
      </c>
      <c r="DT147" s="59">
        <f ca="1">AVERAGE(OFFSET($DS$3,0,0,'Données projet'!$E$14+1,1))-AVERAGE(OFFSET($H$3,0,0,'Données projet'!$E$14+1,1))</f>
        <v>364.34528546733799</v>
      </c>
      <c r="DU147" s="59">
        <f t="shared" si="152"/>
        <v>346.5839763411152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20.017552870591896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20.017552870591896</v>
      </c>
      <c r="EE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213.98519999999999</v>
      </c>
      <c r="EL147" s="13">
        <f t="shared" si="153"/>
        <v>52.805497044008654</v>
      </c>
      <c r="EM147" s="20">
        <f t="shared" si="127"/>
        <v>464.66046401831505</v>
      </c>
      <c r="EN147" s="59">
        <f t="shared" si="128"/>
        <v>755.92866744507705</v>
      </c>
      <c r="EO147" s="59">
        <f ca="1">AVERAGE(OFFSET($EN$3,0,0,'Données projet'!$E$15+1,1))-AVERAGE(OFFSET($H$3,0,0,'Données projet'!$E$15+1,1))</f>
        <v>310.38232870602445</v>
      </c>
      <c r="EP147" s="59">
        <f t="shared" si="154"/>
        <v>303.45934457265537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12.621056047771768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12.621056047771768</v>
      </c>
      <c r="EZ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245.99999999999994</v>
      </c>
      <c r="FF147" s="17">
        <f>FE147*VLOOKUP('Données projet'!$B$16,Paramètres!$A$1:$I$89,3,0)*VLOOKUP('Données projet'!$B$16,Paramètres!$A$1:$I$89,5,0)</f>
        <v>234.09359999999998</v>
      </c>
      <c r="FG147" s="13">
        <f t="shared" si="155"/>
        <v>57.166902703920208</v>
      </c>
      <c r="FH147" s="20">
        <f t="shared" si="130"/>
        <v>507.27870887599425</v>
      </c>
      <c r="FI147" s="59">
        <f t="shared" si="131"/>
        <v>798.54691230275625</v>
      </c>
      <c r="FJ147" s="59">
        <f ca="1">AVERAGE(OFFSET($FI$3,0,0,'Données projet'!$E$16+1,1))-AVERAGE(OFFSET($H$3,0,0,'Données projet'!$E$16+1,1))</f>
        <v>457.706832425622</v>
      </c>
      <c r="FK147" s="59">
        <f t="shared" si="156"/>
        <v>474.61768219844873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43.908593239788196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43.908593239788196</v>
      </c>
      <c r="FU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319</v>
      </c>
      <c r="GA147" s="17">
        <f>FZ147*VLOOKUP('Données projet'!$B$17,Paramètres!$A$1:$I$89,3,0)*VLOOKUP('Données projet'!$B$17,Paramètres!$A$1:$I$89,5,0)</f>
        <v>308.53680000000003</v>
      </c>
      <c r="GB147" s="13">
        <f t="shared" si="157"/>
        <v>72.963171684496103</v>
      </c>
      <c r="GC147" s="20">
        <f t="shared" si="133"/>
        <v>664.4457840171641</v>
      </c>
      <c r="GD147" s="59">
        <f t="shared" si="134"/>
        <v>955.71398744392604</v>
      </c>
      <c r="GE147" s="59">
        <f ca="1">AVERAGE(OFFSET($GD$3,0,0,'Données projet'!$E$17+1,1))-AVERAGE(OFFSET($H$3,0,0,'Données projet'!$E$17+1,1))</f>
        <v>428.11167311086814</v>
      </c>
      <c r="GF147" s="59">
        <f t="shared" si="158"/>
        <v>415.69449942923609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14.764254244563215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14.764254244563215</v>
      </c>
      <c r="GP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1.1368683772161603E-13</v>
      </c>
      <c r="GV147" s="17">
        <f>GU147*VLOOKUP('Données projet'!$B$18,Paramètres!$A$1:$I$89,3,0)*VLOOKUP('Données projet'!$B$18,Paramètres!$A$1:$I$89,5,0)</f>
        <v>6.5087988332379613E-14</v>
      </c>
      <c r="GW147" s="13">
        <f t="shared" si="159"/>
        <v>1.0279249680474958E-12</v>
      </c>
      <c r="GX147" s="20">
        <f t="shared" si="136"/>
        <v>1.9036642323616162E-12</v>
      </c>
      <c r="GY147" s="59">
        <f t="shared" si="137"/>
        <v>291.26820342676388</v>
      </c>
      <c r="GZ147" s="59">
        <f ca="1">AVERAGE(OFFSET($GY$3,0,0,'Données projet'!$E$18+1,1))-AVERAGE(OFFSET($H$3,0,0,'Données projet'!$E$18+1,1))</f>
        <v>249.88816678272056</v>
      </c>
      <c r="HA147" s="59">
        <f t="shared" si="160"/>
        <v>432.10802787437319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8.6866606038968381</v>
      </c>
      <c r="HH147" s="21">
        <f>EXP(-LN(2)/25)*HH146+(1-EXP(-LN(2)/25))/(LN(2)/25)*Calculateur!HC147*Calculateur!HE147*VLOOKUP('Données projet'!$B$18,Paramètres!$A$1:$I$89,3,0)*0.475*44/12</f>
        <v>0.91206738954878819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9.5987279934456264</v>
      </c>
    </row>
    <row r="148" spans="1:218" x14ac:dyDescent="0.3">
      <c r="A148" s="10">
        <f t="shared" si="139"/>
        <v>145</v>
      </c>
      <c r="B148" s="71">
        <f>'Scénario référence'!$B$16*5+'Scénario référence'!$B$17*0+'Scénario référence'!$B$18*5</f>
        <v>1.4000000000000001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5.1333333333333337</v>
      </c>
      <c r="H148" s="65">
        <f t="shared" si="110"/>
        <v>236.13333333333335</v>
      </c>
      <c r="I148" s="6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319</v>
      </c>
      <c r="O148" s="13">
        <f>N148*VLOOKUP('Données projet'!$B$9,Paramètres!$A$1:$I$89,3,0)*VLOOKUP('Données projet'!$B$9,Paramètres!$A$1:$I$89,5,0)</f>
        <v>253.79640000000001</v>
      </c>
      <c r="P148" s="13">
        <f t="shared" si="141"/>
        <v>61.39816832228076</v>
      </c>
      <c r="Q148" s="20">
        <f t="shared" si="108"/>
        <v>548.96387316130563</v>
      </c>
      <c r="R148" s="59">
        <f t="shared" si="109"/>
        <v>840.26790197500782</v>
      </c>
      <c r="S148" s="59">
        <f ca="1">AVERAGE(OFFSET($R$3,0,0,'Données projet'!$E$9+1,1))-AVERAGE(OFFSET($H$3,0,0,'Données projet'!$E$9+1,1))</f>
        <v>360.06385535620069</v>
      </c>
      <c r="T148" s="59">
        <f t="shared" si="142"/>
        <v>350.82516032456408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14.675623411039783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14.675623411039783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277.77359999999993</v>
      </c>
      <c r="AK148" s="13">
        <f t="shared" si="143"/>
        <v>66.496288176842356</v>
      </c>
      <c r="AL148" s="20">
        <f t="shared" si="112"/>
        <v>599.60338857466706</v>
      </c>
      <c r="AM148" s="59">
        <f t="shared" si="113"/>
        <v>890.90741738836925</v>
      </c>
      <c r="AN148" s="59">
        <f ca="1">AVERAGE(OFFSET($AM$3,0,0,'Données projet'!$E$10+1,1))-AVERAGE(OFFSET($H$3,0,0,'Données projet'!$E$10+1,1))</f>
        <v>448.65237942538027</v>
      </c>
      <c r="AO148" s="59">
        <f t="shared" si="144"/>
        <v>283.56749129825107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55.258194405352405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55.258194405352405</v>
      </c>
      <c r="AY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403.99999999999989</v>
      </c>
      <c r="BE148" s="13">
        <f>BD148*VLOOKUP('Données projet'!$B$11,Paramètres!$A$1:$I$89,3,0)*VLOOKUP('Données projet'!$B$11,Paramètres!$A$1:$I$89,5,0)</f>
        <v>346.63199999999995</v>
      </c>
      <c r="BF148" s="13">
        <f t="shared" si="145"/>
        <v>80.868615263336864</v>
      </c>
      <c r="BG148" s="20">
        <f t="shared" si="115"/>
        <v>744.56357158364483</v>
      </c>
      <c r="BH148" s="59">
        <f t="shared" si="116"/>
        <v>1035.8676003973469</v>
      </c>
      <c r="BI148" s="59">
        <f ca="1">AVERAGE(OFFSET($BH$3,0,0,'Données projet'!$E$11+1,1))-AVERAGE(OFFSET($H$3,0,0,'Données projet'!$E$11+1,1))</f>
        <v>456.76871853389395</v>
      </c>
      <c r="BJ148" s="59">
        <f t="shared" si="146"/>
        <v>262.12425810289176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60.923690410109494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60.923690410109494</v>
      </c>
      <c r="BT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255.00000000000006</v>
      </c>
      <c r="BZ148" s="13">
        <f>BY148*VLOOKUP('Données projet'!$B$12,Paramètres!$A$1:$I$89,3,0)*VLOOKUP('Données projet'!$B$12,Paramètres!$A$1:$I$89,5,0)</f>
        <v>186.96600000000004</v>
      </c>
      <c r="CA148" s="13">
        <f t="shared" si="147"/>
        <v>46.868551400324648</v>
      </c>
      <c r="CB148" s="20">
        <f t="shared" si="118"/>
        <v>407.26184368889881</v>
      </c>
      <c r="CC148" s="59">
        <f t="shared" si="119"/>
        <v>698.565872502601</v>
      </c>
      <c r="CD148" s="59">
        <f ca="1">AVERAGE(OFFSET($CC$3,0,0,'Données projet'!$E$12+1,1))-AVERAGE(OFFSET($H$3,0,0,'Données projet'!$E$12+1,1))</f>
        <v>242.65851607945316</v>
      </c>
      <c r="CE148" s="59">
        <f t="shared" si="148"/>
        <v>218.9349999985487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249.0000000000002</v>
      </c>
      <c r="CU148" s="17">
        <f>CT148*VLOOKUP('Données projet'!$B$13,Paramètres!$A$1:$I$89,3,0)*VLOOKUP('Données projet'!$B$13,Paramètres!$A$1:$I$89,5,0)</f>
        <v>217.52640000000019</v>
      </c>
      <c r="CV148" s="13">
        <f t="shared" si="149"/>
        <v>53.576907690651304</v>
      </c>
      <c r="CW148" s="20">
        <f t="shared" si="121"/>
        <v>472.17159422788467</v>
      </c>
      <c r="CX148" s="59">
        <f t="shared" si="122"/>
        <v>763.47562304158691</v>
      </c>
      <c r="CY148" s="59">
        <f ca="1">AVERAGE(OFFSET($CX$3,0,0,'Données projet'!$E$13+1,1))-AVERAGE(OFFSET($H$3,0,0,'Données projet'!$E$13+1,1))</f>
        <v>326.9460696675867</v>
      </c>
      <c r="CZ148" s="59">
        <f t="shared" si="150"/>
        <v>393.4020374592568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14.140772275950594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14.140772275950594</v>
      </c>
      <c r="DJ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349.00000000000017</v>
      </c>
      <c r="DP148" s="17">
        <f>DO148*VLOOKUP('Données projet'!$B$14,Paramètres!$A$1:$I$89,3,0)*VLOOKUP('Données projet'!$B$14,Paramètres!$A$1:$I$89,5,0)</f>
        <v>272.22000000000014</v>
      </c>
      <c r="DQ148" s="13">
        <f t="shared" si="151"/>
        <v>65.320184547527205</v>
      </c>
      <c r="DR148" s="20">
        <f t="shared" si="124"/>
        <v>587.88248808694345</v>
      </c>
      <c r="DS148" s="59">
        <f t="shared" si="125"/>
        <v>879.18651690064564</v>
      </c>
      <c r="DT148" s="59">
        <f ca="1">AVERAGE(OFFSET($DS$3,0,0,'Données projet'!$E$14+1,1))-AVERAGE(OFFSET($H$3,0,0,'Données projet'!$E$14+1,1))</f>
        <v>364.34528546733799</v>
      </c>
      <c r="DU148" s="59">
        <f t="shared" si="152"/>
        <v>346.5839763411152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19.625020868301252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19.625020868301252</v>
      </c>
      <c r="EE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213.98519999999999</v>
      </c>
      <c r="EL148" s="13">
        <f t="shared" si="153"/>
        <v>52.805497044008654</v>
      </c>
      <c r="EM148" s="20">
        <f t="shared" si="127"/>
        <v>464.66046401831505</v>
      </c>
      <c r="EN148" s="59">
        <f t="shared" si="128"/>
        <v>755.96449283201719</v>
      </c>
      <c r="EO148" s="59">
        <f ca="1">AVERAGE(OFFSET($EN$3,0,0,'Données projet'!$E$15+1,1))-AVERAGE(OFFSET($H$3,0,0,'Données projet'!$E$15+1,1))</f>
        <v>310.38232870602445</v>
      </c>
      <c r="EP148" s="59">
        <f t="shared" si="154"/>
        <v>303.45934457265537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12.37356483675903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12.37356483675903</v>
      </c>
      <c r="EZ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245.99999999999994</v>
      </c>
      <c r="FF148" s="17">
        <f>FE148*VLOOKUP('Données projet'!$B$16,Paramètres!$A$1:$I$89,3,0)*VLOOKUP('Données projet'!$B$16,Paramètres!$A$1:$I$89,5,0)</f>
        <v>234.09359999999998</v>
      </c>
      <c r="FG148" s="13">
        <f t="shared" si="155"/>
        <v>57.166902703920208</v>
      </c>
      <c r="FH148" s="20">
        <f t="shared" si="130"/>
        <v>507.27870887599425</v>
      </c>
      <c r="FI148" s="59">
        <f t="shared" si="131"/>
        <v>798.58273768969639</v>
      </c>
      <c r="FJ148" s="59">
        <f ca="1">AVERAGE(OFFSET($FI$3,0,0,'Données projet'!$E$16+1,1))-AVERAGE(OFFSET($H$3,0,0,'Données projet'!$E$16+1,1))</f>
        <v>457.706832425622</v>
      </c>
      <c r="FK148" s="59">
        <f t="shared" si="156"/>
        <v>474.61768219844873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43.047572507953362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43.047572507953362</v>
      </c>
      <c r="FU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319</v>
      </c>
      <c r="GA148" s="17">
        <f>FZ148*VLOOKUP('Données projet'!$B$17,Paramètres!$A$1:$I$89,3,0)*VLOOKUP('Données projet'!$B$17,Paramètres!$A$1:$I$89,5,0)</f>
        <v>308.53680000000003</v>
      </c>
      <c r="GB148" s="13">
        <f t="shared" si="157"/>
        <v>72.963171684496103</v>
      </c>
      <c r="GC148" s="20">
        <f t="shared" si="133"/>
        <v>664.4457840171641</v>
      </c>
      <c r="GD148" s="59">
        <f t="shared" si="134"/>
        <v>955.74981283086629</v>
      </c>
      <c r="GE148" s="59">
        <f ca="1">AVERAGE(OFFSET($GD$3,0,0,'Données projet'!$E$17+1,1))-AVERAGE(OFFSET($H$3,0,0,'Données projet'!$E$17+1,1))</f>
        <v>428.11167311086814</v>
      </c>
      <c r="GF148" s="59">
        <f t="shared" si="158"/>
        <v>415.69449942923609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14.47473622413322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14.47473622413322</v>
      </c>
      <c r="GP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1.1368683772161603E-13</v>
      </c>
      <c r="GV148" s="17">
        <f>GU148*VLOOKUP('Données projet'!$B$18,Paramètres!$A$1:$I$89,3,0)*VLOOKUP('Données projet'!$B$18,Paramètres!$A$1:$I$89,5,0)</f>
        <v>6.5087988332379613E-14</v>
      </c>
      <c r="GW148" s="13">
        <f t="shared" si="159"/>
        <v>1.0279249680474958E-12</v>
      </c>
      <c r="GX148" s="20">
        <f t="shared" si="136"/>
        <v>1.9036642323616162E-12</v>
      </c>
      <c r="GY148" s="59">
        <f t="shared" si="137"/>
        <v>291.30402881370406</v>
      </c>
      <c r="GZ148" s="59">
        <f ca="1">AVERAGE(OFFSET($GY$3,0,0,'Données projet'!$E$18+1,1))-AVERAGE(OFFSET($H$3,0,0,'Données projet'!$E$18+1,1))</f>
        <v>249.88816678272056</v>
      </c>
      <c r="HA148" s="59">
        <f t="shared" si="160"/>
        <v>432.10802787437319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8.5163204877942213</v>
      </c>
      <c r="HH148" s="21">
        <f>EXP(-LN(2)/25)*HH147+(1-EXP(-LN(2)/25))/(LN(2)/25)*Calculateur!HC148*Calculateur!HE148*VLOOKUP('Données projet'!$B$18,Paramètres!$A$1:$I$89,3,0)*0.475*44/12</f>
        <v>0.8871268588180371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9.4034473466122588</v>
      </c>
    </row>
    <row r="149" spans="1:218" x14ac:dyDescent="0.3">
      <c r="A149" s="10">
        <f t="shared" si="139"/>
        <v>146</v>
      </c>
      <c r="B149" s="71">
        <f>'Scénario référence'!$B$16*5+'Scénario référence'!$B$17*0+'Scénario référence'!$B$18*5</f>
        <v>1.4000000000000001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5.1333333333333337</v>
      </c>
      <c r="H149" s="65">
        <f t="shared" si="110"/>
        <v>236.13333333333335</v>
      </c>
      <c r="I149" s="6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319</v>
      </c>
      <c r="O149" s="13">
        <f>N149*VLOOKUP('Données projet'!$B$9,Paramètres!$A$1:$I$89,3,0)*VLOOKUP('Données projet'!$B$9,Paramètres!$A$1:$I$89,5,0)</f>
        <v>253.79640000000001</v>
      </c>
      <c r="P149" s="13">
        <f t="shared" si="141"/>
        <v>61.39816832228076</v>
      </c>
      <c r="Q149" s="20">
        <f t="shared" si="108"/>
        <v>548.96387316130563</v>
      </c>
      <c r="R149" s="59">
        <f t="shared" si="109"/>
        <v>840.30310587157828</v>
      </c>
      <c r="S149" s="59">
        <f ca="1">AVERAGE(OFFSET($R$3,0,0,'Données projet'!$E$9+1,1))-AVERAGE(OFFSET($H$3,0,0,'Données projet'!$E$9+1,1))</f>
        <v>360.06385535620069</v>
      </c>
      <c r="T149" s="59">
        <f t="shared" si="142"/>
        <v>350.82516032456408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14.387843387195712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14.387843387195712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277.77359999999993</v>
      </c>
      <c r="AK149" s="13">
        <f t="shared" si="143"/>
        <v>66.496288176842356</v>
      </c>
      <c r="AL149" s="20">
        <f t="shared" si="112"/>
        <v>599.60338857466706</v>
      </c>
      <c r="AM149" s="59">
        <f t="shared" si="113"/>
        <v>890.94262128493961</v>
      </c>
      <c r="AN149" s="59">
        <f ca="1">AVERAGE(OFFSET($AM$3,0,0,'Données projet'!$E$10+1,1))-AVERAGE(OFFSET($H$3,0,0,'Données projet'!$E$10+1,1))</f>
        <v>448.65237942538027</v>
      </c>
      <c r="AO149" s="59">
        <f t="shared" si="144"/>
        <v>283.56749129825107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54.174614917234024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54.174614917234024</v>
      </c>
      <c r="AY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403.99999999999989</v>
      </c>
      <c r="BE149" s="13">
        <f>BD149*VLOOKUP('Données projet'!$B$11,Paramètres!$A$1:$I$89,3,0)*VLOOKUP('Données projet'!$B$11,Paramètres!$A$1:$I$89,5,0)</f>
        <v>346.63199999999995</v>
      </c>
      <c r="BF149" s="13">
        <f t="shared" si="145"/>
        <v>80.868615263336864</v>
      </c>
      <c r="BG149" s="20">
        <f t="shared" si="115"/>
        <v>744.56357158364483</v>
      </c>
      <c r="BH149" s="59">
        <f t="shared" si="116"/>
        <v>1035.9028042939174</v>
      </c>
      <c r="BI149" s="59">
        <f ca="1">AVERAGE(OFFSET($BH$3,0,0,'Données projet'!$E$11+1,1))-AVERAGE(OFFSET($H$3,0,0,'Données projet'!$E$11+1,1))</f>
        <v>456.76871853389395</v>
      </c>
      <c r="BJ149" s="59">
        <f t="shared" si="146"/>
        <v>262.12425810289176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59.729014000949171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59.729014000949171</v>
      </c>
      <c r="BT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255.00000000000006</v>
      </c>
      <c r="BZ149" s="13">
        <f>BY149*VLOOKUP('Données projet'!$B$12,Paramètres!$A$1:$I$89,3,0)*VLOOKUP('Données projet'!$B$12,Paramètres!$A$1:$I$89,5,0)</f>
        <v>186.96600000000004</v>
      </c>
      <c r="CA149" s="13">
        <f t="shared" si="147"/>
        <v>46.868551400324648</v>
      </c>
      <c r="CB149" s="20">
        <f t="shared" si="118"/>
        <v>407.26184368889881</v>
      </c>
      <c r="CC149" s="59">
        <f t="shared" si="119"/>
        <v>698.60107639917146</v>
      </c>
      <c r="CD149" s="59">
        <f ca="1">AVERAGE(OFFSET($CC$3,0,0,'Données projet'!$E$12+1,1))-AVERAGE(OFFSET($H$3,0,0,'Données projet'!$E$12+1,1))</f>
        <v>242.65851607945316</v>
      </c>
      <c r="CE149" s="59">
        <f t="shared" si="148"/>
        <v>218.9349999985487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249.0000000000002</v>
      </c>
      <c r="CU149" s="17">
        <f>CT149*VLOOKUP('Données projet'!$B$13,Paramètres!$A$1:$I$89,3,0)*VLOOKUP('Données projet'!$B$13,Paramètres!$A$1:$I$89,5,0)</f>
        <v>217.52640000000019</v>
      </c>
      <c r="CV149" s="13">
        <f t="shared" si="149"/>
        <v>53.576907690651304</v>
      </c>
      <c r="CW149" s="20">
        <f t="shared" si="121"/>
        <v>472.17159422788467</v>
      </c>
      <c r="CX149" s="59">
        <f t="shared" si="122"/>
        <v>763.51082693815727</v>
      </c>
      <c r="CY149" s="59">
        <f ca="1">AVERAGE(OFFSET($CX$3,0,0,'Données projet'!$E$13+1,1))-AVERAGE(OFFSET($H$3,0,0,'Données projet'!$E$13+1,1))</f>
        <v>326.9460696675867</v>
      </c>
      <c r="CZ149" s="59">
        <f t="shared" si="150"/>
        <v>393.4020374592568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13.863480356638641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13.863480356638641</v>
      </c>
      <c r="DJ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349.00000000000017</v>
      </c>
      <c r="DP149" s="17">
        <f>DO149*VLOOKUP('Données projet'!$B$14,Paramètres!$A$1:$I$89,3,0)*VLOOKUP('Données projet'!$B$14,Paramètres!$A$1:$I$89,5,0)</f>
        <v>272.22000000000014</v>
      </c>
      <c r="DQ149" s="13">
        <f t="shared" si="151"/>
        <v>65.320184547527205</v>
      </c>
      <c r="DR149" s="20">
        <f t="shared" si="124"/>
        <v>587.88248808694345</v>
      </c>
      <c r="DS149" s="59">
        <f t="shared" si="125"/>
        <v>879.22172079721599</v>
      </c>
      <c r="DT149" s="59">
        <f ca="1">AVERAGE(OFFSET($DS$3,0,0,'Données projet'!$E$14+1,1))-AVERAGE(OFFSET($H$3,0,0,'Données projet'!$E$14+1,1))</f>
        <v>364.34528546733799</v>
      </c>
      <c r="DU149" s="59">
        <f t="shared" si="152"/>
        <v>346.5839763411152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19.240186179154648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19.240186179154648</v>
      </c>
      <c r="EE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213.98519999999999</v>
      </c>
      <c r="EL149" s="13">
        <f t="shared" si="153"/>
        <v>52.805497044008654</v>
      </c>
      <c r="EM149" s="20">
        <f t="shared" si="127"/>
        <v>464.66046401831505</v>
      </c>
      <c r="EN149" s="59">
        <f t="shared" si="128"/>
        <v>755.99969672858765</v>
      </c>
      <c r="EO149" s="59">
        <f ca="1">AVERAGE(OFFSET($EN$3,0,0,'Données projet'!$E$15+1,1))-AVERAGE(OFFSET($H$3,0,0,'Données projet'!$E$15+1,1))</f>
        <v>310.38232870602445</v>
      </c>
      <c r="EP149" s="59">
        <f t="shared" si="154"/>
        <v>303.45934457265537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12.13092677743952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12.13092677743952</v>
      </c>
      <c r="EZ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245.99999999999994</v>
      </c>
      <c r="FF149" s="17">
        <f>FE149*VLOOKUP('Données projet'!$B$16,Paramètres!$A$1:$I$89,3,0)*VLOOKUP('Données projet'!$B$16,Paramètres!$A$1:$I$89,5,0)</f>
        <v>234.09359999999998</v>
      </c>
      <c r="FG149" s="13">
        <f t="shared" si="155"/>
        <v>57.166902703920208</v>
      </c>
      <c r="FH149" s="20">
        <f t="shared" si="130"/>
        <v>507.27870887599425</v>
      </c>
      <c r="FI149" s="59">
        <f t="shared" si="131"/>
        <v>798.61794158626685</v>
      </c>
      <c r="FJ149" s="59">
        <f ca="1">AVERAGE(OFFSET($FI$3,0,0,'Données projet'!$E$16+1,1))-AVERAGE(OFFSET($H$3,0,0,'Données projet'!$E$16+1,1))</f>
        <v>457.706832425622</v>
      </c>
      <c r="FK149" s="59">
        <f t="shared" si="156"/>
        <v>474.61768219844873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42.203435867499017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42.203435867499017</v>
      </c>
      <c r="FU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319</v>
      </c>
      <c r="GA149" s="17">
        <f>FZ149*VLOOKUP('Données projet'!$B$17,Paramètres!$A$1:$I$89,3,0)*VLOOKUP('Données projet'!$B$17,Paramètres!$A$1:$I$89,5,0)</f>
        <v>308.53680000000003</v>
      </c>
      <c r="GB149" s="13">
        <f t="shared" si="157"/>
        <v>72.963171684496103</v>
      </c>
      <c r="GC149" s="20">
        <f t="shared" si="133"/>
        <v>664.4457840171641</v>
      </c>
      <c r="GD149" s="59">
        <f t="shared" si="134"/>
        <v>955.78501672743664</v>
      </c>
      <c r="GE149" s="59">
        <f ca="1">AVERAGE(OFFSET($GD$3,0,0,'Données projet'!$E$17+1,1))-AVERAGE(OFFSET($H$3,0,0,'Données projet'!$E$17+1,1))</f>
        <v>428.11167311086814</v>
      </c>
      <c r="GF149" s="59">
        <f t="shared" si="158"/>
        <v>415.69449942923609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14.190895475495301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14.190895475495301</v>
      </c>
      <c r="GP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1.1368683772161603E-13</v>
      </c>
      <c r="GV149" s="17">
        <f>GU149*VLOOKUP('Données projet'!$B$18,Paramètres!$A$1:$I$89,3,0)*VLOOKUP('Données projet'!$B$18,Paramètres!$A$1:$I$89,5,0)</f>
        <v>6.5087988332379613E-14</v>
      </c>
      <c r="GW149" s="13">
        <f t="shared" si="159"/>
        <v>1.0279249680474958E-12</v>
      </c>
      <c r="GX149" s="20">
        <f t="shared" si="136"/>
        <v>1.9036642323616162E-12</v>
      </c>
      <c r="GY149" s="59">
        <f t="shared" si="137"/>
        <v>291.33923271027447</v>
      </c>
      <c r="GZ149" s="59">
        <f ca="1">AVERAGE(OFFSET($GY$3,0,0,'Données projet'!$E$18+1,1))-AVERAGE(OFFSET($H$3,0,0,'Données projet'!$E$18+1,1))</f>
        <v>249.88816678272056</v>
      </c>
      <c r="HA149" s="59">
        <f t="shared" si="160"/>
        <v>432.10802787437319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8.3493206374711662</v>
      </c>
      <c r="HH149" s="21">
        <f>EXP(-LN(2)/25)*HH148+(1-EXP(-LN(2)/25))/(LN(2)/25)*Calculateur!HC149*Calculateur!HE149*VLOOKUP('Données projet'!$B$18,Paramètres!$A$1:$I$89,3,0)*0.475*44/12</f>
        <v>0.86286832821168391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9.2121889656828504</v>
      </c>
    </row>
    <row r="150" spans="1:218" x14ac:dyDescent="0.3">
      <c r="A150" s="10">
        <f t="shared" si="139"/>
        <v>147</v>
      </c>
      <c r="B150" s="71">
        <f>'Scénario référence'!$B$16*5+'Scénario référence'!$B$17*0+'Scénario référence'!$B$18*5</f>
        <v>1.4000000000000001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5.1333333333333337</v>
      </c>
      <c r="H150" s="65">
        <f t="shared" si="110"/>
        <v>236.13333333333335</v>
      </c>
      <c r="I150" s="6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319</v>
      </c>
      <c r="O150" s="13">
        <f>N150*VLOOKUP('Données projet'!$B$9,Paramètres!$A$1:$I$89,3,0)*VLOOKUP('Données projet'!$B$9,Paramètres!$A$1:$I$89,5,0)</f>
        <v>253.79640000000001</v>
      </c>
      <c r="P150" s="13">
        <f t="shared" si="141"/>
        <v>61.39816832228076</v>
      </c>
      <c r="Q150" s="20">
        <f t="shared" si="108"/>
        <v>548.96387316130563</v>
      </c>
      <c r="R150" s="59">
        <f t="shared" si="109"/>
        <v>840.33769905924714</v>
      </c>
      <c r="S150" s="59">
        <f ca="1">AVERAGE(OFFSET($R$3,0,0,'Données projet'!$E$9+1,1))-AVERAGE(OFFSET($H$3,0,0,'Données projet'!$E$9+1,1))</f>
        <v>360.06385535620069</v>
      </c>
      <c r="T150" s="59">
        <f t="shared" si="142"/>
        <v>350.82516032456408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14.105706554090741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14.105706554090741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277.77359999999993</v>
      </c>
      <c r="AK150" s="13">
        <f t="shared" si="143"/>
        <v>66.496288176842356</v>
      </c>
      <c r="AL150" s="20">
        <f t="shared" si="112"/>
        <v>599.60338857466706</v>
      </c>
      <c r="AM150" s="59">
        <f t="shared" si="113"/>
        <v>890.97721447260869</v>
      </c>
      <c r="AN150" s="59">
        <f ca="1">AVERAGE(OFFSET($AM$3,0,0,'Données projet'!$E$10+1,1))-AVERAGE(OFFSET($H$3,0,0,'Données projet'!$E$10+1,1))</f>
        <v>448.65237942538027</v>
      </c>
      <c r="AO150" s="59">
        <f t="shared" si="144"/>
        <v>283.56749129825107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53.112283761959411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53.112283761959411</v>
      </c>
      <c r="AY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403.99999999999989</v>
      </c>
      <c r="BE150" s="13">
        <f>BD150*VLOOKUP('Données projet'!$B$11,Paramètres!$A$1:$I$89,3,0)*VLOOKUP('Données projet'!$B$11,Paramètres!$A$1:$I$89,5,0)</f>
        <v>346.63199999999995</v>
      </c>
      <c r="BF150" s="13">
        <f t="shared" si="145"/>
        <v>80.868615263336864</v>
      </c>
      <c r="BG150" s="20">
        <f t="shared" si="115"/>
        <v>744.56357158364483</v>
      </c>
      <c r="BH150" s="59">
        <f t="shared" si="116"/>
        <v>1035.9373974815865</v>
      </c>
      <c r="BI150" s="59">
        <f ca="1">AVERAGE(OFFSET($BH$3,0,0,'Données projet'!$E$11+1,1))-AVERAGE(OFFSET($H$3,0,0,'Données projet'!$E$11+1,1))</f>
        <v>456.76871853389395</v>
      </c>
      <c r="BJ150" s="59">
        <f t="shared" si="146"/>
        <v>262.12425810289176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58.557764467491829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58.557764467491829</v>
      </c>
      <c r="BT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255.00000000000006</v>
      </c>
      <c r="BZ150" s="13">
        <f>BY150*VLOOKUP('Données projet'!$B$12,Paramètres!$A$1:$I$89,3,0)*VLOOKUP('Données projet'!$B$12,Paramètres!$A$1:$I$89,5,0)</f>
        <v>186.96600000000004</v>
      </c>
      <c r="CA150" s="13">
        <f t="shared" si="147"/>
        <v>46.868551400324648</v>
      </c>
      <c r="CB150" s="20">
        <f t="shared" si="118"/>
        <v>407.26184368889881</v>
      </c>
      <c r="CC150" s="59">
        <f t="shared" si="119"/>
        <v>698.63566958684032</v>
      </c>
      <c r="CD150" s="59">
        <f ca="1">AVERAGE(OFFSET($CC$3,0,0,'Données projet'!$E$12+1,1))-AVERAGE(OFFSET($H$3,0,0,'Données projet'!$E$12+1,1))</f>
        <v>242.65851607945316</v>
      </c>
      <c r="CE150" s="59">
        <f t="shared" si="148"/>
        <v>218.9349999985487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249.0000000000002</v>
      </c>
      <c r="CU150" s="17">
        <f>CT150*VLOOKUP('Données projet'!$B$13,Paramètres!$A$1:$I$89,3,0)*VLOOKUP('Données projet'!$B$13,Paramètres!$A$1:$I$89,5,0)</f>
        <v>217.52640000000019</v>
      </c>
      <c r="CV150" s="13">
        <f t="shared" si="149"/>
        <v>53.576907690651304</v>
      </c>
      <c r="CW150" s="20">
        <f t="shared" si="121"/>
        <v>472.17159422788467</v>
      </c>
      <c r="CX150" s="59">
        <f t="shared" si="122"/>
        <v>763.54542012582624</v>
      </c>
      <c r="CY150" s="59">
        <f ca="1">AVERAGE(OFFSET($CX$3,0,0,'Données projet'!$E$13+1,1))-AVERAGE(OFFSET($H$3,0,0,'Données projet'!$E$13+1,1))</f>
        <v>326.9460696675867</v>
      </c>
      <c r="CZ150" s="59">
        <f t="shared" si="150"/>
        <v>393.4020374592568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13.591625962733026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13.591625962733026</v>
      </c>
      <c r="DJ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349.00000000000017</v>
      </c>
      <c r="DP150" s="17">
        <f>DO150*VLOOKUP('Données projet'!$B$14,Paramètres!$A$1:$I$89,3,0)*VLOOKUP('Données projet'!$B$14,Paramètres!$A$1:$I$89,5,0)</f>
        <v>272.22000000000014</v>
      </c>
      <c r="DQ150" s="13">
        <f t="shared" si="151"/>
        <v>65.320184547527205</v>
      </c>
      <c r="DR150" s="20">
        <f t="shared" si="124"/>
        <v>587.88248808694345</v>
      </c>
      <c r="DS150" s="59">
        <f t="shared" si="125"/>
        <v>879.25631398488508</v>
      </c>
      <c r="DT150" s="59">
        <f ca="1">AVERAGE(OFFSET($DS$3,0,0,'Données projet'!$E$14+1,1))-AVERAGE(OFFSET($H$3,0,0,'Données projet'!$E$14+1,1))</f>
        <v>364.34528546733799</v>
      </c>
      <c r="DU150" s="59">
        <f t="shared" si="152"/>
        <v>346.5839763411152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18.862897863536226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18.862897863536226</v>
      </c>
      <c r="EE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213.98519999999999</v>
      </c>
      <c r="EL150" s="13">
        <f t="shared" si="153"/>
        <v>52.805497044008654</v>
      </c>
      <c r="EM150" s="20">
        <f t="shared" si="127"/>
        <v>464.66046401831505</v>
      </c>
      <c r="EN150" s="59">
        <f t="shared" si="128"/>
        <v>756.03428991625663</v>
      </c>
      <c r="EO150" s="59">
        <f ca="1">AVERAGE(OFFSET($EN$3,0,0,'Données projet'!$E$15+1,1))-AVERAGE(OFFSET($H$3,0,0,'Données projet'!$E$15+1,1))</f>
        <v>310.38232870602445</v>
      </c>
      <c r="EP150" s="59">
        <f t="shared" si="154"/>
        <v>303.45934457265537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11.893046702468661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11.893046702468661</v>
      </c>
      <c r="EZ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245.99999999999994</v>
      </c>
      <c r="FF150" s="17">
        <f>FE150*VLOOKUP('Données projet'!$B$16,Paramètres!$A$1:$I$89,3,0)*VLOOKUP('Données projet'!$B$16,Paramètres!$A$1:$I$89,5,0)</f>
        <v>234.09359999999998</v>
      </c>
      <c r="FG150" s="13">
        <f t="shared" si="155"/>
        <v>57.166902703920208</v>
      </c>
      <c r="FH150" s="20">
        <f t="shared" si="130"/>
        <v>507.27870887599425</v>
      </c>
      <c r="FI150" s="59">
        <f t="shared" si="131"/>
        <v>798.65253477393583</v>
      </c>
      <c r="FJ150" s="59">
        <f ca="1">AVERAGE(OFFSET($FI$3,0,0,'Données projet'!$E$16+1,1))-AVERAGE(OFFSET($H$3,0,0,'Données projet'!$E$16+1,1))</f>
        <v>457.706832425622</v>
      </c>
      <c r="FK150" s="59">
        <f t="shared" si="156"/>
        <v>474.61768219844873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41.375852231691475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41.375852231691475</v>
      </c>
      <c r="FU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319</v>
      </c>
      <c r="GA150" s="17">
        <f>FZ150*VLOOKUP('Données projet'!$B$17,Paramètres!$A$1:$I$89,3,0)*VLOOKUP('Données projet'!$B$17,Paramètres!$A$1:$I$89,5,0)</f>
        <v>308.53680000000003</v>
      </c>
      <c r="GB150" s="13">
        <f t="shared" si="157"/>
        <v>72.963171684496103</v>
      </c>
      <c r="GC150" s="20">
        <f t="shared" si="133"/>
        <v>664.4457840171641</v>
      </c>
      <c r="GD150" s="59">
        <f t="shared" si="134"/>
        <v>955.81960991510573</v>
      </c>
      <c r="GE150" s="59">
        <f ca="1">AVERAGE(OFFSET($GD$3,0,0,'Données projet'!$E$17+1,1))-AVERAGE(OFFSET($H$3,0,0,'Données projet'!$E$17+1,1))</f>
        <v>428.11167311086814</v>
      </c>
      <c r="GF150" s="59">
        <f t="shared" si="158"/>
        <v>415.69449942923609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13.91262067081241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13.91262067081241</v>
      </c>
      <c r="GP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1.1368683772161603E-13</v>
      </c>
      <c r="GV150" s="17">
        <f>GU150*VLOOKUP('Données projet'!$B$18,Paramètres!$A$1:$I$89,3,0)*VLOOKUP('Données projet'!$B$18,Paramètres!$A$1:$I$89,5,0)</f>
        <v>6.5087988332379613E-14</v>
      </c>
      <c r="GW150" s="13">
        <f t="shared" si="159"/>
        <v>1.0279249680474958E-12</v>
      </c>
      <c r="GX150" s="20">
        <f t="shared" si="136"/>
        <v>1.9036642323616162E-12</v>
      </c>
      <c r="GY150" s="59">
        <f t="shared" si="137"/>
        <v>291.37382589794345</v>
      </c>
      <c r="GZ150" s="59">
        <f ca="1">AVERAGE(OFFSET($GY$3,0,0,'Données projet'!$E$18+1,1))-AVERAGE(OFFSET($H$3,0,0,'Données projet'!$E$18+1,1))</f>
        <v>249.88816678272056</v>
      </c>
      <c r="HA150" s="59">
        <f t="shared" si="160"/>
        <v>432.10802787437319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8.1855955523530941</v>
      </c>
      <c r="HH150" s="21">
        <f>EXP(-LN(2)/25)*HH149+(1-EXP(-LN(2)/25))/(LN(2)/25)*Calculateur!HC150*Calculateur!HE150*VLOOKUP('Données projet'!$B$18,Paramètres!$A$1:$I$89,3,0)*0.475*44/12</f>
        <v>0.83927314840046219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9.0248687007535562</v>
      </c>
    </row>
    <row r="151" spans="1:218" x14ac:dyDescent="0.3">
      <c r="A151" s="10">
        <f t="shared" si="139"/>
        <v>148</v>
      </c>
      <c r="B151" s="71">
        <f>'Scénario référence'!$B$16*5+'Scénario référence'!$B$17*0+'Scénario référence'!$B$18*5</f>
        <v>1.4000000000000001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5.1333333333333337</v>
      </c>
      <c r="H151" s="65">
        <f t="shared" si="110"/>
        <v>236.13333333333335</v>
      </c>
      <c r="I151" s="6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319</v>
      </c>
      <c r="O151" s="13">
        <f>N151*VLOOKUP('Données projet'!$B$9,Paramètres!$A$1:$I$89,3,0)*VLOOKUP('Données projet'!$B$9,Paramètres!$A$1:$I$89,5,0)</f>
        <v>253.79640000000001</v>
      </c>
      <c r="P151" s="13">
        <f t="shared" si="141"/>
        <v>61.39816832228076</v>
      </c>
      <c r="Q151" s="20">
        <f t="shared" si="108"/>
        <v>548.96387316130563</v>
      </c>
      <c r="R151" s="59">
        <f t="shared" si="109"/>
        <v>840.37169213244897</v>
      </c>
      <c r="S151" s="59">
        <f ca="1">AVERAGE(OFFSET($R$3,0,0,'Données projet'!$E$9+1,1))-AVERAGE(OFFSET($H$3,0,0,'Données projet'!$E$9+1,1))</f>
        <v>360.06385535620069</v>
      </c>
      <c r="T151" s="59">
        <f t="shared" si="142"/>
        <v>350.82516032456408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13.829102252196481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13.829102252196481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277.77359999999993</v>
      </c>
      <c r="AK151" s="13">
        <f t="shared" si="143"/>
        <v>66.496288176842356</v>
      </c>
      <c r="AL151" s="20">
        <f t="shared" si="112"/>
        <v>599.60338857466706</v>
      </c>
      <c r="AM151" s="59">
        <f t="shared" si="113"/>
        <v>891.01120754581029</v>
      </c>
      <c r="AN151" s="59">
        <f ca="1">AVERAGE(OFFSET($AM$3,0,0,'Données projet'!$E$10+1,1))-AVERAGE(OFFSET($H$3,0,0,'Données projet'!$E$10+1,1))</f>
        <v>448.65237942538027</v>
      </c>
      <c r="AO151" s="59">
        <f t="shared" si="144"/>
        <v>283.56749129825107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52.070784272681713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52.070784272681713</v>
      </c>
      <c r="AY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403.99999999999989</v>
      </c>
      <c r="BE151" s="13">
        <f>BD151*VLOOKUP('Données projet'!$B$11,Paramètres!$A$1:$I$89,3,0)*VLOOKUP('Données projet'!$B$11,Paramètres!$A$1:$I$89,5,0)</f>
        <v>346.63199999999995</v>
      </c>
      <c r="BF151" s="13">
        <f t="shared" si="145"/>
        <v>80.868615263336864</v>
      </c>
      <c r="BG151" s="20">
        <f t="shared" si="115"/>
        <v>744.56357158364483</v>
      </c>
      <c r="BH151" s="59">
        <f t="shared" si="116"/>
        <v>1035.9713905547881</v>
      </c>
      <c r="BI151" s="59">
        <f ca="1">AVERAGE(OFFSET($BH$3,0,0,'Données projet'!$E$11+1,1))-AVERAGE(OFFSET($H$3,0,0,'Données projet'!$E$11+1,1))</f>
        <v>456.76871853389395</v>
      </c>
      <c r="BJ151" s="59">
        <f t="shared" si="146"/>
        <v>262.12425810289176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57.409482422993911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57.409482422993911</v>
      </c>
      <c r="BT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255.00000000000006</v>
      </c>
      <c r="BZ151" s="13">
        <f>BY151*VLOOKUP('Données projet'!$B$12,Paramètres!$A$1:$I$89,3,0)*VLOOKUP('Données projet'!$B$12,Paramètres!$A$1:$I$89,5,0)</f>
        <v>186.96600000000004</v>
      </c>
      <c r="CA151" s="13">
        <f t="shared" si="147"/>
        <v>46.868551400324648</v>
      </c>
      <c r="CB151" s="20">
        <f t="shared" si="118"/>
        <v>407.26184368889881</v>
      </c>
      <c r="CC151" s="59">
        <f t="shared" si="119"/>
        <v>698.66966266004215</v>
      </c>
      <c r="CD151" s="59">
        <f ca="1">AVERAGE(OFFSET($CC$3,0,0,'Données projet'!$E$12+1,1))-AVERAGE(OFFSET($H$3,0,0,'Données projet'!$E$12+1,1))</f>
        <v>242.65851607945316</v>
      </c>
      <c r="CE151" s="59">
        <f t="shared" si="148"/>
        <v>218.9349999985487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249.0000000000002</v>
      </c>
      <c r="CU151" s="17">
        <f>CT151*VLOOKUP('Données projet'!$B$13,Paramètres!$A$1:$I$89,3,0)*VLOOKUP('Données projet'!$B$13,Paramètres!$A$1:$I$89,5,0)</f>
        <v>217.52640000000019</v>
      </c>
      <c r="CV151" s="13">
        <f t="shared" si="149"/>
        <v>53.576907690651304</v>
      </c>
      <c r="CW151" s="20">
        <f t="shared" si="121"/>
        <v>472.17159422788467</v>
      </c>
      <c r="CX151" s="59">
        <f t="shared" si="122"/>
        <v>763.57941319902795</v>
      </c>
      <c r="CY151" s="59">
        <f ca="1">AVERAGE(OFFSET($CX$3,0,0,'Données projet'!$E$13+1,1))-AVERAGE(OFFSET($H$3,0,0,'Données projet'!$E$13+1,1))</f>
        <v>326.9460696675867</v>
      </c>
      <c r="CZ151" s="59">
        <f t="shared" si="150"/>
        <v>393.4020374592568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13.325102467677093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13.325102467677093</v>
      </c>
      <c r="DJ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349.00000000000017</v>
      </c>
      <c r="DP151" s="17">
        <f>DO151*VLOOKUP('Données projet'!$B$14,Paramètres!$A$1:$I$89,3,0)*VLOOKUP('Données projet'!$B$14,Paramètres!$A$1:$I$89,5,0)</f>
        <v>272.22000000000014</v>
      </c>
      <c r="DQ151" s="13">
        <f t="shared" si="151"/>
        <v>65.320184547527205</v>
      </c>
      <c r="DR151" s="20">
        <f t="shared" si="124"/>
        <v>587.88248808694345</v>
      </c>
      <c r="DS151" s="59">
        <f t="shared" si="125"/>
        <v>879.29030705808668</v>
      </c>
      <c r="DT151" s="59">
        <f ca="1">AVERAGE(OFFSET($DS$3,0,0,'Données projet'!$E$14+1,1))-AVERAGE(OFFSET($H$3,0,0,'Données projet'!$E$14+1,1))</f>
        <v>364.34528546733799</v>
      </c>
      <c r="DU151" s="59">
        <f t="shared" si="152"/>
        <v>346.5839763411152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18.493007941663929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18.493007941663929</v>
      </c>
      <c r="EE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213.98519999999999</v>
      </c>
      <c r="EL151" s="13">
        <f t="shared" si="153"/>
        <v>52.805497044008654</v>
      </c>
      <c r="EM151" s="20">
        <f t="shared" si="127"/>
        <v>464.66046401831505</v>
      </c>
      <c r="EN151" s="59">
        <f t="shared" si="128"/>
        <v>756.06828298945834</v>
      </c>
      <c r="EO151" s="59">
        <f ca="1">AVERAGE(OFFSET($EN$3,0,0,'Données projet'!$E$15+1,1))-AVERAGE(OFFSET($H$3,0,0,'Données projet'!$E$15+1,1))</f>
        <v>310.38232870602445</v>
      </c>
      <c r="EP151" s="59">
        <f t="shared" si="154"/>
        <v>303.45934457265537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11.659831310675463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11.659831310675463</v>
      </c>
      <c r="EZ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245.99999999999994</v>
      </c>
      <c r="FF151" s="17">
        <f>FE151*VLOOKUP('Données projet'!$B$16,Paramètres!$A$1:$I$89,3,0)*VLOOKUP('Données projet'!$B$16,Paramètres!$A$1:$I$89,5,0)</f>
        <v>234.09359999999998</v>
      </c>
      <c r="FG151" s="13">
        <f t="shared" si="155"/>
        <v>57.166902703920208</v>
      </c>
      <c r="FH151" s="20">
        <f t="shared" si="130"/>
        <v>507.27870887599425</v>
      </c>
      <c r="FI151" s="59">
        <f t="shared" si="131"/>
        <v>798.68652784713754</v>
      </c>
      <c r="FJ151" s="59">
        <f ca="1">AVERAGE(OFFSET($FI$3,0,0,'Données projet'!$E$16+1,1))-AVERAGE(OFFSET($H$3,0,0,'Données projet'!$E$16+1,1))</f>
        <v>457.706832425622</v>
      </c>
      <c r="FK151" s="59">
        <f t="shared" si="156"/>
        <v>474.61768219844873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40.56449700620594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40.56449700620594</v>
      </c>
      <c r="FU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319</v>
      </c>
      <c r="GA151" s="17">
        <f>FZ151*VLOOKUP('Données projet'!$B$17,Paramètres!$A$1:$I$89,3,0)*VLOOKUP('Données projet'!$B$17,Paramètres!$A$1:$I$89,5,0)</f>
        <v>308.53680000000003</v>
      </c>
      <c r="GB151" s="13">
        <f t="shared" si="157"/>
        <v>72.963171684496103</v>
      </c>
      <c r="GC151" s="20">
        <f t="shared" si="133"/>
        <v>664.4457840171641</v>
      </c>
      <c r="GD151" s="59">
        <f t="shared" si="134"/>
        <v>955.85360298830733</v>
      </c>
      <c r="GE151" s="59">
        <f ca="1">AVERAGE(OFFSET($GD$3,0,0,'Données projet'!$E$17+1,1))-AVERAGE(OFFSET($H$3,0,0,'Données projet'!$E$17+1,1))</f>
        <v>428.11167311086814</v>
      </c>
      <c r="GF151" s="59">
        <f t="shared" si="158"/>
        <v>415.69449942923609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13.639802665318479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13.639802665318479</v>
      </c>
      <c r="GP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1.1368683772161603E-13</v>
      </c>
      <c r="GV151" s="17">
        <f>GU151*VLOOKUP('Données projet'!$B$18,Paramètres!$A$1:$I$89,3,0)*VLOOKUP('Données projet'!$B$18,Paramètres!$A$1:$I$89,5,0)</f>
        <v>6.5087988332379613E-14</v>
      </c>
      <c r="GW151" s="13">
        <f t="shared" si="159"/>
        <v>1.0279249680474958E-12</v>
      </c>
      <c r="GX151" s="20">
        <f t="shared" si="136"/>
        <v>1.9036642323616162E-12</v>
      </c>
      <c r="GY151" s="59">
        <f t="shared" si="137"/>
        <v>291.40781897114516</v>
      </c>
      <c r="GZ151" s="59">
        <f ca="1">AVERAGE(OFFSET($GY$3,0,0,'Données projet'!$E$18+1,1))-AVERAGE(OFFSET($H$3,0,0,'Données projet'!$E$18+1,1))</f>
        <v>249.88816678272056</v>
      </c>
      <c r="HA151" s="59">
        <f t="shared" si="160"/>
        <v>432.10802787437319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8.0250810162917467</v>
      </c>
      <c r="HH151" s="21">
        <f>EXP(-LN(2)/25)*HH150+(1-EXP(-LN(2)/25))/(LN(2)/25)*Calculateur!HC151*Calculateur!HE151*VLOOKUP('Données projet'!$B$18,Paramètres!$A$1:$I$89,3,0)*0.475*44/12</f>
        <v>0.81632318002199489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8.8414041963137411</v>
      </c>
    </row>
    <row r="152" spans="1:218" x14ac:dyDescent="0.3">
      <c r="A152" s="10">
        <f t="shared" si="139"/>
        <v>149</v>
      </c>
      <c r="B152" s="71">
        <f>'Scénario référence'!$B$16*5+'Scénario référence'!$B$17*0+'Scénario référence'!$B$18*5</f>
        <v>1.4000000000000001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5.1333333333333337</v>
      </c>
      <c r="H152" s="65">
        <f t="shared" si="110"/>
        <v>236.13333333333335</v>
      </c>
      <c r="I152" s="6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319</v>
      </c>
      <c r="O152" s="13">
        <f>N152*VLOOKUP('Données projet'!$B$9,Paramètres!$A$1:$I$89,3,0)*VLOOKUP('Données projet'!$B$9,Paramètres!$A$1:$I$89,5,0)</f>
        <v>253.79640000000001</v>
      </c>
      <c r="P152" s="13">
        <f t="shared" si="141"/>
        <v>61.39816832228076</v>
      </c>
      <c r="Q152" s="20">
        <f t="shared" si="108"/>
        <v>548.96387316130563</v>
      </c>
      <c r="R152" s="59">
        <f t="shared" si="109"/>
        <v>840.40509550182765</v>
      </c>
      <c r="S152" s="59">
        <f ca="1">AVERAGE(OFFSET($R$3,0,0,'Données projet'!$E$9+1,1))-AVERAGE(OFFSET($H$3,0,0,'Données projet'!$E$9+1,1))</f>
        <v>360.06385535620069</v>
      </c>
      <c r="T152" s="59">
        <f t="shared" si="142"/>
        <v>350.82516032456408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13.557921991950403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13.557921991950403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277.77359999999993</v>
      </c>
      <c r="AK152" s="13">
        <f t="shared" si="143"/>
        <v>66.496288176842356</v>
      </c>
      <c r="AL152" s="20">
        <f t="shared" si="112"/>
        <v>599.60338857466706</v>
      </c>
      <c r="AM152" s="59">
        <f t="shared" si="113"/>
        <v>891.0446109151892</v>
      </c>
      <c r="AN152" s="59">
        <f ca="1">AVERAGE(OFFSET($AM$3,0,0,'Données projet'!$E$10+1,1))-AVERAGE(OFFSET($H$3,0,0,'Données projet'!$E$10+1,1))</f>
        <v>448.65237942538027</v>
      </c>
      <c r="AO152" s="59">
        <f t="shared" si="144"/>
        <v>283.56749129825107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51.049707953136789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51.049707953136789</v>
      </c>
      <c r="AY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403.99999999999989</v>
      </c>
      <c r="BE152" s="13">
        <f>BD152*VLOOKUP('Données projet'!$B$11,Paramètres!$A$1:$I$89,3,0)*VLOOKUP('Données projet'!$B$11,Paramètres!$A$1:$I$89,5,0)</f>
        <v>346.63199999999995</v>
      </c>
      <c r="BF152" s="13">
        <f t="shared" si="145"/>
        <v>80.868615263336864</v>
      </c>
      <c r="BG152" s="20">
        <f t="shared" si="115"/>
        <v>744.56357158364483</v>
      </c>
      <c r="BH152" s="59">
        <f t="shared" si="116"/>
        <v>1036.004793924167</v>
      </c>
      <c r="BI152" s="59">
        <f ca="1">AVERAGE(OFFSET($BH$3,0,0,'Données projet'!$E$11+1,1))-AVERAGE(OFFSET($H$3,0,0,'Données projet'!$E$11+1,1))</f>
        <v>456.76871853389395</v>
      </c>
      <c r="BJ152" s="59">
        <f t="shared" si="146"/>
        <v>262.12425810289176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56.283717489005703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56.283717489005703</v>
      </c>
      <c r="BT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255.00000000000006</v>
      </c>
      <c r="BZ152" s="13">
        <f>BY152*VLOOKUP('Données projet'!$B$12,Paramètres!$A$1:$I$89,3,0)*VLOOKUP('Données projet'!$B$12,Paramètres!$A$1:$I$89,5,0)</f>
        <v>186.96600000000004</v>
      </c>
      <c r="CA152" s="13">
        <f t="shared" si="147"/>
        <v>46.868551400324648</v>
      </c>
      <c r="CB152" s="20">
        <f t="shared" si="118"/>
        <v>407.26184368889881</v>
      </c>
      <c r="CC152" s="59">
        <f t="shared" si="119"/>
        <v>698.70306602942082</v>
      </c>
      <c r="CD152" s="59">
        <f ca="1">AVERAGE(OFFSET($CC$3,0,0,'Données projet'!$E$12+1,1))-AVERAGE(OFFSET($H$3,0,0,'Données projet'!$E$12+1,1))</f>
        <v>242.65851607945316</v>
      </c>
      <c r="CE152" s="59">
        <f t="shared" si="148"/>
        <v>218.9349999985487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249.0000000000002</v>
      </c>
      <c r="CU152" s="17">
        <f>CT152*VLOOKUP('Données projet'!$B$13,Paramètres!$A$1:$I$89,3,0)*VLOOKUP('Données projet'!$B$13,Paramètres!$A$1:$I$89,5,0)</f>
        <v>217.52640000000019</v>
      </c>
      <c r="CV152" s="13">
        <f t="shared" si="149"/>
        <v>53.576907690651304</v>
      </c>
      <c r="CW152" s="20">
        <f t="shared" si="121"/>
        <v>472.17159422788467</v>
      </c>
      <c r="CX152" s="59">
        <f t="shared" si="122"/>
        <v>763.61281656840674</v>
      </c>
      <c r="CY152" s="59">
        <f ca="1">AVERAGE(OFFSET($CX$3,0,0,'Données projet'!$E$13+1,1))-AVERAGE(OFFSET($H$3,0,0,'Données projet'!$E$13+1,1))</f>
        <v>326.9460696675867</v>
      </c>
      <c r="CZ152" s="59">
        <f t="shared" si="150"/>
        <v>393.4020374592568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13.063805335795925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13.063805335795925</v>
      </c>
      <c r="DJ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349.00000000000017</v>
      </c>
      <c r="DP152" s="17">
        <f>DO152*VLOOKUP('Données projet'!$B$14,Paramètres!$A$1:$I$89,3,0)*VLOOKUP('Données projet'!$B$14,Paramètres!$A$1:$I$89,5,0)</f>
        <v>272.22000000000014</v>
      </c>
      <c r="DQ152" s="13">
        <f t="shared" si="151"/>
        <v>65.320184547527205</v>
      </c>
      <c r="DR152" s="20">
        <f t="shared" si="124"/>
        <v>587.88248808694345</v>
      </c>
      <c r="DS152" s="59">
        <f t="shared" si="125"/>
        <v>879.32371042746558</v>
      </c>
      <c r="DT152" s="59">
        <f ca="1">AVERAGE(OFFSET($DS$3,0,0,'Données projet'!$E$14+1,1))-AVERAGE(OFFSET($H$3,0,0,'Données projet'!$E$14+1,1))</f>
        <v>364.34528546733799</v>
      </c>
      <c r="DU152" s="59">
        <f t="shared" si="152"/>
        <v>346.5839763411152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18.130371335548976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18.130371335548976</v>
      </c>
      <c r="EE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213.98519999999999</v>
      </c>
      <c r="EL152" s="13">
        <f t="shared" si="153"/>
        <v>52.805497044008654</v>
      </c>
      <c r="EM152" s="20">
        <f t="shared" si="127"/>
        <v>464.66046401831505</v>
      </c>
      <c r="EN152" s="59">
        <f t="shared" si="128"/>
        <v>756.10168635883713</v>
      </c>
      <c r="EO152" s="59">
        <f ca="1">AVERAGE(OFFSET($EN$3,0,0,'Données projet'!$E$15+1,1))-AVERAGE(OFFSET($H$3,0,0,'Données projet'!$E$15+1,1))</f>
        <v>310.38232870602445</v>
      </c>
      <c r="EP152" s="59">
        <f t="shared" si="154"/>
        <v>303.45934457265537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11.431189130467985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11.431189130467985</v>
      </c>
      <c r="EZ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245.99999999999994</v>
      </c>
      <c r="FF152" s="17">
        <f>FE152*VLOOKUP('Données projet'!$B$16,Paramètres!$A$1:$I$89,3,0)*VLOOKUP('Données projet'!$B$16,Paramètres!$A$1:$I$89,5,0)</f>
        <v>234.09359999999998</v>
      </c>
      <c r="FG152" s="13">
        <f t="shared" si="155"/>
        <v>57.166902703920208</v>
      </c>
      <c r="FH152" s="20">
        <f t="shared" si="130"/>
        <v>507.27870887599425</v>
      </c>
      <c r="FI152" s="59">
        <f t="shared" si="131"/>
        <v>798.71993121651633</v>
      </c>
      <c r="FJ152" s="59">
        <f ca="1">AVERAGE(OFFSET($FI$3,0,0,'Données projet'!$E$16+1,1))-AVERAGE(OFFSET($H$3,0,0,'Données projet'!$E$16+1,1))</f>
        <v>457.706832425622</v>
      </c>
      <c r="FK152" s="59">
        <f t="shared" si="156"/>
        <v>474.61768219844873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39.769051961814355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39.769051961814355</v>
      </c>
      <c r="FU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319</v>
      </c>
      <c r="GA152" s="17">
        <f>FZ152*VLOOKUP('Données projet'!$B$17,Paramètres!$A$1:$I$89,3,0)*VLOOKUP('Données projet'!$B$17,Paramètres!$A$1:$I$89,5,0)</f>
        <v>308.53680000000003</v>
      </c>
      <c r="GB152" s="13">
        <f t="shared" si="157"/>
        <v>72.963171684496103</v>
      </c>
      <c r="GC152" s="20">
        <f t="shared" si="133"/>
        <v>664.4457840171641</v>
      </c>
      <c r="GD152" s="59">
        <f t="shared" si="134"/>
        <v>955.88700635768623</v>
      </c>
      <c r="GE152" s="59">
        <f ca="1">AVERAGE(OFFSET($GD$3,0,0,'Données projet'!$E$17+1,1))-AVERAGE(OFFSET($H$3,0,0,'Données projet'!$E$17+1,1))</f>
        <v>428.11167311086814</v>
      </c>
      <c r="GF152" s="59">
        <f t="shared" si="158"/>
        <v>415.69449942923609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13.372334454509732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13.372334454509732</v>
      </c>
      <c r="GP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1.1368683772161603E-13</v>
      </c>
      <c r="GV152" s="17">
        <f>GU152*VLOOKUP('Données projet'!$B$18,Paramètres!$A$1:$I$89,3,0)*VLOOKUP('Données projet'!$B$18,Paramètres!$A$1:$I$89,5,0)</f>
        <v>6.5087988332379613E-14</v>
      </c>
      <c r="GW152" s="13">
        <f t="shared" si="159"/>
        <v>1.0279249680474958E-12</v>
      </c>
      <c r="GX152" s="20">
        <f t="shared" si="136"/>
        <v>1.9036642323616162E-12</v>
      </c>
      <c r="GY152" s="59">
        <f t="shared" si="137"/>
        <v>291.44122234052395</v>
      </c>
      <c r="GZ152" s="59">
        <f ca="1">AVERAGE(OFFSET($GY$3,0,0,'Données projet'!$E$18+1,1))-AVERAGE(OFFSET($H$3,0,0,'Données projet'!$E$18+1,1))</f>
        <v>249.88816678272056</v>
      </c>
      <c r="HA152" s="59">
        <f t="shared" si="160"/>
        <v>432.10802787437319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7.8677140723783623</v>
      </c>
      <c r="HH152" s="21">
        <f>EXP(-LN(2)/25)*HH151+(1-EXP(-LN(2)/25))/(LN(2)/25)*Calculateur!HC152*Calculateur!HE152*VLOOKUP('Données projet'!$B$18,Paramètres!$A$1:$I$89,3,0)*0.475*44/12</f>
        <v>0.79400077973572314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8.6617148521140859</v>
      </c>
    </row>
    <row r="153" spans="1:218" x14ac:dyDescent="0.3">
      <c r="A153" s="10">
        <f>A152+1</f>
        <v>150</v>
      </c>
      <c r="B153" s="71">
        <f>'Scénario référence'!$B$16*5+'Scénario référence'!$B$17*0+'Scénario référence'!$B$18*5</f>
        <v>1.4000000000000001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5.1333333333333337</v>
      </c>
      <c r="H153" s="65">
        <f t="shared" si="110"/>
        <v>236.13333333333335</v>
      </c>
      <c r="I153" s="6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319</v>
      </c>
      <c r="O153" s="13">
        <f>N153*VLOOKUP('Données projet'!$B$9,Paramètres!$A$1:$I$89,3,0)*VLOOKUP('Données projet'!$B$9,Paramètres!$A$1:$I$89,5,0)</f>
        <v>253.79640000000001</v>
      </c>
      <c r="P153" s="13">
        <f t="shared" si="141"/>
        <v>61.39816832228076</v>
      </c>
      <c r="Q153" s="20">
        <f t="shared" si="108"/>
        <v>548.96387316130563</v>
      </c>
      <c r="R153" s="59">
        <f t="shared" si="109"/>
        <v>840.43791939742641</v>
      </c>
      <c r="S153" s="59">
        <f ca="1">AVERAGE(OFFSET($R$3,0,0,'Données projet'!$E$9+1,1))-AVERAGE(OFFSET($H$3,0,0,'Données projet'!$E$9+1,1))</f>
        <v>360.06385535620069</v>
      </c>
      <c r="T153" s="59">
        <f t="shared" si="142"/>
        <v>350.82516032456408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13.292059411204123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13.292059411204123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277.77359999999993</v>
      </c>
      <c r="AK153" s="13">
        <f t="shared" si="143"/>
        <v>66.496288176842356</v>
      </c>
      <c r="AL153" s="20">
        <f t="shared" si="112"/>
        <v>599.60338857466706</v>
      </c>
      <c r="AM153" s="59">
        <f t="shared" si="113"/>
        <v>891.07743481078796</v>
      </c>
      <c r="AN153" s="59">
        <f ca="1">AVERAGE(OFFSET($AM$3,0,0,'Données projet'!$E$10+1,1))-AVERAGE(OFFSET($H$3,0,0,'Données projet'!$E$10+1,1))</f>
        <v>448.65237942538027</v>
      </c>
      <c r="AO153" s="59">
        <f t="shared" si="144"/>
        <v>283.56749129825107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50.048654317423079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50.048654317423079</v>
      </c>
      <c r="AY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403.99999999999989</v>
      </c>
      <c r="BE153" s="13">
        <f>BD153*VLOOKUP('Données projet'!$B$11,Paramètres!$A$1:$I$89,3,0)*VLOOKUP('Données projet'!$B$11,Paramètres!$A$1:$I$89,5,0)</f>
        <v>346.63199999999995</v>
      </c>
      <c r="BF153" s="13">
        <f t="shared" si="145"/>
        <v>80.868615263336864</v>
      </c>
      <c r="BG153" s="20">
        <f t="shared" si="115"/>
        <v>744.56357158364483</v>
      </c>
      <c r="BH153" s="59">
        <f t="shared" si="116"/>
        <v>1036.0376178197657</v>
      </c>
      <c r="BI153" s="59">
        <f ca="1">AVERAGE(OFFSET($BH$3,0,0,'Données projet'!$E$11+1,1))-AVERAGE(OFFSET($H$3,0,0,'Données projet'!$E$11+1,1))</f>
        <v>456.76871853389395</v>
      </c>
      <c r="BJ153" s="59">
        <f t="shared" si="146"/>
        <v>262.12425810289176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55.180028118724195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55.180028118724195</v>
      </c>
      <c r="BT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255.00000000000006</v>
      </c>
      <c r="BZ153" s="13">
        <f>BY153*VLOOKUP('Données projet'!$B$12,Paramètres!$A$1:$I$89,3,0)*VLOOKUP('Données projet'!$B$12,Paramètres!$A$1:$I$89,5,0)</f>
        <v>186.96600000000004</v>
      </c>
      <c r="CA153" s="13">
        <f t="shared" si="147"/>
        <v>46.868551400324648</v>
      </c>
      <c r="CB153" s="20">
        <f t="shared" si="118"/>
        <v>407.26184368889881</v>
      </c>
      <c r="CC153" s="59">
        <f t="shared" si="119"/>
        <v>698.73588992501959</v>
      </c>
      <c r="CD153" s="59">
        <f ca="1">AVERAGE(OFFSET($CC$3,0,0,'Données projet'!$E$12+1,1))-AVERAGE(OFFSET($H$3,0,0,'Données projet'!$E$12+1,1))</f>
        <v>242.65851607945316</v>
      </c>
      <c r="CE153" s="59">
        <f t="shared" si="148"/>
        <v>218.9349999985487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249.0000000000002</v>
      </c>
      <c r="CU153" s="17">
        <f>CT153*VLOOKUP('Données projet'!$B$13,Paramètres!$A$1:$I$89,3,0)*VLOOKUP('Données projet'!$B$13,Paramètres!$A$1:$I$89,5,0)</f>
        <v>217.52640000000019</v>
      </c>
      <c r="CV153" s="13">
        <f t="shared" si="149"/>
        <v>53.576907690651304</v>
      </c>
      <c r="CW153" s="20">
        <f t="shared" si="121"/>
        <v>472.17159422788467</v>
      </c>
      <c r="CX153" s="59">
        <f t="shared" si="122"/>
        <v>763.64564046400551</v>
      </c>
      <c r="CY153" s="59">
        <f ca="1">AVERAGE(OFFSET($CX$3,0,0,'Données projet'!$E$13+1,1))-AVERAGE(OFFSET($H$3,0,0,'Données projet'!$E$13+1,1))</f>
        <v>326.9460696675867</v>
      </c>
      <c r="CZ153" s="59">
        <f t="shared" si="150"/>
        <v>393.4020374592568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12.807632081295434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12.807632081295434</v>
      </c>
      <c r="DJ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349.00000000000017</v>
      </c>
      <c r="DP153" s="17">
        <f>DO153*VLOOKUP('Données projet'!$B$14,Paramètres!$A$1:$I$89,3,0)*VLOOKUP('Données projet'!$B$14,Paramètres!$A$1:$I$89,5,0)</f>
        <v>272.22000000000014</v>
      </c>
      <c r="DQ153" s="13">
        <f t="shared" si="151"/>
        <v>65.320184547527205</v>
      </c>
      <c r="DR153" s="20">
        <f t="shared" si="124"/>
        <v>587.88248808694345</v>
      </c>
      <c r="DS153" s="59">
        <f t="shared" si="125"/>
        <v>879.35653432306435</v>
      </c>
      <c r="DT153" s="59">
        <f ca="1">AVERAGE(OFFSET($DS$3,0,0,'Données projet'!$E$14+1,1))-AVERAGE(OFFSET($H$3,0,0,'Données projet'!$E$14+1,1))</f>
        <v>364.34528546733799</v>
      </c>
      <c r="DU153" s="59">
        <f t="shared" si="152"/>
        <v>346.5839763411152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17.774845812093446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17.774845812093446</v>
      </c>
      <c r="EE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213.98519999999999</v>
      </c>
      <c r="EL153" s="13">
        <f t="shared" si="153"/>
        <v>52.805497044008654</v>
      </c>
      <c r="EM153" s="20">
        <f t="shared" si="127"/>
        <v>464.66046401831505</v>
      </c>
      <c r="EN153" s="59">
        <f t="shared" si="128"/>
        <v>756.1345102544359</v>
      </c>
      <c r="EO153" s="59">
        <f ca="1">AVERAGE(OFFSET($EN$3,0,0,'Données projet'!$E$15+1,1))-AVERAGE(OFFSET($H$3,0,0,'Données projet'!$E$15+1,1))</f>
        <v>310.38232870602445</v>
      </c>
      <c r="EP153" s="59">
        <f t="shared" si="154"/>
        <v>303.45934457265537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11.207030483956416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11.207030483956416</v>
      </c>
      <c r="EZ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245.99999999999994</v>
      </c>
      <c r="FF153" s="17">
        <f>FE153*VLOOKUP('Données projet'!$B$16,Paramètres!$A$1:$I$89,3,0)*VLOOKUP('Données projet'!$B$16,Paramètres!$A$1:$I$89,5,0)</f>
        <v>234.09359999999998</v>
      </c>
      <c r="FG153" s="13">
        <f t="shared" si="155"/>
        <v>57.166902703920208</v>
      </c>
      <c r="FH153" s="20">
        <f t="shared" si="130"/>
        <v>507.27870887599425</v>
      </c>
      <c r="FI153" s="59">
        <f t="shared" si="131"/>
        <v>798.7527551121151</v>
      </c>
      <c r="FJ153" s="59">
        <f ca="1">AVERAGE(OFFSET($FI$3,0,0,'Données projet'!$E$16+1,1))-AVERAGE(OFFSET($H$3,0,0,'Données projet'!$E$16+1,1))</f>
        <v>457.706832425622</v>
      </c>
      <c r="FK153" s="59">
        <f t="shared" si="156"/>
        <v>474.61768219844873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38.989205109569717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38.989205109569717</v>
      </c>
      <c r="FU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319</v>
      </c>
      <c r="GA153" s="17">
        <f>FZ153*VLOOKUP('Données projet'!$B$17,Paramètres!$A$1:$I$89,3,0)*VLOOKUP('Données projet'!$B$17,Paramètres!$A$1:$I$89,5,0)</f>
        <v>308.53680000000003</v>
      </c>
      <c r="GB153" s="13">
        <f t="shared" si="157"/>
        <v>72.963171684496103</v>
      </c>
      <c r="GC153" s="20">
        <f t="shared" si="133"/>
        <v>664.4457840171641</v>
      </c>
      <c r="GD153" s="59">
        <f t="shared" si="134"/>
        <v>955.919830253285</v>
      </c>
      <c r="GE153" s="59">
        <f ca="1">AVERAGE(OFFSET($GD$3,0,0,'Données projet'!$E$17+1,1))-AVERAGE(OFFSET($H$3,0,0,'Données projet'!$E$17+1,1))</f>
        <v>428.11167311086814</v>
      </c>
      <c r="GF153" s="59">
        <f t="shared" si="158"/>
        <v>415.69449942923609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13.110111132175444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13.110111132175444</v>
      </c>
      <c r="GP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1.1368683772161603E-13</v>
      </c>
      <c r="GV153" s="17">
        <f>GU153*VLOOKUP('Données projet'!$B$18,Paramètres!$A$1:$I$89,3,0)*VLOOKUP('Données projet'!$B$18,Paramètres!$A$1:$I$89,5,0)</f>
        <v>6.5087988332379613E-14</v>
      </c>
      <c r="GW153" s="13">
        <f t="shared" si="159"/>
        <v>1.0279249680474958E-12</v>
      </c>
      <c r="GX153" s="20">
        <f t="shared" si="136"/>
        <v>1.9036642323616162E-12</v>
      </c>
      <c r="GY153" s="59">
        <f t="shared" si="137"/>
        <v>291.47404623612272</v>
      </c>
      <c r="GZ153" s="59">
        <f ca="1">AVERAGE(OFFSET($GY$3,0,0,'Données projet'!$E$18+1,1))-AVERAGE(OFFSET($H$3,0,0,'Données projet'!$E$18+1,1))</f>
        <v>249.88816678272056</v>
      </c>
      <c r="HA153" s="59">
        <f t="shared" si="160"/>
        <v>432.10802787437319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7.7134329982507612</v>
      </c>
      <c r="HH153" s="21">
        <f>EXP(-LN(2)/25)*HH152+(1-EXP(-LN(2)/25))/(LN(2)/25)*Calculateur!HC153*Calculateur!HE153*VLOOKUP('Données projet'!$B$18,Paramètres!$A$1:$I$89,3,0)*0.475*44/12</f>
        <v>0.77228878665916345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8.4857217849099253</v>
      </c>
    </row>
    <row r="154" spans="1:218" x14ac:dyDescent="0.3">
      <c r="A154" s="10">
        <f t="shared" ref="A154:A202" si="161">A153+1</f>
        <v>151</v>
      </c>
      <c r="B154" s="71">
        <f>'Scénario référence'!$B$16*5+'Scénario référence'!$B$17*0+'Scénario référence'!$B$18*5</f>
        <v>1.4000000000000001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5.1333333333333337</v>
      </c>
      <c r="H154" s="65">
        <f t="shared" si="110"/>
        <v>236.13333333333335</v>
      </c>
      <c r="I154" s="6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319</v>
      </c>
      <c r="O154" s="13">
        <f>N154*VLOOKUP('Données projet'!$B$9,Paramètres!$A$1:$I$89,3,0)*VLOOKUP('Données projet'!$B$9,Paramètres!$A$1:$I$89,5,0)</f>
        <v>253.79640000000001</v>
      </c>
      <c r="P154" s="13">
        <f t="shared" si="141"/>
        <v>61.39816832228076</v>
      </c>
      <c r="Q154" s="20">
        <f t="shared" ref="Q154:Q203" si="162">(O154+P154)*0.475*44/12</f>
        <v>548.96387316130563</v>
      </c>
      <c r="R154" s="59">
        <f t="shared" si="109"/>
        <v>840.47017387181995</v>
      </c>
      <c r="S154" s="59">
        <f ca="1">AVERAGE(OFFSET($R$3,0,0,'Données projet'!$E$9+1,1))-AVERAGE(OFFSET($H$3,0,0,'Données projet'!$E$9+1,1))</f>
        <v>360.06385535620069</v>
      </c>
      <c r="T154" s="59">
        <f t="shared" si="142"/>
        <v>350.82516032456408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13.031410233506117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13.031410233506117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277.77359999999993</v>
      </c>
      <c r="AK154" s="13">
        <f t="shared" ref="AK154:AK203" si="164">EXP(-1.0587+0.8836*LN(AJ154)+0.284)</f>
        <v>66.496288176842356</v>
      </c>
      <c r="AL154" s="20">
        <f t="shared" ref="AL154:AL203" si="165">(AJ154+AK154)*0.475*44/12</f>
        <v>599.60338857466706</v>
      </c>
      <c r="AM154" s="59">
        <f t="shared" si="113"/>
        <v>891.10968928518128</v>
      </c>
      <c r="AN154" s="59">
        <f ca="1">AVERAGE(OFFSET($AM$3,0,0,'Données projet'!$E$10+1,1))-AVERAGE(OFFSET($H$3,0,0,'Données projet'!$E$10+1,1))</f>
        <v>448.65237942538027</v>
      </c>
      <c r="AO154" s="59">
        <f t="shared" si="144"/>
        <v>283.56749129825107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49.067230732923285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49.067230732923285</v>
      </c>
      <c r="AY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403.99999999999989</v>
      </c>
      <c r="BE154" s="13">
        <f>BD154*VLOOKUP('Données projet'!$B$11,Paramètres!$A$1:$I$89,3,0)*VLOOKUP('Données projet'!$B$11,Paramètres!$A$1:$I$89,5,0)</f>
        <v>346.63199999999995</v>
      </c>
      <c r="BF154" s="13">
        <f t="shared" ref="BF154:BF203" si="167">EXP(-1.0587+0.8836*LN(BE154)+0.284)</f>
        <v>80.868615263336864</v>
      </c>
      <c r="BG154" s="20">
        <f t="shared" ref="BG154:BG203" si="168">(BE154+BF154)*0.475*44/12</f>
        <v>744.56357158364483</v>
      </c>
      <c r="BH154" s="59">
        <f t="shared" si="116"/>
        <v>1036.069872294159</v>
      </c>
      <c r="BI154" s="59">
        <f ca="1">AVERAGE(OFFSET($BH$3,0,0,'Données projet'!$E$11+1,1))-AVERAGE(OFFSET($H$3,0,0,'Données projet'!$E$11+1,1))</f>
        <v>456.76871853389395</v>
      </c>
      <c r="BJ154" s="59">
        <f t="shared" si="146"/>
        <v>262.12425810289176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54.097981423809863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54.097981423809863</v>
      </c>
      <c r="BT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255.00000000000006</v>
      </c>
      <c r="BZ154" s="13">
        <f>BY154*VLOOKUP('Données projet'!$B$12,Paramètres!$A$1:$I$89,3,0)*VLOOKUP('Données projet'!$B$12,Paramètres!$A$1:$I$89,5,0)</f>
        <v>186.96600000000004</v>
      </c>
      <c r="CA154" s="13">
        <f t="shared" ref="CA154:CA203" si="170">EXP(-1.0587+0.8836*LN(BZ154)+0.284)</f>
        <v>46.868551400324648</v>
      </c>
      <c r="CB154" s="20">
        <f t="shared" ref="CB154:CB203" si="171">(BZ154+CA154)*0.475*44/12</f>
        <v>407.26184368889881</v>
      </c>
      <c r="CC154" s="59">
        <f t="shared" si="119"/>
        <v>698.76814439941313</v>
      </c>
      <c r="CD154" s="59">
        <f ca="1">AVERAGE(OFFSET($CC$3,0,0,'Données projet'!$E$12+1,1))-AVERAGE(OFFSET($H$3,0,0,'Données projet'!$E$12+1,1))</f>
        <v>242.65851607945316</v>
      </c>
      <c r="CE154" s="59">
        <f t="shared" si="148"/>
        <v>218.9349999985487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249.0000000000002</v>
      </c>
      <c r="CU154" s="17">
        <f>CT154*VLOOKUP('Données projet'!$B$13,Paramètres!$A$1:$I$89,3,0)*VLOOKUP('Données projet'!$B$13,Paramètres!$A$1:$I$89,5,0)</f>
        <v>217.52640000000019</v>
      </c>
      <c r="CV154" s="13">
        <f t="shared" ref="CV154:CV203" si="173">EXP(-1.0587+0.8836*LN(CU154)+0.284)</f>
        <v>53.576907690651304</v>
      </c>
      <c r="CW154" s="20">
        <f t="shared" ref="CW154:CW203" si="174">(CU154+CV154)*0.475*44/12</f>
        <v>472.17159422788467</v>
      </c>
      <c r="CX154" s="59">
        <f t="shared" si="122"/>
        <v>763.67789493839894</v>
      </c>
      <c r="CY154" s="59">
        <f ca="1">AVERAGE(OFFSET($CX$3,0,0,'Données projet'!$E$13+1,1))-AVERAGE(OFFSET($H$3,0,0,'Données projet'!$E$13+1,1))</f>
        <v>326.9460696675867</v>
      </c>
      <c r="CZ154" s="59">
        <f t="shared" si="150"/>
        <v>393.4020374592568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12.556482228065441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12.556482228065441</v>
      </c>
      <c r="DJ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349.00000000000017</v>
      </c>
      <c r="DP154" s="17">
        <f>DO154*VLOOKUP('Données projet'!$B$14,Paramètres!$A$1:$I$89,3,0)*VLOOKUP('Données projet'!$B$14,Paramètres!$A$1:$I$89,5,0)</f>
        <v>272.22000000000014</v>
      </c>
      <c r="DQ154" s="13">
        <f t="shared" ref="DQ154:DQ203" si="176">EXP(-1.0587+0.8836*LN(DP154)+0.284)</f>
        <v>65.320184547527205</v>
      </c>
      <c r="DR154" s="20">
        <f t="shared" ref="DR154:DR203" si="177">(DP154+DQ154)*0.475*44/12</f>
        <v>587.88248808694345</v>
      </c>
      <c r="DS154" s="59">
        <f t="shared" si="125"/>
        <v>879.38878879745766</v>
      </c>
      <c r="DT154" s="59">
        <f ca="1">AVERAGE(OFFSET($DS$3,0,0,'Données projet'!$E$14+1,1))-AVERAGE(OFFSET($H$3,0,0,'Données projet'!$E$14+1,1))</f>
        <v>364.34528546733799</v>
      </c>
      <c r="DU154" s="59">
        <f t="shared" si="152"/>
        <v>346.5839763411152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17.426291927303723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17.426291927303723</v>
      </c>
      <c r="EE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213.98519999999999</v>
      </c>
      <c r="EL154" s="13">
        <f t="shared" ref="EL154:EL203" si="179">EXP(-1.0587+0.8836*LN(EK154)+0.284)</f>
        <v>52.805497044008654</v>
      </c>
      <c r="EM154" s="20">
        <f t="shared" ref="EM154:EM203" si="180">(EK154+EL154)*0.475*44/12</f>
        <v>464.66046401831505</v>
      </c>
      <c r="EN154" s="59">
        <f t="shared" si="128"/>
        <v>756.16676472882932</v>
      </c>
      <c r="EO154" s="59">
        <f ca="1">AVERAGE(OFFSET($EN$3,0,0,'Données projet'!$E$15+1,1))-AVERAGE(OFFSET($H$3,0,0,'Données projet'!$E$15+1,1))</f>
        <v>310.38232870602445</v>
      </c>
      <c r="EP154" s="59">
        <f t="shared" si="154"/>
        <v>303.45934457265537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10.987267451779665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10.987267451779665</v>
      </c>
      <c r="EZ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245.99999999999994</v>
      </c>
      <c r="FF154" s="17">
        <f>FE154*VLOOKUP('Données projet'!$B$16,Paramètres!$A$1:$I$89,3,0)*VLOOKUP('Données projet'!$B$16,Paramètres!$A$1:$I$89,5,0)</f>
        <v>234.09359999999998</v>
      </c>
      <c r="FG154" s="13">
        <f t="shared" ref="FG154:FG203" si="182">EXP(-1.0587+0.8836*LN(FF154)+0.284)</f>
        <v>57.166902703920208</v>
      </c>
      <c r="FH154" s="20">
        <f t="shared" ref="FH154:FH203" si="183">(FF154+FG154)*0.475*44/12</f>
        <v>507.27870887599425</v>
      </c>
      <c r="FI154" s="59">
        <f t="shared" si="131"/>
        <v>798.78500958650852</v>
      </c>
      <c r="FJ154" s="59">
        <f ca="1">AVERAGE(OFFSET($FI$3,0,0,'Données projet'!$E$16+1,1))-AVERAGE(OFFSET($H$3,0,0,'Données projet'!$E$16+1,1))</f>
        <v>457.706832425622</v>
      </c>
      <c r="FK154" s="59">
        <f t="shared" si="156"/>
        <v>474.61768219844873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38.224650578437988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38.224650578437988</v>
      </c>
      <c r="FU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319</v>
      </c>
      <c r="GA154" s="17">
        <f>FZ154*VLOOKUP('Données projet'!$B$17,Paramètres!$A$1:$I$89,3,0)*VLOOKUP('Données projet'!$B$17,Paramètres!$A$1:$I$89,5,0)</f>
        <v>308.53680000000003</v>
      </c>
      <c r="GB154" s="13">
        <f t="shared" ref="GB154:GB203" si="185">EXP(-1.0587+0.8836*LN(GA154)+0.284)</f>
        <v>72.963171684496103</v>
      </c>
      <c r="GC154" s="20">
        <f t="shared" ref="GC154:GC203" si="186">(GA154+GB154)*0.475*44/12</f>
        <v>664.4457840171641</v>
      </c>
      <c r="GD154" s="59">
        <f t="shared" si="134"/>
        <v>955.95208472767831</v>
      </c>
      <c r="GE154" s="59">
        <f ca="1">AVERAGE(OFFSET($GD$3,0,0,'Données projet'!$E$17+1,1))-AVERAGE(OFFSET($H$3,0,0,'Données projet'!$E$17+1,1))</f>
        <v>428.11167311086814</v>
      </c>
      <c r="GF154" s="59">
        <f t="shared" si="158"/>
        <v>415.69449942923609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12.853029849251698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12.853029849251698</v>
      </c>
      <c r="GP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1.1368683772161603E-13</v>
      </c>
      <c r="GV154" s="17">
        <f>GU154*VLOOKUP('Données projet'!$B$18,Paramètres!$A$1:$I$89,3,0)*VLOOKUP('Données projet'!$B$18,Paramètres!$A$1:$I$89,5,0)</f>
        <v>6.5087988332379613E-14</v>
      </c>
      <c r="GW154" s="13">
        <f t="shared" ref="GW154:GW203" si="188">EXP(-1.0587+0.8836*LN(GV154)+0.284)</f>
        <v>1.0279249680474958E-12</v>
      </c>
      <c r="GX154" s="20">
        <f t="shared" ref="GX154:GX203" si="189">(GV154+GW154)*0.475*44/12</f>
        <v>1.9036642323616162E-12</v>
      </c>
      <c r="GY154" s="59">
        <f t="shared" si="137"/>
        <v>291.50630071051614</v>
      </c>
      <c r="GZ154" s="59">
        <f ca="1">AVERAGE(OFFSET($GY$3,0,0,'Données projet'!$E$18+1,1))-AVERAGE(OFFSET($H$3,0,0,'Données projet'!$E$18+1,1))</f>
        <v>249.88816678272056</v>
      </c>
      <c r="HA154" s="59">
        <f t="shared" si="160"/>
        <v>432.10802787437319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7.5621772818846393</v>
      </c>
      <c r="HH154" s="21">
        <f>EXP(-LN(2)/25)*HH153+(1-EXP(-LN(2)/25))/(LN(2)/25)*Calculateur!HC154*Calculateur!HE154*VLOOKUP('Données projet'!$B$18,Paramètres!$A$1:$I$89,3,0)*0.475*44/12</f>
        <v>0.75117050917506645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8.3133477910597051</v>
      </c>
    </row>
    <row r="155" spans="1:218" x14ac:dyDescent="0.3">
      <c r="A155" s="10">
        <f t="shared" si="161"/>
        <v>152</v>
      </c>
      <c r="B155" s="71">
        <f>'Scénario référence'!$B$16*5+'Scénario référence'!$B$17*0+'Scénario référence'!$B$18*5</f>
        <v>1.4000000000000001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5.1333333333333337</v>
      </c>
      <c r="H155" s="65">
        <f t="shared" si="110"/>
        <v>236.13333333333335</v>
      </c>
      <c r="I155" s="6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319</v>
      </c>
      <c r="O155" s="13">
        <f>N155*VLOOKUP('Données projet'!$B$9,Paramètres!$A$1:$I$89,3,0)*VLOOKUP('Données projet'!$B$9,Paramètres!$A$1:$I$89,5,0)</f>
        <v>253.79640000000001</v>
      </c>
      <c r="P155" s="13">
        <f t="shared" si="141"/>
        <v>61.39816832228076</v>
      </c>
      <c r="Q155" s="20">
        <f t="shared" si="162"/>
        <v>548.96387316130563</v>
      </c>
      <c r="R155" s="59">
        <f t="shared" si="109"/>
        <v>840.50186880319279</v>
      </c>
      <c r="S155" s="59">
        <f ca="1">AVERAGE(OFFSET($R$3,0,0,'Données projet'!$E$9+1,1))-AVERAGE(OFFSET($H$3,0,0,'Données projet'!$E$9+1,1))</f>
        <v>360.06385535620069</v>
      </c>
      <c r="T155" s="59">
        <f t="shared" si="142"/>
        <v>350.82516032456408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12.775872227202468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12.775872227202468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277.77359999999993</v>
      </c>
      <c r="AK155" s="13">
        <f t="shared" si="164"/>
        <v>66.496288176842356</v>
      </c>
      <c r="AL155" s="20">
        <f t="shared" si="165"/>
        <v>599.60338857466706</v>
      </c>
      <c r="AM155" s="59">
        <f t="shared" si="113"/>
        <v>891.14138421655434</v>
      </c>
      <c r="AN155" s="59">
        <f ca="1">AVERAGE(OFFSET($AM$3,0,0,'Données projet'!$E$10+1,1))-AVERAGE(OFFSET($H$3,0,0,'Données projet'!$E$10+1,1))</f>
        <v>448.65237942538027</v>
      </c>
      <c r="AO155" s="59">
        <f t="shared" si="144"/>
        <v>283.56749129825107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48.105052266306259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48.105052266306259</v>
      </c>
      <c r="AY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403.99999999999989</v>
      </c>
      <c r="BE155" s="13">
        <f>BD155*VLOOKUP('Données projet'!$B$11,Paramètres!$A$1:$I$89,3,0)*VLOOKUP('Données projet'!$B$11,Paramètres!$A$1:$I$89,5,0)</f>
        <v>346.63199999999995</v>
      </c>
      <c r="BF155" s="13">
        <f t="shared" si="167"/>
        <v>80.868615263336864</v>
      </c>
      <c r="BG155" s="20">
        <f t="shared" si="168"/>
        <v>744.56357158364483</v>
      </c>
      <c r="BH155" s="59">
        <f t="shared" si="116"/>
        <v>1036.1015672255321</v>
      </c>
      <c r="BI155" s="59">
        <f ca="1">AVERAGE(OFFSET($BH$3,0,0,'Données projet'!$E$11+1,1))-AVERAGE(OFFSET($H$3,0,0,'Données projet'!$E$11+1,1))</f>
        <v>456.76871853389395</v>
      </c>
      <c r="BJ155" s="59">
        <f t="shared" si="146"/>
        <v>262.12425810289176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53.037153004599482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53.037153004599482</v>
      </c>
      <c r="BT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255.00000000000006</v>
      </c>
      <c r="BZ155" s="13">
        <f>BY155*VLOOKUP('Données projet'!$B$12,Paramètres!$A$1:$I$89,3,0)*VLOOKUP('Données projet'!$B$12,Paramètres!$A$1:$I$89,5,0)</f>
        <v>186.96600000000004</v>
      </c>
      <c r="CA155" s="13">
        <f t="shared" si="170"/>
        <v>46.868551400324648</v>
      </c>
      <c r="CB155" s="20">
        <f t="shared" si="171"/>
        <v>407.26184368889881</v>
      </c>
      <c r="CC155" s="59">
        <f t="shared" si="119"/>
        <v>698.79983933078597</v>
      </c>
      <c r="CD155" s="59">
        <f ca="1">AVERAGE(OFFSET($CC$3,0,0,'Données projet'!$E$12+1,1))-AVERAGE(OFFSET($H$3,0,0,'Données projet'!$E$12+1,1))</f>
        <v>242.65851607945316</v>
      </c>
      <c r="CE155" s="59">
        <f t="shared" si="148"/>
        <v>218.9349999985487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249.0000000000002</v>
      </c>
      <c r="CU155" s="17">
        <f>CT155*VLOOKUP('Données projet'!$B$13,Paramètres!$A$1:$I$89,3,0)*VLOOKUP('Données projet'!$B$13,Paramètres!$A$1:$I$89,5,0)</f>
        <v>217.52640000000019</v>
      </c>
      <c r="CV155" s="13">
        <f t="shared" si="173"/>
        <v>53.576907690651304</v>
      </c>
      <c r="CW155" s="20">
        <f t="shared" si="174"/>
        <v>472.17159422788467</v>
      </c>
      <c r="CX155" s="59">
        <f t="shared" si="122"/>
        <v>763.70958986977189</v>
      </c>
      <c r="CY155" s="59">
        <f ca="1">AVERAGE(OFFSET($CX$3,0,0,'Données projet'!$E$13+1,1))-AVERAGE(OFFSET($H$3,0,0,'Données projet'!$E$13+1,1))</f>
        <v>326.9460696675867</v>
      </c>
      <c r="CZ155" s="59">
        <f t="shared" si="150"/>
        <v>393.4020374592568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12.310257270271004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12.310257270271004</v>
      </c>
      <c r="DJ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349.00000000000017</v>
      </c>
      <c r="DP155" s="17">
        <f>DO155*VLOOKUP('Données projet'!$B$14,Paramètres!$A$1:$I$89,3,0)*VLOOKUP('Données projet'!$B$14,Paramètres!$A$1:$I$89,5,0)</f>
        <v>272.22000000000014</v>
      </c>
      <c r="DQ155" s="13">
        <f t="shared" si="176"/>
        <v>65.320184547527205</v>
      </c>
      <c r="DR155" s="20">
        <f t="shared" si="177"/>
        <v>587.88248808694345</v>
      </c>
      <c r="DS155" s="59">
        <f t="shared" si="125"/>
        <v>879.42048372883073</v>
      </c>
      <c r="DT155" s="59">
        <f ca="1">AVERAGE(OFFSET($DS$3,0,0,'Données projet'!$E$14+1,1))-AVERAGE(OFFSET($H$3,0,0,'Données projet'!$E$14+1,1))</f>
        <v>364.34528546733799</v>
      </c>
      <c r="DU155" s="59">
        <f t="shared" si="152"/>
        <v>346.5839763411152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17.084572971597847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17.084572971597847</v>
      </c>
      <c r="EE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213.98519999999999</v>
      </c>
      <c r="EL155" s="13">
        <f t="shared" si="179"/>
        <v>52.805497044008654</v>
      </c>
      <c r="EM155" s="20">
        <f t="shared" si="180"/>
        <v>464.66046401831505</v>
      </c>
      <c r="EN155" s="59">
        <f t="shared" si="128"/>
        <v>756.19845966020227</v>
      </c>
      <c r="EO155" s="59">
        <f ca="1">AVERAGE(OFFSET($EN$3,0,0,'Données projet'!$E$15+1,1))-AVERAGE(OFFSET($H$3,0,0,'Données projet'!$E$15+1,1))</f>
        <v>310.38232870602445</v>
      </c>
      <c r="EP155" s="59">
        <f t="shared" si="154"/>
        <v>303.45934457265537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10.771813838621686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10.771813838621686</v>
      </c>
      <c r="EZ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245.99999999999994</v>
      </c>
      <c r="FF155" s="17">
        <f>FE155*VLOOKUP('Données projet'!$B$16,Paramètres!$A$1:$I$89,3,0)*VLOOKUP('Données projet'!$B$16,Paramètres!$A$1:$I$89,5,0)</f>
        <v>234.09359999999998</v>
      </c>
      <c r="FG155" s="13">
        <f t="shared" si="182"/>
        <v>57.166902703920208</v>
      </c>
      <c r="FH155" s="20">
        <f t="shared" si="183"/>
        <v>507.27870887599425</v>
      </c>
      <c r="FI155" s="59">
        <f t="shared" si="131"/>
        <v>798.81670451788148</v>
      </c>
      <c r="FJ155" s="59">
        <f ca="1">AVERAGE(OFFSET($FI$3,0,0,'Données projet'!$E$16+1,1))-AVERAGE(OFFSET($H$3,0,0,'Données projet'!$E$16+1,1))</f>
        <v>457.706832425622</v>
      </c>
      <c r="FK155" s="59">
        <f t="shared" si="156"/>
        <v>474.61768219844873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37.47508849532953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37.47508849532953</v>
      </c>
      <c r="FU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319</v>
      </c>
      <c r="GA155" s="17">
        <f>FZ155*VLOOKUP('Données projet'!$B$17,Paramètres!$A$1:$I$89,3,0)*VLOOKUP('Données projet'!$B$17,Paramètres!$A$1:$I$89,5,0)</f>
        <v>308.53680000000003</v>
      </c>
      <c r="GB155" s="13">
        <f t="shared" si="185"/>
        <v>72.963171684496103</v>
      </c>
      <c r="GC155" s="20">
        <f t="shared" si="186"/>
        <v>664.4457840171641</v>
      </c>
      <c r="GD155" s="59">
        <f t="shared" si="134"/>
        <v>955.98377965905138</v>
      </c>
      <c r="GE155" s="59">
        <f ca="1">AVERAGE(OFFSET($GD$3,0,0,'Données projet'!$E$17+1,1))-AVERAGE(OFFSET($H$3,0,0,'Données projet'!$E$17+1,1))</f>
        <v>428.11167311086814</v>
      </c>
      <c r="GF155" s="59">
        <f t="shared" si="158"/>
        <v>415.69449942923609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12.600989773481986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12.600989773481986</v>
      </c>
      <c r="GP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1.1368683772161603E-13</v>
      </c>
      <c r="GV155" s="17">
        <f>GU155*VLOOKUP('Données projet'!$B$18,Paramètres!$A$1:$I$89,3,0)*VLOOKUP('Données projet'!$B$18,Paramètres!$A$1:$I$89,5,0)</f>
        <v>6.5087988332379613E-14</v>
      </c>
      <c r="GW155" s="13">
        <f t="shared" si="188"/>
        <v>1.0279249680474958E-12</v>
      </c>
      <c r="GX155" s="20">
        <f t="shared" si="189"/>
        <v>1.9036642323616162E-12</v>
      </c>
      <c r="GY155" s="59">
        <f t="shared" si="137"/>
        <v>291.5379956418891</v>
      </c>
      <c r="GZ155" s="59">
        <f ca="1">AVERAGE(OFFSET($GY$3,0,0,'Données projet'!$E$18+1,1))-AVERAGE(OFFSET($H$3,0,0,'Données projet'!$E$18+1,1))</f>
        <v>249.88816678272056</v>
      </c>
      <c r="HA155" s="59">
        <f t="shared" si="160"/>
        <v>432.10802787437319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7.4138875978595795</v>
      </c>
      <c r="HH155" s="21">
        <f>EXP(-LN(2)/25)*HH154+(1-EXP(-LN(2)/25))/(LN(2)/25)*Calculateur!HC155*Calculateur!HE155*VLOOKUP('Données projet'!$B$18,Paramètres!$A$1:$I$89,3,0)*0.475*44/12</f>
        <v>0.73062971209933403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8.1445173099589141</v>
      </c>
    </row>
    <row r="156" spans="1:218" x14ac:dyDescent="0.3">
      <c r="A156" s="10">
        <f t="shared" si="161"/>
        <v>153</v>
      </c>
      <c r="B156" s="71">
        <f>'Scénario référence'!$B$16*5+'Scénario référence'!$B$17*0+'Scénario référence'!$B$18*5</f>
        <v>1.4000000000000001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5.1333333333333337</v>
      </c>
      <c r="H156" s="65">
        <f t="shared" si="110"/>
        <v>236.13333333333335</v>
      </c>
      <c r="I156" s="6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319</v>
      </c>
      <c r="O156" s="13">
        <f>N156*VLOOKUP('Données projet'!$B$9,Paramètres!$A$1:$I$89,3,0)*VLOOKUP('Données projet'!$B$9,Paramètres!$A$1:$I$89,5,0)</f>
        <v>253.79640000000001</v>
      </c>
      <c r="P156" s="13">
        <f t="shared" si="141"/>
        <v>61.39816832228076</v>
      </c>
      <c r="Q156" s="20">
        <f t="shared" si="162"/>
        <v>548.96387316130563</v>
      </c>
      <c r="R156" s="59">
        <f t="shared" si="109"/>
        <v>840.53301389836565</v>
      </c>
      <c r="S156" s="59">
        <f ca="1">AVERAGE(OFFSET($R$3,0,0,'Données projet'!$E$9+1,1))-AVERAGE(OFFSET($H$3,0,0,'Données projet'!$E$9+1,1))</f>
        <v>360.06385535620069</v>
      </c>
      <c r="T156" s="59">
        <f t="shared" si="142"/>
        <v>350.82516032456408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12.52534516533964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12.52534516533964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277.77359999999993</v>
      </c>
      <c r="AK156" s="13">
        <f t="shared" si="164"/>
        <v>66.496288176842356</v>
      </c>
      <c r="AL156" s="20">
        <f t="shared" si="165"/>
        <v>599.60338857466706</v>
      </c>
      <c r="AM156" s="59">
        <f t="shared" si="113"/>
        <v>891.17252931172709</v>
      </c>
      <c r="AN156" s="59">
        <f ca="1">AVERAGE(OFFSET($AM$3,0,0,'Données projet'!$E$10+1,1))-AVERAGE(OFFSET($H$3,0,0,'Données projet'!$E$10+1,1))</f>
        <v>448.65237942538027</v>
      </c>
      <c r="AO156" s="59">
        <f t="shared" si="144"/>
        <v>283.56749129825107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47.161741532548675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47.161741532548675</v>
      </c>
      <c r="AY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403.99999999999989</v>
      </c>
      <c r="BE156" s="13">
        <f>BD156*VLOOKUP('Données projet'!$B$11,Paramètres!$A$1:$I$89,3,0)*VLOOKUP('Données projet'!$B$11,Paramètres!$A$1:$I$89,5,0)</f>
        <v>346.63199999999995</v>
      </c>
      <c r="BF156" s="13">
        <f t="shared" si="167"/>
        <v>80.868615263336864</v>
      </c>
      <c r="BG156" s="20">
        <f t="shared" si="168"/>
        <v>744.56357158364483</v>
      </c>
      <c r="BH156" s="59">
        <f t="shared" si="116"/>
        <v>1036.1327123207047</v>
      </c>
      <c r="BI156" s="59">
        <f ca="1">AVERAGE(OFFSET($BH$3,0,0,'Données projet'!$E$11+1,1))-AVERAGE(OFFSET($H$3,0,0,'Données projet'!$E$11+1,1))</f>
        <v>456.76871853389395</v>
      </c>
      <c r="BJ156" s="59">
        <f t="shared" si="146"/>
        <v>262.12425810289176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51.997126783648376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51.997126783648376</v>
      </c>
      <c r="BT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255.00000000000006</v>
      </c>
      <c r="BZ156" s="13">
        <f>BY156*VLOOKUP('Données projet'!$B$12,Paramètres!$A$1:$I$89,3,0)*VLOOKUP('Données projet'!$B$12,Paramètres!$A$1:$I$89,5,0)</f>
        <v>186.96600000000004</v>
      </c>
      <c r="CA156" s="13">
        <f t="shared" si="170"/>
        <v>46.868551400324648</v>
      </c>
      <c r="CB156" s="20">
        <f t="shared" si="171"/>
        <v>407.26184368889881</v>
      </c>
      <c r="CC156" s="59">
        <f t="shared" si="119"/>
        <v>698.83098442595883</v>
      </c>
      <c r="CD156" s="59">
        <f ca="1">AVERAGE(OFFSET($CC$3,0,0,'Données projet'!$E$12+1,1))-AVERAGE(OFFSET($H$3,0,0,'Données projet'!$E$12+1,1))</f>
        <v>242.65851607945316</v>
      </c>
      <c r="CE156" s="59">
        <f t="shared" si="148"/>
        <v>218.9349999985487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249.0000000000002</v>
      </c>
      <c r="CU156" s="17">
        <f>CT156*VLOOKUP('Données projet'!$B$13,Paramètres!$A$1:$I$89,3,0)*VLOOKUP('Données projet'!$B$13,Paramètres!$A$1:$I$89,5,0)</f>
        <v>217.52640000000019</v>
      </c>
      <c r="CV156" s="13">
        <f t="shared" si="173"/>
        <v>53.576907690651304</v>
      </c>
      <c r="CW156" s="20">
        <f t="shared" si="174"/>
        <v>472.17159422788467</v>
      </c>
      <c r="CX156" s="59">
        <f t="shared" si="122"/>
        <v>763.74073496494475</v>
      </c>
      <c r="CY156" s="59">
        <f ca="1">AVERAGE(OFFSET($CX$3,0,0,'Données projet'!$E$13+1,1))-AVERAGE(OFFSET($H$3,0,0,'Données projet'!$E$13+1,1))</f>
        <v>326.9460696675867</v>
      </c>
      <c r="CZ156" s="59">
        <f t="shared" si="150"/>
        <v>393.4020374592568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12.06886063371652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12.06886063371652</v>
      </c>
      <c r="DJ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349.00000000000017</v>
      </c>
      <c r="DP156" s="17">
        <f>DO156*VLOOKUP('Données projet'!$B$14,Paramètres!$A$1:$I$89,3,0)*VLOOKUP('Données projet'!$B$14,Paramètres!$A$1:$I$89,5,0)</f>
        <v>272.22000000000014</v>
      </c>
      <c r="DQ156" s="13">
        <f t="shared" si="176"/>
        <v>65.320184547527205</v>
      </c>
      <c r="DR156" s="20">
        <f t="shared" si="177"/>
        <v>587.88248808694345</v>
      </c>
      <c r="DS156" s="59">
        <f t="shared" si="125"/>
        <v>879.45162882400348</v>
      </c>
      <c r="DT156" s="59">
        <f ca="1">AVERAGE(OFFSET($DS$3,0,0,'Données projet'!$E$14+1,1))-AVERAGE(OFFSET($H$3,0,0,'Données projet'!$E$14+1,1))</f>
        <v>364.34528546733799</v>
      </c>
      <c r="DU156" s="59">
        <f t="shared" si="152"/>
        <v>346.5839763411152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16.749554916185382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16.749554916185382</v>
      </c>
      <c r="EE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213.98519999999999</v>
      </c>
      <c r="EL156" s="13">
        <f t="shared" si="179"/>
        <v>52.805497044008654</v>
      </c>
      <c r="EM156" s="20">
        <f t="shared" si="180"/>
        <v>464.66046401831505</v>
      </c>
      <c r="EN156" s="59">
        <f t="shared" si="128"/>
        <v>756.22960475537502</v>
      </c>
      <c r="EO156" s="59">
        <f ca="1">AVERAGE(OFFSET($EN$3,0,0,'Données projet'!$E$15+1,1))-AVERAGE(OFFSET($H$3,0,0,'Données projet'!$E$15+1,1))</f>
        <v>310.38232870602445</v>
      </c>
      <c r="EP156" s="59">
        <f t="shared" si="154"/>
        <v>303.45934457265537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10.560585139404006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10.560585139404006</v>
      </c>
      <c r="EZ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245.99999999999994</v>
      </c>
      <c r="FF156" s="17">
        <f>FE156*VLOOKUP('Données projet'!$B$16,Paramètres!$A$1:$I$89,3,0)*VLOOKUP('Données projet'!$B$16,Paramètres!$A$1:$I$89,5,0)</f>
        <v>234.09359999999998</v>
      </c>
      <c r="FG156" s="13">
        <f t="shared" si="182"/>
        <v>57.166902703920208</v>
      </c>
      <c r="FH156" s="20">
        <f t="shared" si="183"/>
        <v>507.27870887599425</v>
      </c>
      <c r="FI156" s="59">
        <f t="shared" si="131"/>
        <v>798.84784961305422</v>
      </c>
      <c r="FJ156" s="59">
        <f ca="1">AVERAGE(OFFSET($FI$3,0,0,'Données projet'!$E$16+1,1))-AVERAGE(OFFSET($H$3,0,0,'Données projet'!$E$16+1,1))</f>
        <v>457.706832425622</v>
      </c>
      <c r="FK156" s="59">
        <f t="shared" si="156"/>
        <v>474.61768219844873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36.740224867483107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36.740224867483107</v>
      </c>
      <c r="FU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319</v>
      </c>
      <c r="GA156" s="17">
        <f>FZ156*VLOOKUP('Données projet'!$B$17,Paramètres!$A$1:$I$89,3,0)*VLOOKUP('Données projet'!$B$17,Paramètres!$A$1:$I$89,5,0)</f>
        <v>308.53680000000003</v>
      </c>
      <c r="GB156" s="13">
        <f t="shared" si="185"/>
        <v>72.963171684496103</v>
      </c>
      <c r="GC156" s="20">
        <f t="shared" si="186"/>
        <v>664.4457840171641</v>
      </c>
      <c r="GD156" s="59">
        <f t="shared" si="134"/>
        <v>956.01492475422413</v>
      </c>
      <c r="GE156" s="59">
        <f ca="1">AVERAGE(OFFSET($GD$3,0,0,'Données projet'!$E$17+1,1))-AVERAGE(OFFSET($H$3,0,0,'Données projet'!$E$17+1,1))</f>
        <v>428.11167311086814</v>
      </c>
      <c r="GF156" s="59">
        <f t="shared" si="158"/>
        <v>415.69449942923609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12.353892049868852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12.353892049868852</v>
      </c>
      <c r="GP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1.1368683772161603E-13</v>
      </c>
      <c r="GV156" s="17">
        <f>GU156*VLOOKUP('Données projet'!$B$18,Paramètres!$A$1:$I$89,3,0)*VLOOKUP('Données projet'!$B$18,Paramètres!$A$1:$I$89,5,0)</f>
        <v>6.5087988332379613E-14</v>
      </c>
      <c r="GW156" s="13">
        <f t="shared" si="188"/>
        <v>1.0279249680474958E-12</v>
      </c>
      <c r="GX156" s="20">
        <f t="shared" si="189"/>
        <v>1.9036642323616162E-12</v>
      </c>
      <c r="GY156" s="59">
        <f t="shared" si="137"/>
        <v>291.5691407370619</v>
      </c>
      <c r="GZ156" s="59">
        <f ca="1">AVERAGE(OFFSET($GY$3,0,0,'Données projet'!$E$18+1,1))-AVERAGE(OFFSET($H$3,0,0,'Données projet'!$E$18+1,1))</f>
        <v>249.88816678272056</v>
      </c>
      <c r="HA156" s="59">
        <f t="shared" si="160"/>
        <v>432.10802787437319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7.2685057840904745</v>
      </c>
      <c r="HH156" s="21">
        <f>EXP(-LN(2)/25)*HH155+(1-EXP(-LN(2)/25))/(LN(2)/25)*Calculateur!HC156*Calculateur!HE156*VLOOKUP('Données projet'!$B$18,Paramètres!$A$1:$I$89,3,0)*0.475*44/12</f>
        <v>0.71065060419983106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7.9791563882903054</v>
      </c>
    </row>
    <row r="157" spans="1:218" x14ac:dyDescent="0.3">
      <c r="A157" s="10">
        <f t="shared" si="161"/>
        <v>154</v>
      </c>
      <c r="B157" s="71">
        <f>'Scénario référence'!$B$16*5+'Scénario référence'!$B$17*0+'Scénario référence'!$B$18*5</f>
        <v>1.4000000000000001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5.1333333333333337</v>
      </c>
      <c r="H157" s="65">
        <f t="shared" si="110"/>
        <v>236.13333333333335</v>
      </c>
      <c r="I157" s="6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319</v>
      </c>
      <c r="O157" s="13">
        <f>N157*VLOOKUP('Données projet'!$B$9,Paramètres!$A$1:$I$89,3,0)*VLOOKUP('Données projet'!$B$9,Paramètres!$A$1:$I$89,5,0)</f>
        <v>253.79640000000001</v>
      </c>
      <c r="P157" s="13">
        <f t="shared" si="141"/>
        <v>61.39816832228076</v>
      </c>
      <c r="Q157" s="20">
        <f t="shared" si="162"/>
        <v>548.96387316130563</v>
      </c>
      <c r="R157" s="59">
        <f t="shared" si="109"/>
        <v>840.56361869576722</v>
      </c>
      <c r="S157" s="59">
        <f ca="1">AVERAGE(OFFSET($R$3,0,0,'Données projet'!$E$9+1,1))-AVERAGE(OFFSET($H$3,0,0,'Données projet'!$E$9+1,1))</f>
        <v>360.06385535620069</v>
      </c>
      <c r="T157" s="59">
        <f t="shared" si="142"/>
        <v>350.82516032456408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12.279730786353522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12.279730786353522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277.77359999999993</v>
      </c>
      <c r="AK157" s="13">
        <f t="shared" si="164"/>
        <v>66.496288176842356</v>
      </c>
      <c r="AL157" s="20">
        <f t="shared" si="165"/>
        <v>599.60338857466706</v>
      </c>
      <c r="AM157" s="59">
        <f t="shared" si="113"/>
        <v>891.20313410912854</v>
      </c>
      <c r="AN157" s="59">
        <f ca="1">AVERAGE(OFFSET($AM$3,0,0,'Données projet'!$E$10+1,1))-AVERAGE(OFFSET($H$3,0,0,'Données projet'!$E$10+1,1))</f>
        <v>448.65237942538027</v>
      </c>
      <c r="AO157" s="59">
        <f t="shared" si="144"/>
        <v>283.56749129825107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46.236928546917341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46.236928546917341</v>
      </c>
      <c r="AY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403.99999999999989</v>
      </c>
      <c r="BE157" s="13">
        <f>BD157*VLOOKUP('Données projet'!$B$11,Paramètres!$A$1:$I$89,3,0)*VLOOKUP('Données projet'!$B$11,Paramètres!$A$1:$I$89,5,0)</f>
        <v>346.63199999999995</v>
      </c>
      <c r="BF157" s="13">
        <f t="shared" si="167"/>
        <v>80.868615263336864</v>
      </c>
      <c r="BG157" s="20">
        <f t="shared" si="168"/>
        <v>744.56357158364483</v>
      </c>
      <c r="BH157" s="59">
        <f t="shared" si="116"/>
        <v>1036.1633171181063</v>
      </c>
      <c r="BI157" s="59">
        <f ca="1">AVERAGE(OFFSET($BH$3,0,0,'Données projet'!$E$11+1,1))-AVERAGE(OFFSET($H$3,0,0,'Données projet'!$E$11+1,1))</f>
        <v>456.76871853389395</v>
      </c>
      <c r="BJ157" s="59">
        <f t="shared" si="146"/>
        <v>262.12425810289176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50.977494842536764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50.977494842536764</v>
      </c>
      <c r="BT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255.00000000000006</v>
      </c>
      <c r="BZ157" s="13">
        <f>BY157*VLOOKUP('Données projet'!$B$12,Paramètres!$A$1:$I$89,3,0)*VLOOKUP('Données projet'!$B$12,Paramètres!$A$1:$I$89,5,0)</f>
        <v>186.96600000000004</v>
      </c>
      <c r="CA157" s="13">
        <f t="shared" si="170"/>
        <v>46.868551400324648</v>
      </c>
      <c r="CB157" s="20">
        <f t="shared" si="171"/>
        <v>407.26184368889881</v>
      </c>
      <c r="CC157" s="59">
        <f t="shared" si="119"/>
        <v>698.8615892233604</v>
      </c>
      <c r="CD157" s="59">
        <f ca="1">AVERAGE(OFFSET($CC$3,0,0,'Données projet'!$E$12+1,1))-AVERAGE(OFFSET($H$3,0,0,'Données projet'!$E$12+1,1))</f>
        <v>242.65851607945316</v>
      </c>
      <c r="CE157" s="59">
        <f t="shared" si="148"/>
        <v>218.9349999985487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249.0000000000002</v>
      </c>
      <c r="CU157" s="17">
        <f>CT157*VLOOKUP('Données projet'!$B$13,Paramètres!$A$1:$I$89,3,0)*VLOOKUP('Données projet'!$B$13,Paramètres!$A$1:$I$89,5,0)</f>
        <v>217.52640000000019</v>
      </c>
      <c r="CV157" s="13">
        <f t="shared" si="173"/>
        <v>53.576907690651304</v>
      </c>
      <c r="CW157" s="20">
        <f t="shared" si="174"/>
        <v>472.17159422788467</v>
      </c>
      <c r="CX157" s="59">
        <f t="shared" si="122"/>
        <v>763.7713397623462</v>
      </c>
      <c r="CY157" s="59">
        <f ca="1">AVERAGE(OFFSET($CX$3,0,0,'Données projet'!$E$13+1,1))-AVERAGE(OFFSET($H$3,0,0,'Données projet'!$E$13+1,1))</f>
        <v>326.9460696675867</v>
      </c>
      <c r="CZ157" s="59">
        <f t="shared" si="150"/>
        <v>393.4020374592568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11.832197637967459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11.832197637967459</v>
      </c>
      <c r="DJ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349.00000000000017</v>
      </c>
      <c r="DP157" s="17">
        <f>DO157*VLOOKUP('Données projet'!$B$14,Paramètres!$A$1:$I$89,3,0)*VLOOKUP('Données projet'!$B$14,Paramètres!$A$1:$I$89,5,0)</f>
        <v>272.22000000000014</v>
      </c>
      <c r="DQ157" s="13">
        <f t="shared" si="176"/>
        <v>65.320184547527205</v>
      </c>
      <c r="DR157" s="20">
        <f t="shared" si="177"/>
        <v>587.88248808694345</v>
      </c>
      <c r="DS157" s="59">
        <f t="shared" si="125"/>
        <v>879.48223362140493</v>
      </c>
      <c r="DT157" s="59">
        <f ca="1">AVERAGE(OFFSET($DS$3,0,0,'Données projet'!$E$14+1,1))-AVERAGE(OFFSET($H$3,0,0,'Données projet'!$E$14+1,1))</f>
        <v>364.34528546733799</v>
      </c>
      <c r="DU157" s="59">
        <f t="shared" si="152"/>
        <v>346.5839763411152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16.421106360498719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16.421106360498719</v>
      </c>
      <c r="EE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213.98519999999999</v>
      </c>
      <c r="EL157" s="13">
        <f t="shared" si="179"/>
        <v>52.805497044008654</v>
      </c>
      <c r="EM157" s="20">
        <f t="shared" si="180"/>
        <v>464.66046401831505</v>
      </c>
      <c r="EN157" s="59">
        <f t="shared" si="128"/>
        <v>756.26020955277659</v>
      </c>
      <c r="EO157" s="59">
        <f ca="1">AVERAGE(OFFSET($EN$3,0,0,'Données projet'!$E$15+1,1))-AVERAGE(OFFSET($H$3,0,0,'Données projet'!$E$15+1,1))</f>
        <v>310.38232870602445</v>
      </c>
      <c r="EP157" s="59">
        <f t="shared" si="154"/>
        <v>303.45934457265537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10.353498506141202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10.353498506141202</v>
      </c>
      <c r="EZ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245.99999999999994</v>
      </c>
      <c r="FF157" s="17">
        <f>FE157*VLOOKUP('Données projet'!$B$16,Paramètres!$A$1:$I$89,3,0)*VLOOKUP('Données projet'!$B$16,Paramètres!$A$1:$I$89,5,0)</f>
        <v>234.09359999999998</v>
      </c>
      <c r="FG157" s="13">
        <f t="shared" si="182"/>
        <v>57.166902703920208</v>
      </c>
      <c r="FH157" s="20">
        <f t="shared" si="183"/>
        <v>507.27870887599425</v>
      </c>
      <c r="FI157" s="59">
        <f t="shared" si="131"/>
        <v>798.87845441045579</v>
      </c>
      <c r="FJ157" s="59">
        <f ca="1">AVERAGE(OFFSET($FI$3,0,0,'Données projet'!$E$16+1,1))-AVERAGE(OFFSET($H$3,0,0,'Données projet'!$E$16+1,1))</f>
        <v>457.706832425622</v>
      </c>
      <c r="FK157" s="59">
        <f t="shared" si="156"/>
        <v>474.61768219844873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36.019771467156197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36.019771467156197</v>
      </c>
      <c r="FU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319</v>
      </c>
      <c r="GA157" s="17">
        <f>FZ157*VLOOKUP('Données projet'!$B$17,Paramètres!$A$1:$I$89,3,0)*VLOOKUP('Données projet'!$B$17,Paramètres!$A$1:$I$89,5,0)</f>
        <v>308.53680000000003</v>
      </c>
      <c r="GB157" s="13">
        <f t="shared" si="185"/>
        <v>72.963171684496103</v>
      </c>
      <c r="GC157" s="20">
        <f t="shared" si="186"/>
        <v>664.4457840171641</v>
      </c>
      <c r="GD157" s="59">
        <f t="shared" si="134"/>
        <v>956.04552955162558</v>
      </c>
      <c r="GE157" s="59">
        <f ca="1">AVERAGE(OFFSET($GD$3,0,0,'Données projet'!$E$17+1,1))-AVERAGE(OFFSET($H$3,0,0,'Données projet'!$E$17+1,1))</f>
        <v>428.11167311086814</v>
      </c>
      <c r="GF157" s="59">
        <f t="shared" si="158"/>
        <v>415.69449942923609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12.111639761901042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12.111639761901042</v>
      </c>
      <c r="GP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1.1368683772161603E-13</v>
      </c>
      <c r="GV157" s="17">
        <f>GU157*VLOOKUP('Données projet'!$B$18,Paramètres!$A$1:$I$89,3,0)*VLOOKUP('Données projet'!$B$18,Paramètres!$A$1:$I$89,5,0)</f>
        <v>6.5087988332379613E-14</v>
      </c>
      <c r="GW157" s="13">
        <f t="shared" si="188"/>
        <v>1.0279249680474958E-12</v>
      </c>
      <c r="GX157" s="20">
        <f t="shared" si="189"/>
        <v>1.9036642323616162E-12</v>
      </c>
      <c r="GY157" s="59">
        <f t="shared" si="137"/>
        <v>291.59974553446341</v>
      </c>
      <c r="GZ157" s="59">
        <f ca="1">AVERAGE(OFFSET($GY$3,0,0,'Données projet'!$E$18+1,1))-AVERAGE(OFFSET($H$3,0,0,'Données projet'!$E$18+1,1))</f>
        <v>249.88816678272056</v>
      </c>
      <c r="HA157" s="59">
        <f t="shared" si="160"/>
        <v>432.10802787437319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7.1259748190152319</v>
      </c>
      <c r="HH157" s="21">
        <f>EXP(-LN(2)/25)*HH156+(1-EXP(-LN(2)/25))/(LN(2)/25)*Calculateur!HC157*Calculateur!HE157*VLOOKUP('Données projet'!$B$18,Paramètres!$A$1:$I$89,3,0)*0.475*44/12</f>
        <v>0.69121782605649562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7.817192645071728</v>
      </c>
    </row>
    <row r="158" spans="1:218" x14ac:dyDescent="0.3">
      <c r="A158" s="10">
        <f t="shared" si="161"/>
        <v>155</v>
      </c>
      <c r="B158" s="71">
        <f>'Scénario référence'!$B$16*5+'Scénario référence'!$B$17*0+'Scénario référence'!$B$18*5</f>
        <v>1.4000000000000001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5.1333333333333337</v>
      </c>
      <c r="H158" s="65">
        <f t="shared" si="110"/>
        <v>236.13333333333335</v>
      </c>
      <c r="I158" s="6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319</v>
      </c>
      <c r="O158" s="13">
        <f>N158*VLOOKUP('Données projet'!$B$9,Paramètres!$A$1:$I$89,3,0)*VLOOKUP('Données projet'!$B$9,Paramètres!$A$1:$I$89,5,0)</f>
        <v>253.79640000000001</v>
      </c>
      <c r="P158" s="13">
        <f t="shared" si="141"/>
        <v>61.39816832228076</v>
      </c>
      <c r="Q158" s="20">
        <f t="shared" si="162"/>
        <v>548.96387316130563</v>
      </c>
      <c r="R158" s="59">
        <f t="shared" si="109"/>
        <v>840.59369256835589</v>
      </c>
      <c r="S158" s="59">
        <f ca="1">AVERAGE(OFFSET($R$3,0,0,'Données projet'!$E$9+1,1))-AVERAGE(OFFSET($H$3,0,0,'Données projet'!$E$9+1,1))</f>
        <v>360.06385535620069</v>
      </c>
      <c r="T158" s="59">
        <f t="shared" si="142"/>
        <v>350.82516032456408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12.038932755529343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12.038932755529343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277.77359999999993</v>
      </c>
      <c r="AK158" s="13">
        <f t="shared" si="164"/>
        <v>66.496288176842356</v>
      </c>
      <c r="AL158" s="20">
        <f t="shared" si="165"/>
        <v>599.60338857466706</v>
      </c>
      <c r="AM158" s="59">
        <f t="shared" si="113"/>
        <v>891.23320798171744</v>
      </c>
      <c r="AN158" s="59">
        <f ca="1">AVERAGE(OFFSET($AM$3,0,0,'Données projet'!$E$10+1,1))-AVERAGE(OFFSET($H$3,0,0,'Données projet'!$E$10+1,1))</f>
        <v>448.65237942538027</v>
      </c>
      <c r="AO158" s="59">
        <f t="shared" si="144"/>
        <v>283.56749129825107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45.330250579854017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45.330250579854017</v>
      </c>
      <c r="AY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403.99999999999989</v>
      </c>
      <c r="BE158" s="13">
        <f>BD158*VLOOKUP('Données projet'!$B$11,Paramètres!$A$1:$I$89,3,0)*VLOOKUP('Données projet'!$B$11,Paramètres!$A$1:$I$89,5,0)</f>
        <v>346.63199999999995</v>
      </c>
      <c r="BF158" s="13">
        <f t="shared" si="167"/>
        <v>80.868615263336864</v>
      </c>
      <c r="BG158" s="20">
        <f t="shared" si="168"/>
        <v>744.56357158364483</v>
      </c>
      <c r="BH158" s="59">
        <f t="shared" si="116"/>
        <v>1036.1933909906952</v>
      </c>
      <c r="BI158" s="59">
        <f ca="1">AVERAGE(OFFSET($BH$3,0,0,'Données projet'!$E$11+1,1))-AVERAGE(OFFSET($H$3,0,0,'Données projet'!$E$11+1,1))</f>
        <v>456.76871853389395</v>
      </c>
      <c r="BJ158" s="59">
        <f t="shared" si="146"/>
        <v>262.12425810289176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49.977857261876274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49.977857261876274</v>
      </c>
      <c r="BT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255.00000000000006</v>
      </c>
      <c r="BZ158" s="13">
        <f>BY158*VLOOKUP('Données projet'!$B$12,Paramètres!$A$1:$I$89,3,0)*VLOOKUP('Données projet'!$B$12,Paramètres!$A$1:$I$89,5,0)</f>
        <v>186.96600000000004</v>
      </c>
      <c r="CA158" s="13">
        <f t="shared" si="170"/>
        <v>46.868551400324648</v>
      </c>
      <c r="CB158" s="20">
        <f t="shared" si="171"/>
        <v>407.26184368889881</v>
      </c>
      <c r="CC158" s="59">
        <f t="shared" si="119"/>
        <v>698.89166309594907</v>
      </c>
      <c r="CD158" s="59">
        <f ca="1">AVERAGE(OFFSET($CC$3,0,0,'Données projet'!$E$12+1,1))-AVERAGE(OFFSET($H$3,0,0,'Données projet'!$E$12+1,1))</f>
        <v>242.65851607945316</v>
      </c>
      <c r="CE158" s="59">
        <f t="shared" si="148"/>
        <v>218.9349999985487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249.0000000000002</v>
      </c>
      <c r="CU158" s="17">
        <f>CT158*VLOOKUP('Données projet'!$B$13,Paramètres!$A$1:$I$89,3,0)*VLOOKUP('Données projet'!$B$13,Paramètres!$A$1:$I$89,5,0)</f>
        <v>217.52640000000019</v>
      </c>
      <c r="CV158" s="13">
        <f t="shared" si="173"/>
        <v>53.576907690651304</v>
      </c>
      <c r="CW158" s="20">
        <f t="shared" si="174"/>
        <v>472.17159422788467</v>
      </c>
      <c r="CX158" s="59">
        <f t="shared" si="122"/>
        <v>763.80141363493499</v>
      </c>
      <c r="CY158" s="59">
        <f ca="1">AVERAGE(OFFSET($CX$3,0,0,'Données projet'!$E$13+1,1))-AVERAGE(OFFSET($H$3,0,0,'Données projet'!$E$13+1,1))</f>
        <v>326.9460696675867</v>
      </c>
      <c r="CZ158" s="59">
        <f t="shared" si="150"/>
        <v>393.4020374592568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11.600175459214864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11.600175459214864</v>
      </c>
      <c r="DJ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349.00000000000017</v>
      </c>
      <c r="DP158" s="17">
        <f>DO158*VLOOKUP('Données projet'!$B$14,Paramètres!$A$1:$I$89,3,0)*VLOOKUP('Données projet'!$B$14,Paramètres!$A$1:$I$89,5,0)</f>
        <v>272.22000000000014</v>
      </c>
      <c r="DQ158" s="13">
        <f t="shared" si="176"/>
        <v>65.320184547527205</v>
      </c>
      <c r="DR158" s="20">
        <f t="shared" si="177"/>
        <v>587.88248808694345</v>
      </c>
      <c r="DS158" s="59">
        <f t="shared" si="125"/>
        <v>879.51230749399383</v>
      </c>
      <c r="DT158" s="59">
        <f ca="1">AVERAGE(OFFSET($DS$3,0,0,'Données projet'!$E$14+1,1))-AVERAGE(OFFSET($H$3,0,0,'Données projet'!$E$14+1,1))</f>
        <v>364.34528546733799</v>
      </c>
      <c r="DU158" s="59">
        <f t="shared" si="152"/>
        <v>346.5839763411152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16.099098480655233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16.099098480655233</v>
      </c>
      <c r="EE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213.98519999999999</v>
      </c>
      <c r="EL158" s="13">
        <f t="shared" si="179"/>
        <v>52.805497044008654</v>
      </c>
      <c r="EM158" s="20">
        <f t="shared" si="180"/>
        <v>464.66046401831505</v>
      </c>
      <c r="EN158" s="59">
        <f t="shared" si="128"/>
        <v>756.29028342536537</v>
      </c>
      <c r="EO158" s="59">
        <f ca="1">AVERAGE(OFFSET($EN$3,0,0,'Données projet'!$E$15+1,1))-AVERAGE(OFFSET($H$3,0,0,'Données projet'!$E$15+1,1))</f>
        <v>310.38232870602445</v>
      </c>
      <c r="EP158" s="59">
        <f t="shared" si="154"/>
        <v>303.45934457265537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10.150472715446305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10.150472715446305</v>
      </c>
      <c r="EZ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245.99999999999994</v>
      </c>
      <c r="FF158" s="17">
        <f>FE158*VLOOKUP('Données projet'!$B$16,Paramètres!$A$1:$I$89,3,0)*VLOOKUP('Données projet'!$B$16,Paramètres!$A$1:$I$89,5,0)</f>
        <v>234.09359999999998</v>
      </c>
      <c r="FG158" s="13">
        <f t="shared" si="182"/>
        <v>57.166902703920208</v>
      </c>
      <c r="FH158" s="20">
        <f t="shared" si="183"/>
        <v>507.27870887599425</v>
      </c>
      <c r="FI158" s="59">
        <f t="shared" si="131"/>
        <v>798.90852828304457</v>
      </c>
      <c r="FJ158" s="59">
        <f ca="1">AVERAGE(OFFSET($FI$3,0,0,'Données projet'!$E$16+1,1))-AVERAGE(OFFSET($H$3,0,0,'Données projet'!$E$16+1,1))</f>
        <v>457.706832425622</v>
      </c>
      <c r="FK158" s="59">
        <f t="shared" si="156"/>
        <v>474.61768219844873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35.31344571857651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35.31344571857651</v>
      </c>
      <c r="FU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319</v>
      </c>
      <c r="GA158" s="17">
        <f>FZ158*VLOOKUP('Données projet'!$B$17,Paramètres!$A$1:$I$89,3,0)*VLOOKUP('Données projet'!$B$17,Paramètres!$A$1:$I$89,5,0)</f>
        <v>308.53680000000003</v>
      </c>
      <c r="GB158" s="13">
        <f t="shared" si="185"/>
        <v>72.963171684496103</v>
      </c>
      <c r="GC158" s="20">
        <f t="shared" si="186"/>
        <v>664.4457840171641</v>
      </c>
      <c r="GD158" s="59">
        <f t="shared" si="134"/>
        <v>956.07560342421448</v>
      </c>
      <c r="GE158" s="59">
        <f ca="1">AVERAGE(OFFSET($GD$3,0,0,'Données projet'!$E$17+1,1))-AVERAGE(OFFSET($H$3,0,0,'Données projet'!$E$17+1,1))</f>
        <v>428.11167311086814</v>
      </c>
      <c r="GF158" s="59">
        <f t="shared" si="158"/>
        <v>415.69449942923609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11.874137893540976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11.874137893540976</v>
      </c>
      <c r="GP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1.1368683772161603E-13</v>
      </c>
      <c r="GV158" s="17">
        <f>GU158*VLOOKUP('Données projet'!$B$18,Paramètres!$A$1:$I$89,3,0)*VLOOKUP('Données projet'!$B$18,Paramètres!$A$1:$I$89,5,0)</f>
        <v>6.5087988332379613E-14</v>
      </c>
      <c r="GW158" s="13">
        <f t="shared" si="188"/>
        <v>1.0279249680474958E-12</v>
      </c>
      <c r="GX158" s="20">
        <f t="shared" si="189"/>
        <v>1.9036642323616162E-12</v>
      </c>
      <c r="GY158" s="59">
        <f t="shared" si="137"/>
        <v>291.6298194070522</v>
      </c>
      <c r="GZ158" s="59">
        <f ca="1">AVERAGE(OFFSET($GY$3,0,0,'Données projet'!$E$18+1,1))-AVERAGE(OFFSET($H$3,0,0,'Données projet'!$E$18+1,1))</f>
        <v>249.88816678272056</v>
      </c>
      <c r="HA158" s="59">
        <f t="shared" si="160"/>
        <v>432.10802787437319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6.9862387992298096</v>
      </c>
      <c r="HH158" s="21">
        <f>EXP(-LN(2)/25)*HH157+(1-EXP(-LN(2)/25))/(LN(2)/25)*Calculateur!HC158*Calculateur!HE158*VLOOKUP('Données projet'!$B$18,Paramètres!$A$1:$I$89,3,0)*0.475*44/12</f>
        <v>0.67231643825341503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7.6585552374832249</v>
      </c>
    </row>
    <row r="159" spans="1:218" x14ac:dyDescent="0.3">
      <c r="A159" s="10">
        <f t="shared" si="161"/>
        <v>156</v>
      </c>
      <c r="B159" s="71">
        <f>'Scénario référence'!$B$16*5+'Scénario référence'!$B$17*0+'Scénario référence'!$B$18*5</f>
        <v>1.4000000000000001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5.1333333333333337</v>
      </c>
      <c r="H159" s="65">
        <f t="shared" si="110"/>
        <v>236.13333333333335</v>
      </c>
      <c r="I159" s="6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319</v>
      </c>
      <c r="O159" s="13">
        <f>N159*VLOOKUP('Données projet'!$B$9,Paramètres!$A$1:$I$89,3,0)*VLOOKUP('Données projet'!$B$9,Paramètres!$A$1:$I$89,5,0)</f>
        <v>253.79640000000001</v>
      </c>
      <c r="P159" s="13">
        <f t="shared" si="141"/>
        <v>61.39816832228076</v>
      </c>
      <c r="Q159" s="20">
        <f t="shared" si="162"/>
        <v>548.96387316130563</v>
      </c>
      <c r="R159" s="59">
        <f t="shared" si="109"/>
        <v>840.62324472649038</v>
      </c>
      <c r="S159" s="59">
        <f ca="1">AVERAGE(OFFSET($R$3,0,0,'Données projet'!$E$9+1,1))-AVERAGE(OFFSET($H$3,0,0,'Données projet'!$E$9+1,1))</f>
        <v>360.06385535620069</v>
      </c>
      <c r="T159" s="59">
        <f t="shared" si="142"/>
        <v>350.82516032456408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11.802856627217331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11.802856627217331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277.77359999999993</v>
      </c>
      <c r="AK159" s="13">
        <f t="shared" si="164"/>
        <v>66.496288176842356</v>
      </c>
      <c r="AL159" s="20">
        <f t="shared" si="165"/>
        <v>599.60338857466706</v>
      </c>
      <c r="AM159" s="59">
        <f t="shared" si="113"/>
        <v>891.26276013985171</v>
      </c>
      <c r="AN159" s="59">
        <f ca="1">AVERAGE(OFFSET($AM$3,0,0,'Données projet'!$E$10+1,1))-AVERAGE(OFFSET($H$3,0,0,'Données projet'!$E$10+1,1))</f>
        <v>448.65237942538027</v>
      </c>
      <c r="AO159" s="59">
        <f t="shared" si="144"/>
        <v>283.56749129825107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44.441352014705849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44.441352014705849</v>
      </c>
      <c r="AY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403.99999999999989</v>
      </c>
      <c r="BE159" s="13">
        <f>BD159*VLOOKUP('Données projet'!$B$11,Paramètres!$A$1:$I$89,3,0)*VLOOKUP('Données projet'!$B$11,Paramètres!$A$1:$I$89,5,0)</f>
        <v>346.63199999999995</v>
      </c>
      <c r="BF159" s="13">
        <f t="shared" si="167"/>
        <v>80.868615263336864</v>
      </c>
      <c r="BG159" s="20">
        <f t="shared" si="168"/>
        <v>744.56357158364483</v>
      </c>
      <c r="BH159" s="59">
        <f t="shared" si="116"/>
        <v>1036.2229431488295</v>
      </c>
      <c r="BI159" s="59">
        <f ca="1">AVERAGE(OFFSET($BH$3,0,0,'Données projet'!$E$11+1,1))-AVERAGE(OFFSET($H$3,0,0,'Données projet'!$E$11+1,1))</f>
        <v>456.76871853389395</v>
      </c>
      <c r="BJ159" s="59">
        <f t="shared" si="146"/>
        <v>262.12425810289176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48.997821964453813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48.997821964453813</v>
      </c>
      <c r="BT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255.00000000000006</v>
      </c>
      <c r="BZ159" s="13">
        <f>BY159*VLOOKUP('Données projet'!$B$12,Paramètres!$A$1:$I$89,3,0)*VLOOKUP('Données projet'!$B$12,Paramètres!$A$1:$I$89,5,0)</f>
        <v>186.96600000000004</v>
      </c>
      <c r="CA159" s="13">
        <f t="shared" si="170"/>
        <v>46.868551400324648</v>
      </c>
      <c r="CB159" s="20">
        <f t="shared" si="171"/>
        <v>407.26184368889881</v>
      </c>
      <c r="CC159" s="59">
        <f t="shared" si="119"/>
        <v>698.92121525408356</v>
      </c>
      <c r="CD159" s="59">
        <f ca="1">AVERAGE(OFFSET($CC$3,0,0,'Données projet'!$E$12+1,1))-AVERAGE(OFFSET($H$3,0,0,'Données projet'!$E$12+1,1))</f>
        <v>242.65851607945316</v>
      </c>
      <c r="CE159" s="59">
        <f t="shared" si="148"/>
        <v>218.9349999985487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249.0000000000002</v>
      </c>
      <c r="CU159" s="17">
        <f>CT159*VLOOKUP('Données projet'!$B$13,Paramètres!$A$1:$I$89,3,0)*VLOOKUP('Données projet'!$B$13,Paramètres!$A$1:$I$89,5,0)</f>
        <v>217.52640000000019</v>
      </c>
      <c r="CV159" s="13">
        <f t="shared" si="173"/>
        <v>53.576907690651304</v>
      </c>
      <c r="CW159" s="20">
        <f t="shared" si="174"/>
        <v>472.17159422788467</v>
      </c>
      <c r="CX159" s="59">
        <f t="shared" si="122"/>
        <v>763.83096579306937</v>
      </c>
      <c r="CY159" s="59">
        <f ca="1">AVERAGE(OFFSET($CX$3,0,0,'Données projet'!$E$13+1,1))-AVERAGE(OFFSET($H$3,0,0,'Données projet'!$E$13+1,1))</f>
        <v>326.9460696675867</v>
      </c>
      <c r="CZ159" s="59">
        <f t="shared" si="150"/>
        <v>393.4020374592568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11.372703093868052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11.372703093868052</v>
      </c>
      <c r="DJ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349.00000000000017</v>
      </c>
      <c r="DP159" s="17">
        <f>DO159*VLOOKUP('Données projet'!$B$14,Paramètres!$A$1:$I$89,3,0)*VLOOKUP('Données projet'!$B$14,Paramètres!$A$1:$I$89,5,0)</f>
        <v>272.22000000000014</v>
      </c>
      <c r="DQ159" s="13">
        <f t="shared" si="176"/>
        <v>65.320184547527205</v>
      </c>
      <c r="DR159" s="20">
        <f t="shared" si="177"/>
        <v>587.88248808694345</v>
      </c>
      <c r="DS159" s="59">
        <f t="shared" si="125"/>
        <v>879.5418596521281</v>
      </c>
      <c r="DT159" s="59">
        <f ca="1">AVERAGE(OFFSET($DS$3,0,0,'Données projet'!$E$14+1,1))-AVERAGE(OFFSET($H$3,0,0,'Données projet'!$E$14+1,1))</f>
        <v>364.34528546733799</v>
      </c>
      <c r="DU159" s="59">
        <f t="shared" si="152"/>
        <v>346.5839763411152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15.783404978930063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15.783404978930063</v>
      </c>
      <c r="EE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213.98519999999999</v>
      </c>
      <c r="EL159" s="13">
        <f t="shared" si="179"/>
        <v>52.805497044008654</v>
      </c>
      <c r="EM159" s="20">
        <f t="shared" si="180"/>
        <v>464.66046401831505</v>
      </c>
      <c r="EN159" s="59">
        <f t="shared" si="128"/>
        <v>756.31983558349975</v>
      </c>
      <c r="EO159" s="59">
        <f ca="1">AVERAGE(OFFSET($EN$3,0,0,'Données projet'!$E$15+1,1))-AVERAGE(OFFSET($H$3,0,0,'Données projet'!$E$15+1,1))</f>
        <v>310.38232870602445</v>
      </c>
      <c r="EP159" s="59">
        <f t="shared" si="154"/>
        <v>303.45934457265537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9.9514281366734316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9.9514281366734316</v>
      </c>
      <c r="EZ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245.99999999999994</v>
      </c>
      <c r="FF159" s="17">
        <f>FE159*VLOOKUP('Données projet'!$B$16,Paramètres!$A$1:$I$89,3,0)*VLOOKUP('Données projet'!$B$16,Paramètres!$A$1:$I$89,5,0)</f>
        <v>234.09359999999998</v>
      </c>
      <c r="FG159" s="13">
        <f t="shared" si="182"/>
        <v>57.166902703920208</v>
      </c>
      <c r="FH159" s="20">
        <f t="shared" si="183"/>
        <v>507.27870887599425</v>
      </c>
      <c r="FI159" s="59">
        <f t="shared" si="131"/>
        <v>798.93808044117895</v>
      </c>
      <c r="FJ159" s="59">
        <f ca="1">AVERAGE(OFFSET($FI$3,0,0,'Données projet'!$E$16+1,1))-AVERAGE(OFFSET($H$3,0,0,'Données projet'!$E$16+1,1))</f>
        <v>457.706832425622</v>
      </c>
      <c r="FK159" s="59">
        <f t="shared" si="156"/>
        <v>474.61768219844873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34.620970587110307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34.620970587110307</v>
      </c>
      <c r="FU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319</v>
      </c>
      <c r="GA159" s="17">
        <f>FZ159*VLOOKUP('Données projet'!$B$17,Paramètres!$A$1:$I$89,3,0)*VLOOKUP('Données projet'!$B$17,Paramètres!$A$1:$I$89,5,0)</f>
        <v>308.53680000000003</v>
      </c>
      <c r="GB159" s="13">
        <f t="shared" si="185"/>
        <v>72.963171684496103</v>
      </c>
      <c r="GC159" s="20">
        <f t="shared" si="186"/>
        <v>664.4457840171641</v>
      </c>
      <c r="GD159" s="59">
        <f t="shared" si="134"/>
        <v>956.10515558234874</v>
      </c>
      <c r="GE159" s="59">
        <f ca="1">AVERAGE(OFFSET($GD$3,0,0,'Données projet'!$E$17+1,1))-AVERAGE(OFFSET($H$3,0,0,'Données projet'!$E$17+1,1))</f>
        <v>428.11167311086814</v>
      </c>
      <c r="GF159" s="59">
        <f t="shared" si="158"/>
        <v>415.69449942923609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11.641293291957615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11.641293291957615</v>
      </c>
      <c r="GP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1.1368683772161603E-13</v>
      </c>
      <c r="GV159" s="17">
        <f>GU159*VLOOKUP('Données projet'!$B$18,Paramètres!$A$1:$I$89,3,0)*VLOOKUP('Données projet'!$B$18,Paramètres!$A$1:$I$89,5,0)</f>
        <v>6.5087988332379613E-14</v>
      </c>
      <c r="GW159" s="13">
        <f t="shared" si="188"/>
        <v>1.0279249680474958E-12</v>
      </c>
      <c r="GX159" s="20">
        <f t="shared" si="189"/>
        <v>1.9036642323616162E-12</v>
      </c>
      <c r="GY159" s="59">
        <f t="shared" si="137"/>
        <v>291.65937156518658</v>
      </c>
      <c r="GZ159" s="59">
        <f ca="1">AVERAGE(OFFSET($GY$3,0,0,'Données projet'!$E$18+1,1))-AVERAGE(OFFSET($H$3,0,0,'Données projet'!$E$18+1,1))</f>
        <v>249.88816678272056</v>
      </c>
      <c r="HA159" s="59">
        <f t="shared" si="160"/>
        <v>432.10802787437319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6.8492429175618232</v>
      </c>
      <c r="HH159" s="21">
        <f>EXP(-LN(2)/25)*HH158+(1-EXP(-LN(2)/25))/(LN(2)/25)*Calculateur!HC159*Calculateur!HE159*VLOOKUP('Données projet'!$B$18,Paramètres!$A$1:$I$89,3,0)*0.475*44/12</f>
        <v>0.65393190989379046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7.5031748274556138</v>
      </c>
    </row>
    <row r="160" spans="1:218" x14ac:dyDescent="0.3">
      <c r="A160" s="10">
        <f t="shared" si="161"/>
        <v>157</v>
      </c>
      <c r="B160" s="71">
        <f>'Scénario référence'!$B$16*5+'Scénario référence'!$B$17*0+'Scénario référence'!$B$18*5</f>
        <v>1.4000000000000001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5.1333333333333337</v>
      </c>
      <c r="H160" s="65">
        <f t="shared" si="110"/>
        <v>236.13333333333335</v>
      </c>
      <c r="I160" s="6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319</v>
      </c>
      <c r="O160" s="13">
        <f>N160*VLOOKUP('Données projet'!$B$9,Paramètres!$A$1:$I$89,3,0)*VLOOKUP('Données projet'!$B$9,Paramètres!$A$1:$I$89,5,0)</f>
        <v>253.79640000000001</v>
      </c>
      <c r="P160" s="13">
        <f t="shared" si="141"/>
        <v>61.39816832228076</v>
      </c>
      <c r="Q160" s="20">
        <f t="shared" si="162"/>
        <v>548.96387316130563</v>
      </c>
      <c r="R160" s="59">
        <f t="shared" si="109"/>
        <v>840.65228422074983</v>
      </c>
      <c r="S160" s="59">
        <f ca="1">AVERAGE(OFFSET($R$3,0,0,'Données projet'!$E$9+1,1))-AVERAGE(OFFSET($H$3,0,0,'Données projet'!$E$9+1,1))</f>
        <v>360.06385535620069</v>
      </c>
      <c r="T160" s="59">
        <f t="shared" si="142"/>
        <v>350.82516032456408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11.571409807789296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11.571409807789296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277.77359999999993</v>
      </c>
      <c r="AK160" s="13">
        <f t="shared" si="164"/>
        <v>66.496288176842356</v>
      </c>
      <c r="AL160" s="20">
        <f t="shared" si="165"/>
        <v>599.60338857466706</v>
      </c>
      <c r="AM160" s="59">
        <f t="shared" si="113"/>
        <v>891.29179963411138</v>
      </c>
      <c r="AN160" s="59">
        <f ca="1">AVERAGE(OFFSET($AM$3,0,0,'Données projet'!$E$10+1,1))-AVERAGE(OFFSET($H$3,0,0,'Données projet'!$E$10+1,1))</f>
        <v>448.65237942538027</v>
      </c>
      <c r="AO160" s="59">
        <f t="shared" si="144"/>
        <v>283.56749129825107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43.569884208245647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43.569884208245647</v>
      </c>
      <c r="AY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403.99999999999989</v>
      </c>
      <c r="BE160" s="13">
        <f>BD160*VLOOKUP('Données projet'!$B$11,Paramètres!$A$1:$I$89,3,0)*VLOOKUP('Données projet'!$B$11,Paramètres!$A$1:$I$89,5,0)</f>
        <v>346.63199999999995</v>
      </c>
      <c r="BF160" s="13">
        <f t="shared" si="167"/>
        <v>80.868615263336864</v>
      </c>
      <c r="BG160" s="20">
        <f t="shared" si="168"/>
        <v>744.56357158364483</v>
      </c>
      <c r="BH160" s="59">
        <f t="shared" si="116"/>
        <v>1036.2519826430891</v>
      </c>
      <c r="BI160" s="59">
        <f ca="1">AVERAGE(OFFSET($BH$3,0,0,'Données projet'!$E$11+1,1))-AVERAGE(OFFSET($H$3,0,0,'Données projet'!$E$11+1,1))</f>
        <v>456.76871853389395</v>
      </c>
      <c r="BJ160" s="59">
        <f t="shared" si="146"/>
        <v>262.12425810289176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48.037004561451305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48.037004561451305</v>
      </c>
      <c r="BT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255.00000000000006</v>
      </c>
      <c r="BZ160" s="13">
        <f>BY160*VLOOKUP('Données projet'!$B$12,Paramètres!$A$1:$I$89,3,0)*VLOOKUP('Données projet'!$B$12,Paramètres!$A$1:$I$89,5,0)</f>
        <v>186.96600000000004</v>
      </c>
      <c r="CA160" s="13">
        <f t="shared" si="170"/>
        <v>46.868551400324648</v>
      </c>
      <c r="CB160" s="20">
        <f t="shared" si="171"/>
        <v>407.26184368889881</v>
      </c>
      <c r="CC160" s="59">
        <f t="shared" si="119"/>
        <v>698.95025474834301</v>
      </c>
      <c r="CD160" s="59">
        <f ca="1">AVERAGE(OFFSET($CC$3,0,0,'Données projet'!$E$12+1,1))-AVERAGE(OFFSET($H$3,0,0,'Données projet'!$E$12+1,1))</f>
        <v>242.65851607945316</v>
      </c>
      <c r="CE160" s="59">
        <f t="shared" si="148"/>
        <v>218.9349999985487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249.0000000000002</v>
      </c>
      <c r="CU160" s="17">
        <f>CT160*VLOOKUP('Données projet'!$B$13,Paramètres!$A$1:$I$89,3,0)*VLOOKUP('Données projet'!$B$13,Paramètres!$A$1:$I$89,5,0)</f>
        <v>217.52640000000019</v>
      </c>
      <c r="CV160" s="13">
        <f t="shared" si="173"/>
        <v>53.576907690651304</v>
      </c>
      <c r="CW160" s="20">
        <f t="shared" si="174"/>
        <v>472.17159422788467</v>
      </c>
      <c r="CX160" s="59">
        <f t="shared" si="122"/>
        <v>763.86000528732893</v>
      </c>
      <c r="CY160" s="59">
        <f ca="1">AVERAGE(OFFSET($CX$3,0,0,'Données projet'!$E$13+1,1))-AVERAGE(OFFSET($H$3,0,0,'Données projet'!$E$13+1,1))</f>
        <v>326.9460696675867</v>
      </c>
      <c r="CZ160" s="59">
        <f t="shared" si="150"/>
        <v>393.4020374592568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11.149691322861248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11.149691322861248</v>
      </c>
      <c r="DJ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349.00000000000017</v>
      </c>
      <c r="DP160" s="17">
        <f>DO160*VLOOKUP('Données projet'!$B$14,Paramètres!$A$1:$I$89,3,0)*VLOOKUP('Données projet'!$B$14,Paramètres!$A$1:$I$89,5,0)</f>
        <v>272.22000000000014</v>
      </c>
      <c r="DQ160" s="13">
        <f t="shared" si="176"/>
        <v>65.320184547527205</v>
      </c>
      <c r="DR160" s="20">
        <f t="shared" si="177"/>
        <v>587.88248808694345</v>
      </c>
      <c r="DS160" s="59">
        <f t="shared" si="125"/>
        <v>879.57089914638777</v>
      </c>
      <c r="DT160" s="59">
        <f ca="1">AVERAGE(OFFSET($DS$3,0,0,'Données projet'!$E$14+1,1))-AVERAGE(OFFSET($H$3,0,0,'Données projet'!$E$14+1,1))</f>
        <v>364.34528546733799</v>
      </c>
      <c r="DU160" s="59">
        <f t="shared" si="152"/>
        <v>346.5839763411152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15.473902034219702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15.473902034219702</v>
      </c>
      <c r="EE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213.98519999999999</v>
      </c>
      <c r="EL160" s="13">
        <f t="shared" si="179"/>
        <v>52.805497044008654</v>
      </c>
      <c r="EM160" s="20">
        <f t="shared" si="180"/>
        <v>464.66046401831505</v>
      </c>
      <c r="EN160" s="59">
        <f t="shared" si="128"/>
        <v>756.34887507775932</v>
      </c>
      <c r="EO160" s="59">
        <f ca="1">AVERAGE(OFFSET($EN$3,0,0,'Données projet'!$E$15+1,1))-AVERAGE(OFFSET($H$3,0,0,'Données projet'!$E$15+1,1))</f>
        <v>310.38232870602445</v>
      </c>
      <c r="EP160" s="59">
        <f t="shared" si="154"/>
        <v>303.45934457265537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9.756286700685088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9.756286700685088</v>
      </c>
      <c r="EZ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245.99999999999994</v>
      </c>
      <c r="FF160" s="17">
        <f>FE160*VLOOKUP('Données projet'!$B$16,Paramètres!$A$1:$I$89,3,0)*VLOOKUP('Données projet'!$B$16,Paramètres!$A$1:$I$89,5,0)</f>
        <v>234.09359999999998</v>
      </c>
      <c r="FG160" s="13">
        <f t="shared" si="182"/>
        <v>57.166902703920208</v>
      </c>
      <c r="FH160" s="20">
        <f t="shared" si="183"/>
        <v>507.27870887599425</v>
      </c>
      <c r="FI160" s="59">
        <f t="shared" si="131"/>
        <v>798.96711993543852</v>
      </c>
      <c r="FJ160" s="59">
        <f ca="1">AVERAGE(OFFSET($FI$3,0,0,'Données projet'!$E$16+1,1))-AVERAGE(OFFSET($H$3,0,0,'Données projet'!$E$16+1,1))</f>
        <v>457.706832425622</v>
      </c>
      <c r="FK160" s="59">
        <f t="shared" si="156"/>
        <v>474.61768219844873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33.942074470604027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33.942074470604027</v>
      </c>
      <c r="FU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319</v>
      </c>
      <c r="GA160" s="17">
        <f>FZ160*VLOOKUP('Données projet'!$B$17,Paramètres!$A$1:$I$89,3,0)*VLOOKUP('Données projet'!$B$17,Paramètres!$A$1:$I$89,5,0)</f>
        <v>308.53680000000003</v>
      </c>
      <c r="GB160" s="13">
        <f t="shared" si="185"/>
        <v>72.963171684496103</v>
      </c>
      <c r="GC160" s="20">
        <f t="shared" si="186"/>
        <v>664.4457840171641</v>
      </c>
      <c r="GD160" s="59">
        <f t="shared" si="134"/>
        <v>956.13419507660842</v>
      </c>
      <c r="GE160" s="59">
        <f ca="1">AVERAGE(OFFSET($GD$3,0,0,'Données projet'!$E$17+1,1))-AVERAGE(OFFSET($H$3,0,0,'Données projet'!$E$17+1,1))</f>
        <v>428.11167311086814</v>
      </c>
      <c r="GF160" s="59">
        <f t="shared" si="158"/>
        <v>415.69449942923609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11.413014630990119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11.413014630990119</v>
      </c>
      <c r="GP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1.1368683772161603E-13</v>
      </c>
      <c r="GV160" s="17">
        <f>GU160*VLOOKUP('Données projet'!$B$18,Paramètres!$A$1:$I$89,3,0)*VLOOKUP('Données projet'!$B$18,Paramètres!$A$1:$I$89,5,0)</f>
        <v>6.5087988332379613E-14</v>
      </c>
      <c r="GW160" s="13">
        <f t="shared" si="188"/>
        <v>1.0279249680474958E-12</v>
      </c>
      <c r="GX160" s="20">
        <f t="shared" si="189"/>
        <v>1.9036642323616162E-12</v>
      </c>
      <c r="GY160" s="59">
        <f t="shared" si="137"/>
        <v>291.68841105944614</v>
      </c>
      <c r="GZ160" s="59">
        <f ca="1">AVERAGE(OFFSET($GY$3,0,0,'Données projet'!$E$18+1,1))-AVERAGE(OFFSET($H$3,0,0,'Données projet'!$E$18+1,1))</f>
        <v>249.88816678272056</v>
      </c>
      <c r="HA160" s="59">
        <f t="shared" si="160"/>
        <v>432.10802787437319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6.7149334415741091</v>
      </c>
      <c r="HH160" s="21">
        <f>EXP(-LN(2)/25)*HH159+(1-EXP(-LN(2)/25))/(LN(2)/25)*Calculateur!HC160*Calculateur!HE160*VLOOKUP('Données projet'!$B$18,Paramètres!$A$1:$I$89,3,0)*0.475*44/12</f>
        <v>0.63605010742896018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7.3509835490030691</v>
      </c>
    </row>
    <row r="161" spans="1:218" x14ac:dyDescent="0.3">
      <c r="A161" s="10">
        <f t="shared" si="161"/>
        <v>158</v>
      </c>
      <c r="B161" s="71">
        <f>'Scénario référence'!$B$16*5+'Scénario référence'!$B$17*0+'Scénario référence'!$B$18*5</f>
        <v>1.4000000000000001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5.1333333333333337</v>
      </c>
      <c r="H161" s="65">
        <f t="shared" si="110"/>
        <v>236.13333333333335</v>
      </c>
      <c r="I161" s="6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319</v>
      </c>
      <c r="O161" s="13">
        <f>N161*VLOOKUP('Données projet'!$B$9,Paramètres!$A$1:$I$89,3,0)*VLOOKUP('Données projet'!$B$9,Paramètres!$A$1:$I$89,5,0)</f>
        <v>253.79640000000001</v>
      </c>
      <c r="P161" s="13">
        <f t="shared" si="141"/>
        <v>61.39816832228076</v>
      </c>
      <c r="Q161" s="20">
        <f t="shared" si="162"/>
        <v>548.96387316130563</v>
      </c>
      <c r="R161" s="59">
        <f t="shared" si="109"/>
        <v>840.68081994470663</v>
      </c>
      <c r="S161" s="59">
        <f ca="1">AVERAGE(OFFSET($R$3,0,0,'Données projet'!$E$9+1,1))-AVERAGE(OFFSET($H$3,0,0,'Données projet'!$E$9+1,1))</f>
        <v>360.06385535620069</v>
      </c>
      <c r="T161" s="59">
        <f t="shared" si="142"/>
        <v>350.82516032456408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11.344501519321625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11.344501519321625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277.77359999999993</v>
      </c>
      <c r="AK161" s="13">
        <f t="shared" si="164"/>
        <v>66.496288176842356</v>
      </c>
      <c r="AL161" s="20">
        <f t="shared" si="165"/>
        <v>599.60338857466706</v>
      </c>
      <c r="AM161" s="59">
        <f t="shared" si="113"/>
        <v>891.32033535806795</v>
      </c>
      <c r="AN161" s="59">
        <f ca="1">AVERAGE(OFFSET($AM$3,0,0,'Données projet'!$E$10+1,1))-AVERAGE(OFFSET($H$3,0,0,'Données projet'!$E$10+1,1))</f>
        <v>448.65237942538027</v>
      </c>
      <c r="AO161" s="59">
        <f t="shared" si="144"/>
        <v>283.56749129825107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42.715505353927256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42.715505353927256</v>
      </c>
      <c r="AY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403.99999999999989</v>
      </c>
      <c r="BE161" s="13">
        <f>BD161*VLOOKUP('Données projet'!$B$11,Paramètres!$A$1:$I$89,3,0)*VLOOKUP('Données projet'!$B$11,Paramètres!$A$1:$I$89,5,0)</f>
        <v>346.63199999999995</v>
      </c>
      <c r="BF161" s="13">
        <f t="shared" si="167"/>
        <v>80.868615263336864</v>
      </c>
      <c r="BG161" s="20">
        <f t="shared" si="168"/>
        <v>744.56357158364483</v>
      </c>
      <c r="BH161" s="59">
        <f t="shared" si="116"/>
        <v>1036.2805183670457</v>
      </c>
      <c r="BI161" s="59">
        <f ca="1">AVERAGE(OFFSET($BH$3,0,0,'Données projet'!$E$11+1,1))-AVERAGE(OFFSET($H$3,0,0,'Données projet'!$E$11+1,1))</f>
        <v>456.76871853389395</v>
      </c>
      <c r="BJ161" s="59">
        <f t="shared" si="146"/>
        <v>262.12425810289176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47.095028201680925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47.095028201680925</v>
      </c>
      <c r="BT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255.00000000000006</v>
      </c>
      <c r="BZ161" s="13">
        <f>BY161*VLOOKUP('Données projet'!$B$12,Paramètres!$A$1:$I$89,3,0)*VLOOKUP('Données projet'!$B$12,Paramètres!$A$1:$I$89,5,0)</f>
        <v>186.96600000000004</v>
      </c>
      <c r="CA161" s="13">
        <f t="shared" si="170"/>
        <v>46.868551400324648</v>
      </c>
      <c r="CB161" s="20">
        <f t="shared" si="171"/>
        <v>407.26184368889881</v>
      </c>
      <c r="CC161" s="59">
        <f t="shared" si="119"/>
        <v>698.97879047229981</v>
      </c>
      <c r="CD161" s="59">
        <f ca="1">AVERAGE(OFFSET($CC$3,0,0,'Données projet'!$E$12+1,1))-AVERAGE(OFFSET($H$3,0,0,'Données projet'!$E$12+1,1))</f>
        <v>242.65851607945316</v>
      </c>
      <c r="CE161" s="59">
        <f t="shared" si="148"/>
        <v>218.9349999985487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249.0000000000002</v>
      </c>
      <c r="CU161" s="17">
        <f>CT161*VLOOKUP('Données projet'!$B$13,Paramètres!$A$1:$I$89,3,0)*VLOOKUP('Données projet'!$B$13,Paramètres!$A$1:$I$89,5,0)</f>
        <v>217.52640000000019</v>
      </c>
      <c r="CV161" s="13">
        <f t="shared" si="173"/>
        <v>53.576907690651304</v>
      </c>
      <c r="CW161" s="20">
        <f t="shared" si="174"/>
        <v>472.17159422788467</v>
      </c>
      <c r="CX161" s="59">
        <f t="shared" si="122"/>
        <v>763.88854101128561</v>
      </c>
      <c r="CY161" s="59">
        <f ca="1">AVERAGE(OFFSET($CX$3,0,0,'Données projet'!$E$13+1,1))-AVERAGE(OFFSET($H$3,0,0,'Données projet'!$E$13+1,1))</f>
        <v>326.9460696675867</v>
      </c>
      <c r="CZ161" s="59">
        <f t="shared" si="150"/>
        <v>393.4020374592568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10.931052676660139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10.931052676660139</v>
      </c>
      <c r="DJ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349.00000000000017</v>
      </c>
      <c r="DP161" s="17">
        <f>DO161*VLOOKUP('Données projet'!$B$14,Paramètres!$A$1:$I$89,3,0)*VLOOKUP('Données projet'!$B$14,Paramètres!$A$1:$I$89,5,0)</f>
        <v>272.22000000000014</v>
      </c>
      <c r="DQ161" s="13">
        <f t="shared" si="176"/>
        <v>65.320184547527205</v>
      </c>
      <c r="DR161" s="20">
        <f t="shared" si="177"/>
        <v>587.88248808694345</v>
      </c>
      <c r="DS161" s="59">
        <f t="shared" si="125"/>
        <v>879.59943487034434</v>
      </c>
      <c r="DT161" s="59">
        <f ca="1">AVERAGE(OFFSET($DS$3,0,0,'Données projet'!$E$14+1,1))-AVERAGE(OFFSET($H$3,0,0,'Données projet'!$E$14+1,1))</f>
        <v>364.34528546733799</v>
      </c>
      <c r="DU161" s="59">
        <f t="shared" si="152"/>
        <v>346.5839763411152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15.170468253476955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15.170468253476955</v>
      </c>
      <c r="EE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213.98519999999999</v>
      </c>
      <c r="EL161" s="13">
        <f t="shared" si="179"/>
        <v>52.805497044008654</v>
      </c>
      <c r="EM161" s="20">
        <f t="shared" si="180"/>
        <v>464.66046401831505</v>
      </c>
      <c r="EN161" s="59">
        <f t="shared" si="128"/>
        <v>756.377410801716</v>
      </c>
      <c r="EO161" s="59">
        <f ca="1">AVERAGE(OFFSET($EN$3,0,0,'Données projet'!$E$15+1,1))-AVERAGE(OFFSET($H$3,0,0,'Données projet'!$E$15+1,1))</f>
        <v>310.38232870602445</v>
      </c>
      <c r="EP161" s="59">
        <f t="shared" si="154"/>
        <v>303.45934457265537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9.5649718692319539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9.5649718692319539</v>
      </c>
      <c r="EZ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245.99999999999994</v>
      </c>
      <c r="FF161" s="17">
        <f>FE161*VLOOKUP('Données projet'!$B$16,Paramètres!$A$1:$I$89,3,0)*VLOOKUP('Données projet'!$B$16,Paramètres!$A$1:$I$89,5,0)</f>
        <v>234.09359999999998</v>
      </c>
      <c r="FG161" s="13">
        <f t="shared" si="182"/>
        <v>57.166902703920208</v>
      </c>
      <c r="FH161" s="20">
        <f t="shared" si="183"/>
        <v>507.27870887599425</v>
      </c>
      <c r="FI161" s="59">
        <f t="shared" si="131"/>
        <v>798.9956556593952</v>
      </c>
      <c r="FJ161" s="59">
        <f ca="1">AVERAGE(OFFSET($FI$3,0,0,'Données projet'!$E$16+1,1))-AVERAGE(OFFSET($H$3,0,0,'Données projet'!$E$16+1,1))</f>
        <v>457.706832425622</v>
      </c>
      <c r="FK161" s="59">
        <f t="shared" si="156"/>
        <v>474.61768219844873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33.276491092856695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33.276491092856695</v>
      </c>
      <c r="FU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319</v>
      </c>
      <c r="GA161" s="17">
        <f>FZ161*VLOOKUP('Données projet'!$B$17,Paramètres!$A$1:$I$89,3,0)*VLOOKUP('Données projet'!$B$17,Paramètres!$A$1:$I$89,5,0)</f>
        <v>308.53680000000003</v>
      </c>
      <c r="GB161" s="13">
        <f t="shared" si="185"/>
        <v>72.963171684496103</v>
      </c>
      <c r="GC161" s="20">
        <f t="shared" si="186"/>
        <v>664.4457840171641</v>
      </c>
      <c r="GD161" s="59">
        <f t="shared" si="134"/>
        <v>956.16273080056499</v>
      </c>
      <c r="GE161" s="59">
        <f ca="1">AVERAGE(OFFSET($GD$3,0,0,'Données projet'!$E$17+1,1))-AVERAGE(OFFSET($H$3,0,0,'Données projet'!$E$17+1,1))</f>
        <v>428.11167311086814</v>
      </c>
      <c r="GF161" s="59">
        <f t="shared" si="158"/>
        <v>415.69449942923609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11.189212375327962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11.189212375327962</v>
      </c>
      <c r="GP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1.1368683772161603E-13</v>
      </c>
      <c r="GV161" s="17">
        <f>GU161*VLOOKUP('Données projet'!$B$18,Paramètres!$A$1:$I$89,3,0)*VLOOKUP('Données projet'!$B$18,Paramètres!$A$1:$I$89,5,0)</f>
        <v>6.5087988332379613E-14</v>
      </c>
      <c r="GW161" s="13">
        <f t="shared" si="188"/>
        <v>1.0279249680474958E-12</v>
      </c>
      <c r="GX161" s="20">
        <f t="shared" si="189"/>
        <v>1.9036642323616162E-12</v>
      </c>
      <c r="GY161" s="59">
        <f t="shared" si="137"/>
        <v>291.71694678340282</v>
      </c>
      <c r="GZ161" s="59">
        <f ca="1">AVERAGE(OFFSET($GY$3,0,0,'Données projet'!$E$18+1,1))-AVERAGE(OFFSET($H$3,0,0,'Données projet'!$E$18+1,1))</f>
        <v>249.88816678272056</v>
      </c>
      <c r="HA161" s="59">
        <f t="shared" si="160"/>
        <v>432.10802787437319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6.5832576924898225</v>
      </c>
      <c r="HH161" s="21">
        <f>EXP(-LN(2)/25)*HH160+(1-EXP(-LN(2)/25))/(LN(2)/25)*Calculateur!HC161*Calculateur!HE161*VLOOKUP('Données projet'!$B$18,Paramètres!$A$1:$I$89,3,0)*0.475*44/12</f>
        <v>0.61865728379289386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7.2019149762827164</v>
      </c>
    </row>
    <row r="162" spans="1:218" x14ac:dyDescent="0.3">
      <c r="A162" s="10">
        <f t="shared" si="161"/>
        <v>159</v>
      </c>
      <c r="B162" s="71">
        <f>'Scénario référence'!$B$16*5+'Scénario référence'!$B$17*0+'Scénario référence'!$B$18*5</f>
        <v>1.4000000000000001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5.1333333333333337</v>
      </c>
      <c r="H162" s="65">
        <f t="shared" si="110"/>
        <v>236.13333333333335</v>
      </c>
      <c r="I162" s="6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319</v>
      </c>
      <c r="O162" s="13">
        <f>N162*VLOOKUP('Données projet'!$B$9,Paramètres!$A$1:$I$89,3,0)*VLOOKUP('Données projet'!$B$9,Paramètres!$A$1:$I$89,5,0)</f>
        <v>253.79640000000001</v>
      </c>
      <c r="P162" s="13">
        <f t="shared" si="141"/>
        <v>61.39816832228076</v>
      </c>
      <c r="Q162" s="20">
        <f t="shared" si="162"/>
        <v>548.96387316130563</v>
      </c>
      <c r="R162" s="59">
        <f t="shared" si="109"/>
        <v>840.70886063764897</v>
      </c>
      <c r="S162" s="59">
        <f ca="1">AVERAGE(OFFSET($R$3,0,0,'Données projet'!$E$9+1,1))-AVERAGE(OFFSET($H$3,0,0,'Données projet'!$E$9+1,1))</f>
        <v>360.06385535620069</v>
      </c>
      <c r="T162" s="59">
        <f t="shared" si="142"/>
        <v>350.82516032456408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11.122042763990414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11.122042763990414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277.77359999999993</v>
      </c>
      <c r="AK162" s="13">
        <f t="shared" si="164"/>
        <v>66.496288176842356</v>
      </c>
      <c r="AL162" s="20">
        <f t="shared" si="165"/>
        <v>599.60338857466706</v>
      </c>
      <c r="AM162" s="59">
        <f t="shared" si="113"/>
        <v>891.3483760510104</v>
      </c>
      <c r="AN162" s="59">
        <f ca="1">AVERAGE(OFFSET($AM$3,0,0,'Données projet'!$E$10+1,1))-AVERAGE(OFFSET($H$3,0,0,'Données projet'!$E$10+1,1))</f>
        <v>448.65237942538027</v>
      </c>
      <c r="AO162" s="59">
        <f t="shared" si="144"/>
        <v>283.56749129825107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41.877880347822398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41.877880347822398</v>
      </c>
      <c r="AY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403.99999999999989</v>
      </c>
      <c r="BE162" s="13">
        <f>BD162*VLOOKUP('Données projet'!$B$11,Paramètres!$A$1:$I$89,3,0)*VLOOKUP('Données projet'!$B$11,Paramètres!$A$1:$I$89,5,0)</f>
        <v>346.63199999999995</v>
      </c>
      <c r="BF162" s="13">
        <f t="shared" si="167"/>
        <v>80.868615263336864</v>
      </c>
      <c r="BG162" s="20">
        <f t="shared" si="168"/>
        <v>744.56357158364483</v>
      </c>
      <c r="BH162" s="59">
        <f t="shared" si="116"/>
        <v>1036.3085590599881</v>
      </c>
      <c r="BI162" s="59">
        <f ca="1">AVERAGE(OFFSET($BH$3,0,0,'Données projet'!$E$11+1,1))-AVERAGE(OFFSET($H$3,0,0,'Données projet'!$E$11+1,1))</f>
        <v>456.76871853389395</v>
      </c>
      <c r="BJ162" s="59">
        <f t="shared" si="146"/>
        <v>262.12425810289176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46.171523423776797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46.171523423776797</v>
      </c>
      <c r="BT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255.00000000000006</v>
      </c>
      <c r="BZ162" s="13">
        <f>BY162*VLOOKUP('Données projet'!$B$12,Paramètres!$A$1:$I$89,3,0)*VLOOKUP('Données projet'!$B$12,Paramètres!$A$1:$I$89,5,0)</f>
        <v>186.96600000000004</v>
      </c>
      <c r="CA162" s="13">
        <f t="shared" si="170"/>
        <v>46.868551400324648</v>
      </c>
      <c r="CB162" s="20">
        <f t="shared" si="171"/>
        <v>407.26184368889881</v>
      </c>
      <c r="CC162" s="59">
        <f t="shared" si="119"/>
        <v>699.00683116524215</v>
      </c>
      <c r="CD162" s="59">
        <f ca="1">AVERAGE(OFFSET($CC$3,0,0,'Données projet'!$E$12+1,1))-AVERAGE(OFFSET($H$3,0,0,'Données projet'!$E$12+1,1))</f>
        <v>242.65851607945316</v>
      </c>
      <c r="CE162" s="59">
        <f t="shared" si="148"/>
        <v>218.9349999985487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249.0000000000002</v>
      </c>
      <c r="CU162" s="17">
        <f>CT162*VLOOKUP('Données projet'!$B$13,Paramètres!$A$1:$I$89,3,0)*VLOOKUP('Données projet'!$B$13,Paramètres!$A$1:$I$89,5,0)</f>
        <v>217.52640000000019</v>
      </c>
      <c r="CV162" s="13">
        <f t="shared" si="173"/>
        <v>53.576907690651304</v>
      </c>
      <c r="CW162" s="20">
        <f t="shared" si="174"/>
        <v>472.17159422788467</v>
      </c>
      <c r="CX162" s="59">
        <f t="shared" si="122"/>
        <v>763.91658170422807</v>
      </c>
      <c r="CY162" s="59">
        <f ca="1">AVERAGE(OFFSET($CX$3,0,0,'Données projet'!$E$13+1,1))-AVERAGE(OFFSET($H$3,0,0,'Données projet'!$E$13+1,1))</f>
        <v>326.9460696675867</v>
      </c>
      <c r="CZ162" s="59">
        <f t="shared" si="150"/>
        <v>393.4020374592568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10.716701400954626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10.716701400954626</v>
      </c>
      <c r="DJ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349.00000000000017</v>
      </c>
      <c r="DP162" s="17">
        <f>DO162*VLOOKUP('Données projet'!$B$14,Paramètres!$A$1:$I$89,3,0)*VLOOKUP('Données projet'!$B$14,Paramètres!$A$1:$I$89,5,0)</f>
        <v>272.22000000000014</v>
      </c>
      <c r="DQ162" s="13">
        <f t="shared" si="176"/>
        <v>65.320184547527205</v>
      </c>
      <c r="DR162" s="20">
        <f t="shared" si="177"/>
        <v>587.88248808694345</v>
      </c>
      <c r="DS162" s="59">
        <f t="shared" si="125"/>
        <v>879.62747556328679</v>
      </c>
      <c r="DT162" s="59">
        <f ca="1">AVERAGE(OFFSET($DS$3,0,0,'Données projet'!$E$14+1,1))-AVERAGE(OFFSET($H$3,0,0,'Données projet'!$E$14+1,1))</f>
        <v>364.34528546733799</v>
      </c>
      <c r="DU162" s="59">
        <f t="shared" si="152"/>
        <v>346.5839763411152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14.87298462409824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14.87298462409824</v>
      </c>
      <c r="EE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213.98519999999999</v>
      </c>
      <c r="EL162" s="13">
        <f t="shared" si="179"/>
        <v>52.805497044008654</v>
      </c>
      <c r="EM162" s="20">
        <f t="shared" si="180"/>
        <v>464.66046401831505</v>
      </c>
      <c r="EN162" s="59">
        <f t="shared" si="128"/>
        <v>756.40545149465834</v>
      </c>
      <c r="EO162" s="59">
        <f ca="1">AVERAGE(OFFSET($EN$3,0,0,'Données projet'!$E$15+1,1))-AVERAGE(OFFSET($H$3,0,0,'Données projet'!$E$15+1,1))</f>
        <v>310.38232870602445</v>
      </c>
      <c r="EP162" s="59">
        <f t="shared" si="154"/>
        <v>303.45934457265537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9.3774086049330894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9.3774086049330894</v>
      </c>
      <c r="EZ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245.99999999999994</v>
      </c>
      <c r="FF162" s="17">
        <f>FE162*VLOOKUP('Données projet'!$B$16,Paramètres!$A$1:$I$89,3,0)*VLOOKUP('Données projet'!$B$16,Paramètres!$A$1:$I$89,5,0)</f>
        <v>234.09359999999998</v>
      </c>
      <c r="FG162" s="13">
        <f t="shared" si="182"/>
        <v>57.166902703920208</v>
      </c>
      <c r="FH162" s="20">
        <f t="shared" si="183"/>
        <v>507.27870887599425</v>
      </c>
      <c r="FI162" s="59">
        <f t="shared" si="131"/>
        <v>799.02369635233754</v>
      </c>
      <c r="FJ162" s="59">
        <f ca="1">AVERAGE(OFFSET($FI$3,0,0,'Données projet'!$E$16+1,1))-AVERAGE(OFFSET($H$3,0,0,'Données projet'!$E$16+1,1))</f>
        <v>457.706832425622</v>
      </c>
      <c r="FK162" s="59">
        <f t="shared" si="156"/>
        <v>474.61768219844873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32.62395939918121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32.62395939918121</v>
      </c>
      <c r="FU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319</v>
      </c>
      <c r="GA162" s="17">
        <f>FZ162*VLOOKUP('Données projet'!$B$17,Paramètres!$A$1:$I$89,3,0)*VLOOKUP('Données projet'!$B$17,Paramètres!$A$1:$I$89,5,0)</f>
        <v>308.53680000000003</v>
      </c>
      <c r="GB162" s="13">
        <f t="shared" si="185"/>
        <v>72.963171684496103</v>
      </c>
      <c r="GC162" s="20">
        <f t="shared" si="186"/>
        <v>664.4457840171641</v>
      </c>
      <c r="GD162" s="59">
        <f t="shared" si="134"/>
        <v>956.19077149350744</v>
      </c>
      <c r="GE162" s="59">
        <f ca="1">AVERAGE(OFFSET($GD$3,0,0,'Données projet'!$E$17+1,1))-AVERAGE(OFFSET($H$3,0,0,'Données projet'!$E$17+1,1))</f>
        <v>428.11167311086814</v>
      </c>
      <c r="GF162" s="59">
        <f t="shared" si="158"/>
        <v>415.69449942923609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10.969798745393442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10.969798745393442</v>
      </c>
      <c r="GP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1.1368683772161603E-13</v>
      </c>
      <c r="GV162" s="17">
        <f>GU162*VLOOKUP('Données projet'!$B$18,Paramètres!$A$1:$I$89,3,0)*VLOOKUP('Données projet'!$B$18,Paramètres!$A$1:$I$89,5,0)</f>
        <v>6.5087988332379613E-14</v>
      </c>
      <c r="GW162" s="13">
        <f t="shared" si="188"/>
        <v>1.0279249680474958E-12</v>
      </c>
      <c r="GX162" s="20">
        <f t="shared" si="189"/>
        <v>1.9036642323616162E-12</v>
      </c>
      <c r="GY162" s="59">
        <f t="shared" si="137"/>
        <v>291.74498747634522</v>
      </c>
      <c r="GZ162" s="59">
        <f ca="1">AVERAGE(OFFSET($GY$3,0,0,'Données projet'!$E$18+1,1))-AVERAGE(OFFSET($H$3,0,0,'Données projet'!$E$18+1,1))</f>
        <v>249.88816678272056</v>
      </c>
      <c r="HA162" s="59">
        <f t="shared" si="160"/>
        <v>432.10802787437319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6.4541640245308027</v>
      </c>
      <c r="HH162" s="21">
        <f>EXP(-LN(2)/25)*HH161+(1-EXP(-LN(2)/25))/(LN(2)/25)*Calculateur!HC162*Calculateur!HE162*VLOOKUP('Données projet'!$B$18,Paramètres!$A$1:$I$89,3,0)*0.475*44/12</f>
        <v>0.60174006783380463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7.0559040923646075</v>
      </c>
    </row>
    <row r="163" spans="1:218" x14ac:dyDescent="0.3">
      <c r="A163" s="10">
        <f t="shared" si="161"/>
        <v>160</v>
      </c>
      <c r="B163" s="71">
        <f>'Scénario référence'!$B$16*5+'Scénario référence'!$B$17*0+'Scénario référence'!$B$18*5</f>
        <v>1.4000000000000001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5.1333333333333337</v>
      </c>
      <c r="H163" s="65">
        <f t="shared" si="110"/>
        <v>236.13333333333335</v>
      </c>
      <c r="I163" s="6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319</v>
      </c>
      <c r="O163" s="13">
        <f>N163*VLOOKUP('Données projet'!$B$9,Paramètres!$A$1:$I$89,3,0)*VLOOKUP('Données projet'!$B$9,Paramètres!$A$1:$I$89,5,0)</f>
        <v>253.79640000000001</v>
      </c>
      <c r="P163" s="13">
        <f t="shared" si="141"/>
        <v>61.39816832228076</v>
      </c>
      <c r="Q163" s="20">
        <f t="shared" si="162"/>
        <v>548.96387316130563</v>
      </c>
      <c r="R163" s="59">
        <f t="shared" si="109"/>
        <v>840.73641488725843</v>
      </c>
      <c r="S163" s="59">
        <f ca="1">AVERAGE(OFFSET($R$3,0,0,'Données projet'!$E$9+1,1))-AVERAGE(OFFSET($H$3,0,0,'Données projet'!$E$9+1,1))</f>
        <v>360.06385535620069</v>
      </c>
      <c r="T163" s="59">
        <f t="shared" si="142"/>
        <v>350.82516032456408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10.903946289164805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10.903946289164805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277.77359999999993</v>
      </c>
      <c r="AK163" s="13">
        <f t="shared" si="164"/>
        <v>66.496288176842356</v>
      </c>
      <c r="AL163" s="20">
        <f t="shared" si="165"/>
        <v>599.60338857466706</v>
      </c>
      <c r="AM163" s="59">
        <f t="shared" si="113"/>
        <v>891.37593030061976</v>
      </c>
      <c r="AN163" s="59">
        <f ca="1">AVERAGE(OFFSET($AM$3,0,0,'Données projet'!$E$10+1,1))-AVERAGE(OFFSET($H$3,0,0,'Données projet'!$E$10+1,1))</f>
        <v>448.65237942538027</v>
      </c>
      <c r="AO163" s="59">
        <f t="shared" si="144"/>
        <v>283.56749129825107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41.056680657186455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41.056680657186455</v>
      </c>
      <c r="AY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403.99999999999989</v>
      </c>
      <c r="BE163" s="13">
        <f>BD163*VLOOKUP('Données projet'!$B$11,Paramètres!$A$1:$I$89,3,0)*VLOOKUP('Données projet'!$B$11,Paramètres!$A$1:$I$89,5,0)</f>
        <v>346.63199999999995</v>
      </c>
      <c r="BF163" s="13">
        <f t="shared" si="167"/>
        <v>80.868615263336864</v>
      </c>
      <c r="BG163" s="20">
        <f t="shared" si="168"/>
        <v>744.56357158364483</v>
      </c>
      <c r="BH163" s="59">
        <f t="shared" si="116"/>
        <v>1036.3361133095975</v>
      </c>
      <c r="BI163" s="59">
        <f ca="1">AVERAGE(OFFSET($BH$3,0,0,'Données projet'!$E$11+1,1))-AVERAGE(OFFSET($H$3,0,0,'Données projet'!$E$11+1,1))</f>
        <v>456.76871853389395</v>
      </c>
      <c r="BJ163" s="59">
        <f t="shared" si="146"/>
        <v>262.12425810289176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45.266128011285069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45.266128011285069</v>
      </c>
      <c r="BT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255.00000000000006</v>
      </c>
      <c r="BZ163" s="13">
        <f>BY163*VLOOKUP('Données projet'!$B$12,Paramètres!$A$1:$I$89,3,0)*VLOOKUP('Données projet'!$B$12,Paramètres!$A$1:$I$89,5,0)</f>
        <v>186.96600000000004</v>
      </c>
      <c r="CA163" s="13">
        <f t="shared" si="170"/>
        <v>46.868551400324648</v>
      </c>
      <c r="CB163" s="20">
        <f t="shared" si="171"/>
        <v>407.26184368889881</v>
      </c>
      <c r="CC163" s="59">
        <f t="shared" si="119"/>
        <v>699.03438541485161</v>
      </c>
      <c r="CD163" s="59">
        <f ca="1">AVERAGE(OFFSET($CC$3,0,0,'Données projet'!$E$12+1,1))-AVERAGE(OFFSET($H$3,0,0,'Données projet'!$E$12+1,1))</f>
        <v>242.65851607945316</v>
      </c>
      <c r="CE163" s="59">
        <f t="shared" si="148"/>
        <v>218.9349999985487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249.0000000000002</v>
      </c>
      <c r="CU163" s="17">
        <f>CT163*VLOOKUP('Données projet'!$B$13,Paramètres!$A$1:$I$89,3,0)*VLOOKUP('Données projet'!$B$13,Paramètres!$A$1:$I$89,5,0)</f>
        <v>217.52640000000019</v>
      </c>
      <c r="CV163" s="13">
        <f t="shared" si="173"/>
        <v>53.576907690651304</v>
      </c>
      <c r="CW163" s="20">
        <f t="shared" si="174"/>
        <v>472.17159422788467</v>
      </c>
      <c r="CX163" s="59">
        <f t="shared" si="122"/>
        <v>763.94413595383742</v>
      </c>
      <c r="CY163" s="59">
        <f ca="1">AVERAGE(OFFSET($CX$3,0,0,'Données projet'!$E$13+1,1))-AVERAGE(OFFSET($H$3,0,0,'Données projet'!$E$13+1,1))</f>
        <v>326.9460696675867</v>
      </c>
      <c r="CZ163" s="59">
        <f t="shared" si="150"/>
        <v>393.4020374592568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10.50655342302433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10.50655342302433</v>
      </c>
      <c r="DJ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349.00000000000017</v>
      </c>
      <c r="DP163" s="17">
        <f>DO163*VLOOKUP('Données projet'!$B$14,Paramètres!$A$1:$I$89,3,0)*VLOOKUP('Données projet'!$B$14,Paramètres!$A$1:$I$89,5,0)</f>
        <v>272.22000000000014</v>
      </c>
      <c r="DQ163" s="13">
        <f t="shared" si="176"/>
        <v>65.320184547527205</v>
      </c>
      <c r="DR163" s="20">
        <f t="shared" si="177"/>
        <v>587.88248808694345</v>
      </c>
      <c r="DS163" s="59">
        <f t="shared" si="125"/>
        <v>879.65502981289615</v>
      </c>
      <c r="DT163" s="59">
        <f ca="1">AVERAGE(OFFSET($DS$3,0,0,'Données projet'!$E$14+1,1))-AVERAGE(OFFSET($H$3,0,0,'Données projet'!$E$14+1,1))</f>
        <v>364.34528546733799</v>
      </c>
      <c r="DU163" s="59">
        <f t="shared" si="152"/>
        <v>346.5839763411152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14.581334467244545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14.581334467244545</v>
      </c>
      <c r="EE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213.98519999999999</v>
      </c>
      <c r="EL163" s="13">
        <f t="shared" si="179"/>
        <v>52.805497044008654</v>
      </c>
      <c r="EM163" s="20">
        <f t="shared" si="180"/>
        <v>464.66046401831505</v>
      </c>
      <c r="EN163" s="59">
        <f t="shared" si="128"/>
        <v>756.4330057442678</v>
      </c>
      <c r="EO163" s="59">
        <f ca="1">AVERAGE(OFFSET($EN$3,0,0,'Données projet'!$E$15+1,1))-AVERAGE(OFFSET($H$3,0,0,'Données projet'!$E$15+1,1))</f>
        <v>310.38232870602445</v>
      </c>
      <c r="EP163" s="59">
        <f t="shared" si="154"/>
        <v>303.45934457265537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9.1935233418448323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9.1935233418448323</v>
      </c>
      <c r="EZ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245.99999999999994</v>
      </c>
      <c r="FF163" s="17">
        <f>FE163*VLOOKUP('Données projet'!$B$16,Paramètres!$A$1:$I$89,3,0)*VLOOKUP('Données projet'!$B$16,Paramètres!$A$1:$I$89,5,0)</f>
        <v>234.09359999999998</v>
      </c>
      <c r="FG163" s="13">
        <f t="shared" si="182"/>
        <v>57.166902703920208</v>
      </c>
      <c r="FH163" s="20">
        <f t="shared" si="183"/>
        <v>507.27870887599425</v>
      </c>
      <c r="FI163" s="59">
        <f t="shared" si="131"/>
        <v>799.051250601947</v>
      </c>
      <c r="FJ163" s="59">
        <f ca="1">AVERAGE(OFFSET($FI$3,0,0,'Données projet'!$E$16+1,1))-AVERAGE(OFFSET($H$3,0,0,'Données projet'!$E$16+1,1))</f>
        <v>457.706832425622</v>
      </c>
      <c r="FK163" s="59">
        <f t="shared" si="156"/>
        <v>474.61768219844873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31.984223454013673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31.984223454013673</v>
      </c>
      <c r="FU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319</v>
      </c>
      <c r="GA163" s="17">
        <f>FZ163*VLOOKUP('Données projet'!$B$17,Paramètres!$A$1:$I$89,3,0)*VLOOKUP('Données projet'!$B$17,Paramètres!$A$1:$I$89,5,0)</f>
        <v>308.53680000000003</v>
      </c>
      <c r="GB163" s="13">
        <f t="shared" si="185"/>
        <v>72.963171684496103</v>
      </c>
      <c r="GC163" s="20">
        <f t="shared" si="186"/>
        <v>664.4457840171641</v>
      </c>
      <c r="GD163" s="59">
        <f t="shared" si="134"/>
        <v>956.21832574311679</v>
      </c>
      <c r="GE163" s="59">
        <f ca="1">AVERAGE(OFFSET($GD$3,0,0,'Données projet'!$E$17+1,1))-AVERAGE(OFFSET($H$3,0,0,'Données projet'!$E$17+1,1))</f>
        <v>428.11167311086814</v>
      </c>
      <c r="GF163" s="59">
        <f t="shared" si="158"/>
        <v>415.69449942923609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10.754687682912838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10.754687682912838</v>
      </c>
      <c r="GP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1.1368683772161603E-13</v>
      </c>
      <c r="GV163" s="17">
        <f>GU163*VLOOKUP('Données projet'!$B$18,Paramètres!$A$1:$I$89,3,0)*VLOOKUP('Données projet'!$B$18,Paramètres!$A$1:$I$89,5,0)</f>
        <v>6.5087988332379613E-14</v>
      </c>
      <c r="GW163" s="13">
        <f t="shared" si="188"/>
        <v>1.0279249680474958E-12</v>
      </c>
      <c r="GX163" s="20">
        <f t="shared" si="189"/>
        <v>1.9036642323616162E-12</v>
      </c>
      <c r="GY163" s="59">
        <f t="shared" si="137"/>
        <v>291.77254172595462</v>
      </c>
      <c r="GZ163" s="59">
        <f ca="1">AVERAGE(OFFSET($GY$3,0,0,'Données projet'!$E$18+1,1))-AVERAGE(OFFSET($H$3,0,0,'Données projet'!$E$18+1,1))</f>
        <v>249.88816678272056</v>
      </c>
      <c r="HA163" s="59">
        <f t="shared" si="160"/>
        <v>432.10802787437319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6.3276018046610965</v>
      </c>
      <c r="HH163" s="21">
        <f>EXP(-LN(2)/25)*HH162+(1-EXP(-LN(2)/25))/(LN(2)/25)*Calculateur!HC163*Calculateur!HE163*VLOOKUP('Données projet'!$B$18,Paramètres!$A$1:$I$89,3,0)*0.475*44/12</f>
        <v>0.5852854540347544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6.912887258695851</v>
      </c>
    </row>
    <row r="164" spans="1:218" x14ac:dyDescent="0.3">
      <c r="A164" s="10">
        <f t="shared" si="161"/>
        <v>161</v>
      </c>
      <c r="B164" s="71">
        <f>'Scénario référence'!$B$16*5+'Scénario référence'!$B$17*0+'Scénario référence'!$B$18*5</f>
        <v>1.4000000000000001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5.1333333333333337</v>
      </c>
      <c r="H164" s="65">
        <f t="shared" si="110"/>
        <v>236.13333333333335</v>
      </c>
      <c r="I164" s="6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319</v>
      </c>
      <c r="O164" s="13">
        <f>N164*VLOOKUP('Données projet'!$B$9,Paramètres!$A$1:$I$89,3,0)*VLOOKUP('Données projet'!$B$9,Paramètres!$A$1:$I$89,5,0)</f>
        <v>253.79640000000001</v>
      </c>
      <c r="P164" s="13">
        <f t="shared" si="141"/>
        <v>61.39816832228076</v>
      </c>
      <c r="Q164" s="20">
        <f t="shared" si="162"/>
        <v>548.96387316130563</v>
      </c>
      <c r="R164" s="59">
        <f t="shared" si="109"/>
        <v>840.7634911322391</v>
      </c>
      <c r="S164" s="59">
        <f ca="1">AVERAGE(OFFSET($R$3,0,0,'Données projet'!$E$9+1,1))-AVERAGE(OFFSET($H$3,0,0,'Données projet'!$E$9+1,1))</f>
        <v>360.06385535620069</v>
      </c>
      <c r="T164" s="59">
        <f t="shared" si="142"/>
        <v>350.82516032456408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10.690126553184813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10.690126553184813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277.77359999999993</v>
      </c>
      <c r="AK164" s="13">
        <f t="shared" si="164"/>
        <v>66.496288176842356</v>
      </c>
      <c r="AL164" s="20">
        <f t="shared" si="165"/>
        <v>599.60338857466706</v>
      </c>
      <c r="AM164" s="59">
        <f t="shared" si="113"/>
        <v>891.40300654560065</v>
      </c>
      <c r="AN164" s="59">
        <f ca="1">AVERAGE(OFFSET($AM$3,0,0,'Données projet'!$E$10+1,1))-AVERAGE(OFFSET($H$3,0,0,'Données projet'!$E$10+1,1))</f>
        <v>448.65237942538027</v>
      </c>
      <c r="AO164" s="59">
        <f t="shared" si="144"/>
        <v>283.56749129825107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40.25158419160153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40.25158419160153</v>
      </c>
      <c r="AY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403.99999999999989</v>
      </c>
      <c r="BE164" s="13">
        <f>BD164*VLOOKUP('Données projet'!$B$11,Paramètres!$A$1:$I$89,3,0)*VLOOKUP('Données projet'!$B$11,Paramètres!$A$1:$I$89,5,0)</f>
        <v>346.63199999999995</v>
      </c>
      <c r="BF164" s="13">
        <f t="shared" si="167"/>
        <v>80.868615263336864</v>
      </c>
      <c r="BG164" s="20">
        <f t="shared" si="168"/>
        <v>744.56357158364483</v>
      </c>
      <c r="BH164" s="59">
        <f t="shared" si="116"/>
        <v>1036.3631895545784</v>
      </c>
      <c r="BI164" s="59">
        <f ca="1">AVERAGE(OFFSET($BH$3,0,0,'Données projet'!$E$11+1,1))-AVERAGE(OFFSET($H$3,0,0,'Données projet'!$E$11+1,1))</f>
        <v>456.76871853389395</v>
      </c>
      <c r="BJ164" s="59">
        <f t="shared" si="146"/>
        <v>262.12425810289176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44.378486850595635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44.378486850595635</v>
      </c>
      <c r="BT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255.00000000000006</v>
      </c>
      <c r="BZ164" s="13">
        <f>BY164*VLOOKUP('Données projet'!$B$12,Paramètres!$A$1:$I$89,3,0)*VLOOKUP('Données projet'!$B$12,Paramètres!$A$1:$I$89,5,0)</f>
        <v>186.96600000000004</v>
      </c>
      <c r="CA164" s="13">
        <f t="shared" si="170"/>
        <v>46.868551400324648</v>
      </c>
      <c r="CB164" s="20">
        <f t="shared" si="171"/>
        <v>407.26184368889881</v>
      </c>
      <c r="CC164" s="59">
        <f t="shared" si="119"/>
        <v>699.06146165983228</v>
      </c>
      <c r="CD164" s="59">
        <f ca="1">AVERAGE(OFFSET($CC$3,0,0,'Données projet'!$E$12+1,1))-AVERAGE(OFFSET($H$3,0,0,'Données projet'!$E$12+1,1))</f>
        <v>242.65851607945316</v>
      </c>
      <c r="CE164" s="59">
        <f t="shared" si="148"/>
        <v>218.9349999985487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249.0000000000002</v>
      </c>
      <c r="CU164" s="17">
        <f>CT164*VLOOKUP('Données projet'!$B$13,Paramètres!$A$1:$I$89,3,0)*VLOOKUP('Données projet'!$B$13,Paramètres!$A$1:$I$89,5,0)</f>
        <v>217.52640000000019</v>
      </c>
      <c r="CV164" s="13">
        <f t="shared" si="173"/>
        <v>53.576907690651304</v>
      </c>
      <c r="CW164" s="20">
        <f t="shared" si="174"/>
        <v>472.17159422788467</v>
      </c>
      <c r="CX164" s="59">
        <f t="shared" si="122"/>
        <v>763.97121219881819</v>
      </c>
      <c r="CY164" s="59">
        <f ca="1">AVERAGE(OFFSET($CX$3,0,0,'Données projet'!$E$13+1,1))-AVERAGE(OFFSET($H$3,0,0,'Données projet'!$E$13+1,1))</f>
        <v>326.9460696675867</v>
      </c>
      <c r="CZ164" s="59">
        <f t="shared" si="150"/>
        <v>393.4020374592568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10.300526318763637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10.300526318763637</v>
      </c>
      <c r="DJ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349.00000000000017</v>
      </c>
      <c r="DP164" s="17">
        <f>DO164*VLOOKUP('Données projet'!$B$14,Paramètres!$A$1:$I$89,3,0)*VLOOKUP('Données projet'!$B$14,Paramètres!$A$1:$I$89,5,0)</f>
        <v>272.22000000000014</v>
      </c>
      <c r="DQ164" s="13">
        <f t="shared" si="176"/>
        <v>65.320184547527205</v>
      </c>
      <c r="DR164" s="20">
        <f t="shared" si="177"/>
        <v>587.88248808694345</v>
      </c>
      <c r="DS164" s="59">
        <f t="shared" si="125"/>
        <v>879.68210605787704</v>
      </c>
      <c r="DT164" s="59">
        <f ca="1">AVERAGE(OFFSET($DS$3,0,0,'Données projet'!$E$14+1,1))-AVERAGE(OFFSET($H$3,0,0,'Données projet'!$E$14+1,1))</f>
        <v>364.34528546733799</v>
      </c>
      <c r="DU164" s="59">
        <f t="shared" si="152"/>
        <v>346.5839763411152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14.295403392077722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14.295403392077722</v>
      </c>
      <c r="EE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213.98519999999999</v>
      </c>
      <c r="EL164" s="13">
        <f t="shared" si="179"/>
        <v>52.805497044008654</v>
      </c>
      <c r="EM164" s="20">
        <f t="shared" si="180"/>
        <v>464.66046401831505</v>
      </c>
      <c r="EN164" s="59">
        <f t="shared" si="128"/>
        <v>756.46008198924858</v>
      </c>
      <c r="EO164" s="59">
        <f ca="1">AVERAGE(OFFSET($EN$3,0,0,'Données projet'!$E$15+1,1))-AVERAGE(OFFSET($H$3,0,0,'Données projet'!$E$15+1,1))</f>
        <v>310.38232870602445</v>
      </c>
      <c r="EP164" s="59">
        <f t="shared" si="154"/>
        <v>303.45934457265537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9.0132439566068001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9.0132439566068001</v>
      </c>
      <c r="EZ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245.99999999999994</v>
      </c>
      <c r="FF164" s="17">
        <f>FE164*VLOOKUP('Données projet'!$B$16,Paramètres!$A$1:$I$89,3,0)*VLOOKUP('Données projet'!$B$16,Paramètres!$A$1:$I$89,5,0)</f>
        <v>234.09359999999998</v>
      </c>
      <c r="FG164" s="13">
        <f t="shared" si="182"/>
        <v>57.166902703920208</v>
      </c>
      <c r="FH164" s="20">
        <f t="shared" si="183"/>
        <v>507.27870887599425</v>
      </c>
      <c r="FI164" s="59">
        <f t="shared" si="131"/>
        <v>799.07832684692778</v>
      </c>
      <c r="FJ164" s="59">
        <f ca="1">AVERAGE(OFFSET($FI$3,0,0,'Données projet'!$E$16+1,1))-AVERAGE(OFFSET($H$3,0,0,'Données projet'!$E$16+1,1))</f>
        <v>457.706832425622</v>
      </c>
      <c r="FK164" s="59">
        <f t="shared" si="156"/>
        <v>474.61768219844873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31.357032340530473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31.357032340530473</v>
      </c>
      <c r="FU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319</v>
      </c>
      <c r="GA164" s="17">
        <f>FZ164*VLOOKUP('Données projet'!$B$17,Paramètres!$A$1:$I$89,3,0)*VLOOKUP('Données projet'!$B$17,Paramètres!$A$1:$I$89,5,0)</f>
        <v>308.53680000000003</v>
      </c>
      <c r="GB164" s="13">
        <f t="shared" si="185"/>
        <v>72.963171684496103</v>
      </c>
      <c r="GC164" s="20">
        <f t="shared" si="186"/>
        <v>664.4457840171641</v>
      </c>
      <c r="GD164" s="59">
        <f t="shared" si="134"/>
        <v>956.24540198809768</v>
      </c>
      <c r="GE164" s="59">
        <f ca="1">AVERAGE(OFFSET($GD$3,0,0,'Données projet'!$E$17+1,1))-AVERAGE(OFFSET($H$3,0,0,'Données projet'!$E$17+1,1))</f>
        <v>428.11167311086814</v>
      </c>
      <c r="GF164" s="59">
        <f t="shared" si="158"/>
        <v>415.69449942923609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10.543794817162686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10.543794817162686</v>
      </c>
      <c r="GP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1.1368683772161603E-13</v>
      </c>
      <c r="GV164" s="17">
        <f>GU164*VLOOKUP('Données projet'!$B$18,Paramètres!$A$1:$I$89,3,0)*VLOOKUP('Données projet'!$B$18,Paramètres!$A$1:$I$89,5,0)</f>
        <v>6.5087988332379613E-14</v>
      </c>
      <c r="GW164" s="13">
        <f t="shared" si="188"/>
        <v>1.0279249680474958E-12</v>
      </c>
      <c r="GX164" s="20">
        <f t="shared" si="189"/>
        <v>1.9036642323616162E-12</v>
      </c>
      <c r="GY164" s="59">
        <f t="shared" si="137"/>
        <v>291.7996179709354</v>
      </c>
      <c r="GZ164" s="59">
        <f ca="1">AVERAGE(OFFSET($GY$3,0,0,'Données projet'!$E$18+1,1))-AVERAGE(OFFSET($H$3,0,0,'Données projet'!$E$18+1,1))</f>
        <v>249.88816678272056</v>
      </c>
      <c r="HA164" s="59">
        <f t="shared" si="160"/>
        <v>432.10802787437319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6.203521392727704</v>
      </c>
      <c r="HH164" s="21">
        <f>EXP(-LN(2)/25)*HH163+(1-EXP(-LN(2)/25))/(LN(2)/25)*Calculateur!HC164*Calculateur!HE164*VLOOKUP('Données projet'!$B$18,Paramètres!$A$1:$I$89,3,0)*0.475*44/12</f>
        <v>0.56928079251534969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6.7728021852430533</v>
      </c>
    </row>
    <row r="165" spans="1:218" x14ac:dyDescent="0.3">
      <c r="A165" s="10">
        <f t="shared" si="161"/>
        <v>162</v>
      </c>
      <c r="B165" s="71">
        <f>'Scénario référence'!$B$16*5+'Scénario référence'!$B$17*0+'Scénario référence'!$B$18*5</f>
        <v>1.4000000000000001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5.1333333333333337</v>
      </c>
      <c r="H165" s="65">
        <f t="shared" si="110"/>
        <v>236.13333333333335</v>
      </c>
      <c r="I165" s="6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319</v>
      </c>
      <c r="O165" s="13">
        <f>N165*VLOOKUP('Données projet'!$B$9,Paramètres!$A$1:$I$89,3,0)*VLOOKUP('Données projet'!$B$9,Paramètres!$A$1:$I$89,5,0)</f>
        <v>253.79640000000001</v>
      </c>
      <c r="P165" s="13">
        <f t="shared" si="141"/>
        <v>61.39816832228076</v>
      </c>
      <c r="Q165" s="20">
        <f t="shared" si="162"/>
        <v>548.96387316130563</v>
      </c>
      <c r="R165" s="59">
        <f t="shared" si="109"/>
        <v>840.79009766490299</v>
      </c>
      <c r="S165" s="59">
        <f ca="1">AVERAGE(OFFSET($R$3,0,0,'Données projet'!$E$9+1,1))-AVERAGE(OFFSET($H$3,0,0,'Données projet'!$E$9+1,1))</f>
        <v>360.06385535620069</v>
      </c>
      <c r="T165" s="59">
        <f t="shared" si="142"/>
        <v>350.82516032456408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10.480499691810227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10.480499691810227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277.77359999999993</v>
      </c>
      <c r="AK165" s="13">
        <f t="shared" si="164"/>
        <v>66.496288176842356</v>
      </c>
      <c r="AL165" s="20">
        <f t="shared" si="165"/>
        <v>599.60338857466706</v>
      </c>
      <c r="AM165" s="59">
        <f t="shared" si="113"/>
        <v>891.42961307826431</v>
      </c>
      <c r="AN165" s="59">
        <f ca="1">AVERAGE(OFFSET($AM$3,0,0,'Données projet'!$E$10+1,1))-AVERAGE(OFFSET($H$3,0,0,'Données projet'!$E$10+1,1))</f>
        <v>448.65237942538027</v>
      </c>
      <c r="AO165" s="59">
        <f t="shared" si="144"/>
        <v>283.56749129825107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39.462275176646365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39.462275176646365</v>
      </c>
      <c r="AY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403.99999999999989</v>
      </c>
      <c r="BE165" s="13">
        <f>BD165*VLOOKUP('Données projet'!$B$11,Paramètres!$A$1:$I$89,3,0)*VLOOKUP('Données projet'!$B$11,Paramètres!$A$1:$I$89,5,0)</f>
        <v>346.63199999999995</v>
      </c>
      <c r="BF165" s="13">
        <f t="shared" si="167"/>
        <v>80.868615263336864</v>
      </c>
      <c r="BG165" s="20">
        <f t="shared" si="168"/>
        <v>744.56357158364483</v>
      </c>
      <c r="BH165" s="59">
        <f t="shared" si="116"/>
        <v>1036.3897960872421</v>
      </c>
      <c r="BI165" s="59">
        <f ca="1">AVERAGE(OFFSET($BH$3,0,0,'Données projet'!$E$11+1,1))-AVERAGE(OFFSET($H$3,0,0,'Données projet'!$E$11+1,1))</f>
        <v>456.76871853389395</v>
      </c>
      <c r="BJ165" s="59">
        <f t="shared" si="146"/>
        <v>262.12425810289176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43.508251791659667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43.508251791659667</v>
      </c>
      <c r="BT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255.00000000000006</v>
      </c>
      <c r="BZ165" s="13">
        <f>BY165*VLOOKUP('Données projet'!$B$12,Paramètres!$A$1:$I$89,3,0)*VLOOKUP('Données projet'!$B$12,Paramètres!$A$1:$I$89,5,0)</f>
        <v>186.96600000000004</v>
      </c>
      <c r="CA165" s="13">
        <f t="shared" si="170"/>
        <v>46.868551400324648</v>
      </c>
      <c r="CB165" s="20">
        <f t="shared" si="171"/>
        <v>407.26184368889881</v>
      </c>
      <c r="CC165" s="59">
        <f t="shared" si="119"/>
        <v>699.08806819249617</v>
      </c>
      <c r="CD165" s="59">
        <f ca="1">AVERAGE(OFFSET($CC$3,0,0,'Données projet'!$E$12+1,1))-AVERAGE(OFFSET($H$3,0,0,'Données projet'!$E$12+1,1))</f>
        <v>242.65851607945316</v>
      </c>
      <c r="CE165" s="59">
        <f t="shared" si="148"/>
        <v>218.9349999985487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249.0000000000002</v>
      </c>
      <c r="CU165" s="17">
        <f>CT165*VLOOKUP('Données projet'!$B$13,Paramètres!$A$1:$I$89,3,0)*VLOOKUP('Données projet'!$B$13,Paramètres!$A$1:$I$89,5,0)</f>
        <v>217.52640000000019</v>
      </c>
      <c r="CV165" s="13">
        <f t="shared" si="173"/>
        <v>53.576907690651304</v>
      </c>
      <c r="CW165" s="20">
        <f t="shared" si="174"/>
        <v>472.17159422788467</v>
      </c>
      <c r="CX165" s="59">
        <f t="shared" si="122"/>
        <v>763.99781873148197</v>
      </c>
      <c r="CY165" s="59">
        <f ca="1">AVERAGE(OFFSET($CX$3,0,0,'Données projet'!$E$13+1,1))-AVERAGE(OFFSET($H$3,0,0,'Données projet'!$E$13+1,1))</f>
        <v>326.9460696675867</v>
      </c>
      <c r="CZ165" s="59">
        <f t="shared" si="150"/>
        <v>393.4020374592568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10.098539280353371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10.098539280353371</v>
      </c>
      <c r="DJ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349.00000000000017</v>
      </c>
      <c r="DP165" s="17">
        <f>DO165*VLOOKUP('Données projet'!$B$14,Paramètres!$A$1:$I$89,3,0)*VLOOKUP('Données projet'!$B$14,Paramètres!$A$1:$I$89,5,0)</f>
        <v>272.22000000000014</v>
      </c>
      <c r="DQ165" s="13">
        <f t="shared" si="176"/>
        <v>65.320184547527205</v>
      </c>
      <c r="DR165" s="20">
        <f t="shared" si="177"/>
        <v>587.88248808694345</v>
      </c>
      <c r="DS165" s="59">
        <f t="shared" si="125"/>
        <v>879.7087125905407</v>
      </c>
      <c r="DT165" s="59">
        <f ca="1">AVERAGE(OFFSET($DS$3,0,0,'Données projet'!$E$14+1,1))-AVERAGE(OFFSET($H$3,0,0,'Données projet'!$E$14+1,1))</f>
        <v>364.34528546733799</v>
      </c>
      <c r="DU165" s="59">
        <f t="shared" si="152"/>
        <v>346.5839763411152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14.015079250894184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14.015079250894184</v>
      </c>
      <c r="EE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213.98519999999999</v>
      </c>
      <c r="EL165" s="13">
        <f t="shared" si="179"/>
        <v>52.805497044008654</v>
      </c>
      <c r="EM165" s="20">
        <f t="shared" si="180"/>
        <v>464.66046401831505</v>
      </c>
      <c r="EN165" s="59">
        <f t="shared" si="128"/>
        <v>756.48668852191236</v>
      </c>
      <c r="EO165" s="59">
        <f ca="1">AVERAGE(OFFSET($EN$3,0,0,'Données projet'!$E$15+1,1))-AVERAGE(OFFSET($H$3,0,0,'Données projet'!$E$15+1,1))</f>
        <v>310.38232870602445</v>
      </c>
      <c r="EP165" s="59">
        <f t="shared" si="154"/>
        <v>303.45934457265537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8.8364997401537178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8.8364997401537178</v>
      </c>
      <c r="EZ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245.99999999999994</v>
      </c>
      <c r="FF165" s="17">
        <f>FE165*VLOOKUP('Données projet'!$B$16,Paramètres!$A$1:$I$89,3,0)*VLOOKUP('Données projet'!$B$16,Paramètres!$A$1:$I$89,5,0)</f>
        <v>234.09359999999998</v>
      </c>
      <c r="FG165" s="13">
        <f t="shared" si="182"/>
        <v>57.166902703920208</v>
      </c>
      <c r="FH165" s="20">
        <f t="shared" si="183"/>
        <v>507.27870887599425</v>
      </c>
      <c r="FI165" s="59">
        <f t="shared" si="131"/>
        <v>799.10493337959156</v>
      </c>
      <c r="FJ165" s="59">
        <f ca="1">AVERAGE(OFFSET($FI$3,0,0,'Données projet'!$E$16+1,1))-AVERAGE(OFFSET($H$3,0,0,'Données projet'!$E$16+1,1))</f>
        <v>457.706832425622</v>
      </c>
      <c r="FK165" s="59">
        <f t="shared" si="156"/>
        <v>474.61768219844873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30.742140062233872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30.742140062233872</v>
      </c>
      <c r="FU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319</v>
      </c>
      <c r="GA165" s="17">
        <f>FZ165*VLOOKUP('Données projet'!$B$17,Paramètres!$A$1:$I$89,3,0)*VLOOKUP('Données projet'!$B$17,Paramètres!$A$1:$I$89,5,0)</f>
        <v>308.53680000000003</v>
      </c>
      <c r="GB165" s="13">
        <f t="shared" si="185"/>
        <v>72.963171684496103</v>
      </c>
      <c r="GC165" s="20">
        <f t="shared" si="186"/>
        <v>664.4457840171641</v>
      </c>
      <c r="GD165" s="59">
        <f t="shared" si="134"/>
        <v>956.27200852076135</v>
      </c>
      <c r="GE165" s="59">
        <f ca="1">AVERAGE(OFFSET($GD$3,0,0,'Données projet'!$E$17+1,1))-AVERAGE(OFFSET($H$3,0,0,'Données projet'!$E$17+1,1))</f>
        <v>428.11167311086814</v>
      </c>
      <c r="GF165" s="59">
        <f t="shared" si="158"/>
        <v>415.69449942923609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10.337037431877947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10.337037431877947</v>
      </c>
      <c r="GP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1.1368683772161603E-13</v>
      </c>
      <c r="GV165" s="17">
        <f>GU165*VLOOKUP('Données projet'!$B$18,Paramètres!$A$1:$I$89,3,0)*VLOOKUP('Données projet'!$B$18,Paramètres!$A$1:$I$89,5,0)</f>
        <v>6.5087988332379613E-14</v>
      </c>
      <c r="GW165" s="13">
        <f t="shared" si="188"/>
        <v>1.0279249680474958E-12</v>
      </c>
      <c r="GX165" s="20">
        <f t="shared" si="189"/>
        <v>1.9036642323616162E-12</v>
      </c>
      <c r="GY165" s="59">
        <f t="shared" si="137"/>
        <v>291.82622450359918</v>
      </c>
      <c r="GZ165" s="59">
        <f ca="1">AVERAGE(OFFSET($GY$3,0,0,'Données projet'!$E$18+1,1))-AVERAGE(OFFSET($H$3,0,0,'Données projet'!$E$18+1,1))</f>
        <v>249.88816678272056</v>
      </c>
      <c r="HA165" s="59">
        <f t="shared" si="160"/>
        <v>432.10802787437319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6.0818741219907464</v>
      </c>
      <c r="HH165" s="21">
        <f>EXP(-LN(2)/25)*HH164+(1-EXP(-LN(2)/25))/(LN(2)/25)*Calculateur!HC165*Calculateur!HE165*VLOOKUP('Données projet'!$B$18,Paramètres!$A$1:$I$89,3,0)*0.475*44/12</f>
        <v>0.55371377930684174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6.6355879012975878</v>
      </c>
    </row>
    <row r="166" spans="1:218" x14ac:dyDescent="0.3">
      <c r="A166" s="10">
        <f t="shared" si="161"/>
        <v>163</v>
      </c>
      <c r="B166" s="71">
        <f>'Scénario référence'!$B$16*5+'Scénario référence'!$B$17*0+'Scénario référence'!$B$18*5</f>
        <v>1.4000000000000001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5.1333333333333337</v>
      </c>
      <c r="H166" s="65">
        <f t="shared" si="110"/>
        <v>236.13333333333335</v>
      </c>
      <c r="I166" s="6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319</v>
      </c>
      <c r="O166" s="13">
        <f>N166*VLOOKUP('Données projet'!$B$9,Paramètres!$A$1:$I$89,3,0)*VLOOKUP('Données projet'!$B$9,Paramètres!$A$1:$I$89,5,0)</f>
        <v>253.79640000000001</v>
      </c>
      <c r="P166" s="13">
        <f t="shared" si="141"/>
        <v>61.39816832228076</v>
      </c>
      <c r="Q166" s="20">
        <f t="shared" si="162"/>
        <v>548.96387316130563</v>
      </c>
      <c r="R166" s="59">
        <f t="shared" si="109"/>
        <v>840.81624263370827</v>
      </c>
      <c r="S166" s="59">
        <f ca="1">AVERAGE(OFFSET($R$3,0,0,'Données projet'!$E$9+1,1))-AVERAGE(OFFSET($H$3,0,0,'Données projet'!$E$9+1,1))</f>
        <v>360.06385535620069</v>
      </c>
      <c r="T166" s="59">
        <f t="shared" si="142"/>
        <v>350.82516032456408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10.274983485327436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10.274983485327436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277.77359999999993</v>
      </c>
      <c r="AK166" s="13">
        <f t="shared" si="164"/>
        <v>66.496288176842356</v>
      </c>
      <c r="AL166" s="20">
        <f t="shared" si="165"/>
        <v>599.60338857466706</v>
      </c>
      <c r="AM166" s="59">
        <f t="shared" si="113"/>
        <v>891.45575804706971</v>
      </c>
      <c r="AN166" s="59">
        <f ca="1">AVERAGE(OFFSET($AM$3,0,0,'Données projet'!$E$10+1,1))-AVERAGE(OFFSET($H$3,0,0,'Données projet'!$E$10+1,1))</f>
        <v>448.65237942538027</v>
      </c>
      <c r="AO166" s="59">
        <f t="shared" si="144"/>
        <v>283.56749129825107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38.688444030043513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38.688444030043513</v>
      </c>
      <c r="AY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403.99999999999989</v>
      </c>
      <c r="BE166" s="13">
        <f>BD166*VLOOKUP('Données projet'!$B$11,Paramètres!$A$1:$I$89,3,0)*VLOOKUP('Données projet'!$B$11,Paramètres!$A$1:$I$89,5,0)</f>
        <v>346.63199999999995</v>
      </c>
      <c r="BF166" s="13">
        <f t="shared" si="167"/>
        <v>80.868615263336864</v>
      </c>
      <c r="BG166" s="20">
        <f t="shared" si="168"/>
        <v>744.56357158364483</v>
      </c>
      <c r="BH166" s="59">
        <f t="shared" si="116"/>
        <v>1036.4159410560474</v>
      </c>
      <c r="BI166" s="59">
        <f ca="1">AVERAGE(OFFSET($BH$3,0,0,'Données projet'!$E$11+1,1))-AVERAGE(OFFSET($H$3,0,0,'Données projet'!$E$11+1,1))</f>
        <v>456.76871853389395</v>
      </c>
      <c r="BJ166" s="59">
        <f t="shared" si="146"/>
        <v>262.12425810289176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42.65508151143846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42.65508151143846</v>
      </c>
      <c r="BT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255.00000000000006</v>
      </c>
      <c r="BZ166" s="13">
        <f>BY166*VLOOKUP('Données projet'!$B$12,Paramètres!$A$1:$I$89,3,0)*VLOOKUP('Données projet'!$B$12,Paramètres!$A$1:$I$89,5,0)</f>
        <v>186.96600000000004</v>
      </c>
      <c r="CA166" s="13">
        <f t="shared" si="170"/>
        <v>46.868551400324648</v>
      </c>
      <c r="CB166" s="20">
        <f t="shared" si="171"/>
        <v>407.26184368889881</v>
      </c>
      <c r="CC166" s="59">
        <f t="shared" si="119"/>
        <v>699.11421316130145</v>
      </c>
      <c r="CD166" s="59">
        <f ca="1">AVERAGE(OFFSET($CC$3,0,0,'Données projet'!$E$12+1,1))-AVERAGE(OFFSET($H$3,0,0,'Données projet'!$E$12+1,1))</f>
        <v>242.65851607945316</v>
      </c>
      <c r="CE166" s="59">
        <f t="shared" si="148"/>
        <v>218.9349999985487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249.0000000000002</v>
      </c>
      <c r="CU166" s="17">
        <f>CT166*VLOOKUP('Données projet'!$B$13,Paramètres!$A$1:$I$89,3,0)*VLOOKUP('Données projet'!$B$13,Paramètres!$A$1:$I$89,5,0)</f>
        <v>217.52640000000019</v>
      </c>
      <c r="CV166" s="13">
        <f t="shared" si="173"/>
        <v>53.576907690651304</v>
      </c>
      <c r="CW166" s="20">
        <f t="shared" si="174"/>
        <v>472.17159422788467</v>
      </c>
      <c r="CX166" s="59">
        <f t="shared" si="122"/>
        <v>764.02396370028737</v>
      </c>
      <c r="CY166" s="59">
        <f ca="1">AVERAGE(OFFSET($CX$3,0,0,'Données projet'!$E$13+1,1))-AVERAGE(OFFSET($H$3,0,0,'Données projet'!$E$13+1,1))</f>
        <v>326.9460696675867</v>
      </c>
      <c r="CZ166" s="59">
        <f t="shared" si="150"/>
        <v>393.4020374592568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9.900513084566402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9.900513084566402</v>
      </c>
      <c r="DJ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349.00000000000017</v>
      </c>
      <c r="DP166" s="17">
        <f>DO166*VLOOKUP('Données projet'!$B$14,Paramètres!$A$1:$I$89,3,0)*VLOOKUP('Données projet'!$B$14,Paramètres!$A$1:$I$89,5,0)</f>
        <v>272.22000000000014</v>
      </c>
      <c r="DQ166" s="13">
        <f t="shared" si="176"/>
        <v>65.320184547527205</v>
      </c>
      <c r="DR166" s="20">
        <f t="shared" si="177"/>
        <v>587.88248808694345</v>
      </c>
      <c r="DS166" s="59">
        <f t="shared" si="125"/>
        <v>879.7348575593461</v>
      </c>
      <c r="DT166" s="59">
        <f ca="1">AVERAGE(OFFSET($DS$3,0,0,'Données projet'!$E$14+1,1))-AVERAGE(OFFSET($H$3,0,0,'Données projet'!$E$14+1,1))</f>
        <v>364.34528546733799</v>
      </c>
      <c r="DU166" s="59">
        <f t="shared" si="152"/>
        <v>346.5839763411152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13.740252095138413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13.740252095138413</v>
      </c>
      <c r="EE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213.98519999999999</v>
      </c>
      <c r="EL166" s="13">
        <f t="shared" si="179"/>
        <v>52.805497044008654</v>
      </c>
      <c r="EM166" s="20">
        <f t="shared" si="180"/>
        <v>464.66046401831505</v>
      </c>
      <c r="EN166" s="59">
        <f t="shared" si="128"/>
        <v>756.51283349071764</v>
      </c>
      <c r="EO166" s="59">
        <f ca="1">AVERAGE(OFFSET($EN$3,0,0,'Données projet'!$E$15+1,1))-AVERAGE(OFFSET($H$3,0,0,'Données projet'!$E$15+1,1))</f>
        <v>310.38232870602445</v>
      </c>
      <c r="EP166" s="59">
        <f t="shared" si="154"/>
        <v>303.45934457265537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8.6632213699819527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8.6632213699819527</v>
      </c>
      <c r="EZ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245.99999999999994</v>
      </c>
      <c r="FF166" s="17">
        <f>FE166*VLOOKUP('Données projet'!$B$16,Paramètres!$A$1:$I$89,3,0)*VLOOKUP('Données projet'!$B$16,Paramètres!$A$1:$I$89,5,0)</f>
        <v>234.09359999999998</v>
      </c>
      <c r="FG166" s="13">
        <f t="shared" si="182"/>
        <v>57.166902703920208</v>
      </c>
      <c r="FH166" s="20">
        <f t="shared" si="183"/>
        <v>507.27870887599425</v>
      </c>
      <c r="FI166" s="59">
        <f t="shared" si="131"/>
        <v>799.13107834839684</v>
      </c>
      <c r="FJ166" s="59">
        <f ca="1">AVERAGE(OFFSET($FI$3,0,0,'Données projet'!$E$16+1,1))-AVERAGE(OFFSET($H$3,0,0,'Données projet'!$E$16+1,1))</f>
        <v>457.706832425622</v>
      </c>
      <c r="FK166" s="59">
        <f t="shared" si="156"/>
        <v>474.61768219844873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30.139305446467411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30.139305446467411</v>
      </c>
      <c r="FU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319</v>
      </c>
      <c r="GA166" s="17">
        <f>FZ166*VLOOKUP('Données projet'!$B$17,Paramètres!$A$1:$I$89,3,0)*VLOOKUP('Données projet'!$B$17,Paramètres!$A$1:$I$89,5,0)</f>
        <v>308.53680000000003</v>
      </c>
      <c r="GB166" s="13">
        <f t="shared" si="185"/>
        <v>72.963171684496103</v>
      </c>
      <c r="GC166" s="20">
        <f t="shared" si="186"/>
        <v>664.4457840171641</v>
      </c>
      <c r="GD166" s="59">
        <f t="shared" si="134"/>
        <v>956.29815348956674</v>
      </c>
      <c r="GE166" s="59">
        <f ca="1">AVERAGE(OFFSET($GD$3,0,0,'Données projet'!$E$17+1,1))-AVERAGE(OFFSET($H$3,0,0,'Données projet'!$E$17+1,1))</f>
        <v>428.11167311086814</v>
      </c>
      <c r="GF166" s="59">
        <f t="shared" si="158"/>
        <v>415.69449942923609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10.134334432809091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10.134334432809091</v>
      </c>
      <c r="GP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1.1368683772161603E-13</v>
      </c>
      <c r="GV166" s="17">
        <f>GU166*VLOOKUP('Données projet'!$B$18,Paramètres!$A$1:$I$89,3,0)*VLOOKUP('Données projet'!$B$18,Paramètres!$A$1:$I$89,5,0)</f>
        <v>6.5087988332379613E-14</v>
      </c>
      <c r="GW166" s="13">
        <f t="shared" si="188"/>
        <v>1.0279249680474958E-12</v>
      </c>
      <c r="GX166" s="20">
        <f t="shared" si="189"/>
        <v>1.9036642323616162E-12</v>
      </c>
      <c r="GY166" s="59">
        <f t="shared" si="137"/>
        <v>291.85236947240452</v>
      </c>
      <c r="GZ166" s="59">
        <f ca="1">AVERAGE(OFFSET($GY$3,0,0,'Données projet'!$E$18+1,1))-AVERAGE(OFFSET($H$3,0,0,'Données projet'!$E$18+1,1))</f>
        <v>249.88816678272056</v>
      </c>
      <c r="HA166" s="59">
        <f t="shared" si="160"/>
        <v>432.10802787437319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5.9626122800354322</v>
      </c>
      <c r="HH166" s="21">
        <f>EXP(-LN(2)/25)*HH165+(1-EXP(-LN(2)/25))/(LN(2)/25)*Calculateur!HC166*Calculateur!HE166*VLOOKUP('Données projet'!$B$18,Paramètres!$A$1:$I$89,3,0)*0.475*44/12</f>
        <v>0.53857244689315398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6.5011847269285861</v>
      </c>
    </row>
    <row r="167" spans="1:218" x14ac:dyDescent="0.3">
      <c r="A167" s="10">
        <f t="shared" si="161"/>
        <v>164</v>
      </c>
      <c r="B167" s="71">
        <f>'Scénario référence'!$B$16*5+'Scénario référence'!$B$17*0+'Scénario référence'!$B$18*5</f>
        <v>1.4000000000000001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5.1333333333333337</v>
      </c>
      <c r="H167" s="65">
        <f t="shared" si="110"/>
        <v>236.13333333333335</v>
      </c>
      <c r="I167" s="6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319</v>
      </c>
      <c r="O167" s="13">
        <f>N167*VLOOKUP('Données projet'!$B$9,Paramètres!$A$1:$I$89,3,0)*VLOOKUP('Données projet'!$B$9,Paramètres!$A$1:$I$89,5,0)</f>
        <v>253.79640000000001</v>
      </c>
      <c r="P167" s="13">
        <f t="shared" si="141"/>
        <v>61.39816832228076</v>
      </c>
      <c r="Q167" s="20">
        <f t="shared" si="162"/>
        <v>548.96387316130563</v>
      </c>
      <c r="R167" s="59">
        <f t="shared" si="109"/>
        <v>840.84193404575626</v>
      </c>
      <c r="S167" s="59">
        <f ca="1">AVERAGE(OFFSET($R$3,0,0,'Données projet'!$E$9+1,1))-AVERAGE(OFFSET($H$3,0,0,'Données projet'!$E$9+1,1))</f>
        <v>360.06385535620069</v>
      </c>
      <c r="T167" s="59">
        <f t="shared" si="142"/>
        <v>350.82516032456408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10.073497326301265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10.073497326301265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277.77359999999993</v>
      </c>
      <c r="AK167" s="13">
        <f t="shared" si="164"/>
        <v>66.496288176842356</v>
      </c>
      <c r="AL167" s="20">
        <f t="shared" si="165"/>
        <v>599.60338857466706</v>
      </c>
      <c r="AM167" s="59">
        <f t="shared" si="113"/>
        <v>891.48144945911758</v>
      </c>
      <c r="AN167" s="59">
        <f ca="1">AVERAGE(OFFSET($AM$3,0,0,'Données projet'!$E$10+1,1))-AVERAGE(OFFSET($H$3,0,0,'Données projet'!$E$10+1,1))</f>
        <v>448.65237942538027</v>
      </c>
      <c r="AO167" s="59">
        <f t="shared" si="144"/>
        <v>283.56749129825107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37.929787240235143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37.929787240235143</v>
      </c>
      <c r="AY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403.99999999999989</v>
      </c>
      <c r="BE167" s="13">
        <f>BD167*VLOOKUP('Données projet'!$B$11,Paramètres!$A$1:$I$89,3,0)*VLOOKUP('Données projet'!$B$11,Paramètres!$A$1:$I$89,5,0)</f>
        <v>346.63199999999995</v>
      </c>
      <c r="BF167" s="13">
        <f t="shared" si="167"/>
        <v>80.868615263336864</v>
      </c>
      <c r="BG167" s="20">
        <f t="shared" si="168"/>
        <v>744.56357158364483</v>
      </c>
      <c r="BH167" s="59">
        <f t="shared" si="116"/>
        <v>1036.4416324680953</v>
      </c>
      <c r="BI167" s="59">
        <f ca="1">AVERAGE(OFFSET($BH$3,0,0,'Données projet'!$E$11+1,1))-AVERAGE(OFFSET($H$3,0,0,'Données projet'!$E$11+1,1))</f>
        <v>456.76871853389395</v>
      </c>
      <c r="BJ167" s="59">
        <f t="shared" si="146"/>
        <v>262.12425810289176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41.818641380029909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41.818641380029909</v>
      </c>
      <c r="BT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255.00000000000006</v>
      </c>
      <c r="BZ167" s="13">
        <f>BY167*VLOOKUP('Données projet'!$B$12,Paramètres!$A$1:$I$89,3,0)*VLOOKUP('Données projet'!$B$12,Paramètres!$A$1:$I$89,5,0)</f>
        <v>186.96600000000004</v>
      </c>
      <c r="CA167" s="13">
        <f t="shared" si="170"/>
        <v>46.868551400324648</v>
      </c>
      <c r="CB167" s="20">
        <f t="shared" si="171"/>
        <v>407.26184368889881</v>
      </c>
      <c r="CC167" s="59">
        <f t="shared" si="119"/>
        <v>699.13990457334944</v>
      </c>
      <c r="CD167" s="59">
        <f ca="1">AVERAGE(OFFSET($CC$3,0,0,'Données projet'!$E$12+1,1))-AVERAGE(OFFSET($H$3,0,0,'Données projet'!$E$12+1,1))</f>
        <v>242.65851607945316</v>
      </c>
      <c r="CE167" s="59">
        <f t="shared" si="148"/>
        <v>218.9349999985487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249.0000000000002</v>
      </c>
      <c r="CU167" s="17">
        <f>CT167*VLOOKUP('Données projet'!$B$13,Paramètres!$A$1:$I$89,3,0)*VLOOKUP('Données projet'!$B$13,Paramètres!$A$1:$I$89,5,0)</f>
        <v>217.52640000000019</v>
      </c>
      <c r="CV167" s="13">
        <f t="shared" si="173"/>
        <v>53.576907690651304</v>
      </c>
      <c r="CW167" s="20">
        <f t="shared" si="174"/>
        <v>472.17159422788467</v>
      </c>
      <c r="CX167" s="59">
        <f t="shared" si="122"/>
        <v>764.04965511233524</v>
      </c>
      <c r="CY167" s="59">
        <f ca="1">AVERAGE(OFFSET($CX$3,0,0,'Données projet'!$E$13+1,1))-AVERAGE(OFFSET($H$3,0,0,'Données projet'!$E$13+1,1))</f>
        <v>326.9460696675867</v>
      </c>
      <c r="CZ167" s="59">
        <f t="shared" si="150"/>
        <v>393.4020374592568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9.7063700616947628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9.7063700616947628</v>
      </c>
      <c r="DJ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349.00000000000017</v>
      </c>
      <c r="DP167" s="17">
        <f>DO167*VLOOKUP('Données projet'!$B$14,Paramètres!$A$1:$I$89,3,0)*VLOOKUP('Données projet'!$B$14,Paramètres!$A$1:$I$89,5,0)</f>
        <v>272.22000000000014</v>
      </c>
      <c r="DQ167" s="13">
        <f t="shared" si="176"/>
        <v>65.320184547527205</v>
      </c>
      <c r="DR167" s="20">
        <f t="shared" si="177"/>
        <v>587.88248808694345</v>
      </c>
      <c r="DS167" s="59">
        <f t="shared" si="125"/>
        <v>879.76054897139397</v>
      </c>
      <c r="DT167" s="59">
        <f ca="1">AVERAGE(OFFSET($DS$3,0,0,'Données projet'!$E$14+1,1))-AVERAGE(OFFSET($H$3,0,0,'Données projet'!$E$14+1,1))</f>
        <v>364.34528546733799</v>
      </c>
      <c r="DU167" s="59">
        <f t="shared" si="152"/>
        <v>346.5839763411152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13.470814132278999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13.470814132278999</v>
      </c>
      <c r="EE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213.98519999999999</v>
      </c>
      <c r="EL167" s="13">
        <f t="shared" si="179"/>
        <v>52.805497044008654</v>
      </c>
      <c r="EM167" s="20">
        <f t="shared" si="180"/>
        <v>464.66046401831505</v>
      </c>
      <c r="EN167" s="59">
        <f t="shared" si="128"/>
        <v>756.53852490276563</v>
      </c>
      <c r="EO167" s="59">
        <f ca="1">AVERAGE(OFFSET($EN$3,0,0,'Données projet'!$E$15+1,1))-AVERAGE(OFFSET($H$3,0,0,'Données projet'!$E$15+1,1))</f>
        <v>310.38232870602445</v>
      </c>
      <c r="EP167" s="59">
        <f t="shared" si="154"/>
        <v>303.45934457265537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8.4933408829598864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8.4933408829598864</v>
      </c>
      <c r="EZ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245.99999999999994</v>
      </c>
      <c r="FF167" s="17">
        <f>FE167*VLOOKUP('Données projet'!$B$16,Paramètres!$A$1:$I$89,3,0)*VLOOKUP('Données projet'!$B$16,Paramètres!$A$1:$I$89,5,0)</f>
        <v>234.09359999999998</v>
      </c>
      <c r="FG167" s="13">
        <f t="shared" si="182"/>
        <v>57.166902703920208</v>
      </c>
      <c r="FH167" s="20">
        <f t="shared" si="183"/>
        <v>507.27870887599425</v>
      </c>
      <c r="FI167" s="59">
        <f t="shared" si="131"/>
        <v>799.15676976044483</v>
      </c>
      <c r="FJ167" s="59">
        <f ca="1">AVERAGE(OFFSET($FI$3,0,0,'Données projet'!$E$16+1,1))-AVERAGE(OFFSET($H$3,0,0,'Données projet'!$E$16+1,1))</f>
        <v>457.706832425622</v>
      </c>
      <c r="FK167" s="59">
        <f t="shared" si="156"/>
        <v>474.61768219844873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29.548292049823321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29.548292049823321</v>
      </c>
      <c r="FU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319</v>
      </c>
      <c r="GA167" s="17">
        <f>FZ167*VLOOKUP('Données projet'!$B$17,Paramètres!$A$1:$I$89,3,0)*VLOOKUP('Données projet'!$B$17,Paramètres!$A$1:$I$89,5,0)</f>
        <v>308.53680000000003</v>
      </c>
      <c r="GB167" s="13">
        <f t="shared" si="185"/>
        <v>72.963171684496103</v>
      </c>
      <c r="GC167" s="20">
        <f t="shared" si="186"/>
        <v>664.4457840171641</v>
      </c>
      <c r="GD167" s="59">
        <f t="shared" si="134"/>
        <v>956.32384490161462</v>
      </c>
      <c r="GE167" s="59">
        <f ca="1">AVERAGE(OFFSET($GD$3,0,0,'Données projet'!$E$17+1,1))-AVERAGE(OFFSET($H$3,0,0,'Données projet'!$E$17+1,1))</f>
        <v>428.11167311086814</v>
      </c>
      <c r="GF167" s="59">
        <f t="shared" si="158"/>
        <v>415.69449942923609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9.9356063159153525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9.9356063159153525</v>
      </c>
      <c r="GP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1.1368683772161603E-13</v>
      </c>
      <c r="GV167" s="17">
        <f>GU167*VLOOKUP('Données projet'!$B$18,Paramètres!$A$1:$I$89,3,0)*VLOOKUP('Données projet'!$B$18,Paramètres!$A$1:$I$89,5,0)</f>
        <v>6.5087988332379613E-14</v>
      </c>
      <c r="GW167" s="13">
        <f t="shared" si="188"/>
        <v>1.0279249680474958E-12</v>
      </c>
      <c r="GX167" s="20">
        <f t="shared" si="189"/>
        <v>1.9036642323616162E-12</v>
      </c>
      <c r="GY167" s="59">
        <f t="shared" si="137"/>
        <v>291.87806088445245</v>
      </c>
      <c r="GZ167" s="59">
        <f ca="1">AVERAGE(OFFSET($GY$3,0,0,'Données projet'!$E$18+1,1))-AVERAGE(OFFSET($H$3,0,0,'Données projet'!$E$18+1,1))</f>
        <v>249.88816678272056</v>
      </c>
      <c r="HA167" s="59">
        <f t="shared" si="160"/>
        <v>432.10802787437319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5.8456890900583209</v>
      </c>
      <c r="HH167" s="21">
        <f>EXP(-LN(2)/25)*HH166+(1-EXP(-LN(2)/25))/(LN(2)/25)*Calculateur!HC167*Calculateur!HE167*VLOOKUP('Données projet'!$B$18,Paramètres!$A$1:$I$89,3,0)*0.475*44/12</f>
        <v>0.52384515501056661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6.3695342450688877</v>
      </c>
    </row>
    <row r="168" spans="1:218" x14ac:dyDescent="0.3">
      <c r="A168" s="10">
        <f t="shared" si="161"/>
        <v>165</v>
      </c>
      <c r="B168" s="71">
        <f>'Scénario référence'!$B$16*5+'Scénario référence'!$B$17*0+'Scénario référence'!$B$18*5</f>
        <v>1.4000000000000001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5.1333333333333337</v>
      </c>
      <c r="H168" s="65">
        <f t="shared" si="110"/>
        <v>236.13333333333335</v>
      </c>
      <c r="I168" s="6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319</v>
      </c>
      <c r="O168" s="13">
        <f>N168*VLOOKUP('Données projet'!$B$9,Paramètres!$A$1:$I$89,3,0)*VLOOKUP('Données projet'!$B$9,Paramètres!$A$1:$I$89,5,0)</f>
        <v>253.79640000000001</v>
      </c>
      <c r="P168" s="13">
        <f t="shared" si="141"/>
        <v>61.39816832228076</v>
      </c>
      <c r="Q168" s="20">
        <f t="shared" si="162"/>
        <v>548.96387316130563</v>
      </c>
      <c r="R168" s="59">
        <f t="shared" si="109"/>
        <v>840.86717976924251</v>
      </c>
      <c r="S168" s="59">
        <f ca="1">AVERAGE(OFFSET($R$3,0,0,'Données projet'!$E$9+1,1))-AVERAGE(OFFSET($H$3,0,0,'Données projet'!$E$9+1,1))</f>
        <v>360.06385535620069</v>
      </c>
      <c r="T168" s="59">
        <f t="shared" si="142"/>
        <v>350.82516032456408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9.8759621879591748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9.8759621879591748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277.77359999999993</v>
      </c>
      <c r="AK168" s="13">
        <f t="shared" si="164"/>
        <v>66.496288176842356</v>
      </c>
      <c r="AL168" s="20">
        <f t="shared" si="165"/>
        <v>599.60338857466706</v>
      </c>
      <c r="AM168" s="59">
        <f t="shared" si="113"/>
        <v>891.50669518260406</v>
      </c>
      <c r="AN168" s="59">
        <f ca="1">AVERAGE(OFFSET($AM$3,0,0,'Données projet'!$E$10+1,1))-AVERAGE(OFFSET($H$3,0,0,'Données projet'!$E$10+1,1))</f>
        <v>448.65237942538027</v>
      </c>
      <c r="AO168" s="59">
        <f t="shared" si="144"/>
        <v>283.56749129825107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37.186007247339965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37.186007247339965</v>
      </c>
      <c r="AY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403.99999999999989</v>
      </c>
      <c r="BE168" s="13">
        <f>BD168*VLOOKUP('Données projet'!$B$11,Paramètres!$A$1:$I$89,3,0)*VLOOKUP('Données projet'!$B$11,Paramètres!$A$1:$I$89,5,0)</f>
        <v>346.63199999999995</v>
      </c>
      <c r="BF168" s="13">
        <f t="shared" si="167"/>
        <v>80.868615263336864</v>
      </c>
      <c r="BG168" s="20">
        <f t="shared" si="168"/>
        <v>744.56357158364483</v>
      </c>
      <c r="BH168" s="59">
        <f t="shared" si="116"/>
        <v>1036.4668781915818</v>
      </c>
      <c r="BI168" s="59">
        <f ca="1">AVERAGE(OFFSET($BH$3,0,0,'Données projet'!$E$11+1,1))-AVERAGE(OFFSET($H$3,0,0,'Données projet'!$E$11+1,1))</f>
        <v>456.76871853389395</v>
      </c>
      <c r="BJ168" s="59">
        <f t="shared" si="146"/>
        <v>262.12425810289176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40.99860332942017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40.99860332942017</v>
      </c>
      <c r="BT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255.00000000000006</v>
      </c>
      <c r="BZ168" s="13">
        <f>BY168*VLOOKUP('Données projet'!$B$12,Paramètres!$A$1:$I$89,3,0)*VLOOKUP('Données projet'!$B$12,Paramètres!$A$1:$I$89,5,0)</f>
        <v>186.96600000000004</v>
      </c>
      <c r="CA168" s="13">
        <f t="shared" si="170"/>
        <v>46.868551400324648</v>
      </c>
      <c r="CB168" s="20">
        <f t="shared" si="171"/>
        <v>407.26184368889881</v>
      </c>
      <c r="CC168" s="59">
        <f t="shared" si="119"/>
        <v>699.16515029683569</v>
      </c>
      <c r="CD168" s="59">
        <f ca="1">AVERAGE(OFFSET($CC$3,0,0,'Données projet'!$E$12+1,1))-AVERAGE(OFFSET($H$3,0,0,'Données projet'!$E$12+1,1))</f>
        <v>242.65851607945316</v>
      </c>
      <c r="CE168" s="59">
        <f t="shared" si="148"/>
        <v>218.9349999985487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249.0000000000002</v>
      </c>
      <c r="CU168" s="17">
        <f>CT168*VLOOKUP('Données projet'!$B$13,Paramètres!$A$1:$I$89,3,0)*VLOOKUP('Données projet'!$B$13,Paramètres!$A$1:$I$89,5,0)</f>
        <v>217.52640000000019</v>
      </c>
      <c r="CV168" s="13">
        <f t="shared" si="173"/>
        <v>53.576907690651304</v>
      </c>
      <c r="CW168" s="20">
        <f t="shared" si="174"/>
        <v>472.17159422788467</v>
      </c>
      <c r="CX168" s="59">
        <f t="shared" si="122"/>
        <v>764.07490083582161</v>
      </c>
      <c r="CY168" s="59">
        <f ca="1">AVERAGE(OFFSET($CX$3,0,0,'Données projet'!$E$13+1,1))-AVERAGE(OFFSET($H$3,0,0,'Données projet'!$E$13+1,1))</f>
        <v>326.9460696675867</v>
      </c>
      <c r="CZ168" s="59">
        <f t="shared" si="150"/>
        <v>393.4020374592568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9.5160340650860853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9.5160340650860853</v>
      </c>
      <c r="DJ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349.00000000000017</v>
      </c>
      <c r="DP168" s="17">
        <f>DO168*VLOOKUP('Données projet'!$B$14,Paramètres!$A$1:$I$89,3,0)*VLOOKUP('Données projet'!$B$14,Paramètres!$A$1:$I$89,5,0)</f>
        <v>272.22000000000014</v>
      </c>
      <c r="DQ168" s="13">
        <f t="shared" si="176"/>
        <v>65.320184547527205</v>
      </c>
      <c r="DR168" s="20">
        <f t="shared" si="177"/>
        <v>587.88248808694345</v>
      </c>
      <c r="DS168" s="59">
        <f t="shared" si="125"/>
        <v>879.78579469488045</v>
      </c>
      <c r="DT168" s="59">
        <f ca="1">AVERAGE(OFFSET($DS$3,0,0,'Données projet'!$E$14+1,1))-AVERAGE(OFFSET($H$3,0,0,'Données projet'!$E$14+1,1))</f>
        <v>364.34528546733799</v>
      </c>
      <c r="DU168" s="59">
        <f t="shared" si="152"/>
        <v>346.5839763411152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13.206659683530328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13.206659683530328</v>
      </c>
      <c r="EE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213.98519999999999</v>
      </c>
      <c r="EL168" s="13">
        <f t="shared" si="179"/>
        <v>52.805497044008654</v>
      </c>
      <c r="EM168" s="20">
        <f t="shared" si="180"/>
        <v>464.66046401831505</v>
      </c>
      <c r="EN168" s="59">
        <f t="shared" si="128"/>
        <v>756.56377062625199</v>
      </c>
      <c r="EO168" s="59">
        <f ca="1">AVERAGE(OFFSET($EN$3,0,0,'Données projet'!$E$15+1,1))-AVERAGE(OFFSET($H$3,0,0,'Données projet'!$E$15+1,1))</f>
        <v>310.38232870602445</v>
      </c>
      <c r="EP168" s="59">
        <f t="shared" si="154"/>
        <v>303.45934457265537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8.3267916486714562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8.3267916486714562</v>
      </c>
      <c r="EZ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245.99999999999994</v>
      </c>
      <c r="FF168" s="17">
        <f>FE168*VLOOKUP('Données projet'!$B$16,Paramètres!$A$1:$I$89,3,0)*VLOOKUP('Données projet'!$B$16,Paramètres!$A$1:$I$89,5,0)</f>
        <v>234.09359999999998</v>
      </c>
      <c r="FG168" s="13">
        <f t="shared" si="182"/>
        <v>57.166902703920208</v>
      </c>
      <c r="FH168" s="20">
        <f t="shared" si="183"/>
        <v>507.27870887599425</v>
      </c>
      <c r="FI168" s="59">
        <f t="shared" si="131"/>
        <v>799.1820154839312</v>
      </c>
      <c r="FJ168" s="59">
        <f ca="1">AVERAGE(OFFSET($FI$3,0,0,'Données projet'!$E$16+1,1))-AVERAGE(OFFSET($H$3,0,0,'Données projet'!$E$16+1,1))</f>
        <v>457.706832425622</v>
      </c>
      <c r="FK168" s="59">
        <f t="shared" si="156"/>
        <v>474.61768219844873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28.968868065404845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28.968868065404845</v>
      </c>
      <c r="FU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319</v>
      </c>
      <c r="GA168" s="17">
        <f>FZ168*VLOOKUP('Données projet'!$B$17,Paramètres!$A$1:$I$89,3,0)*VLOOKUP('Données projet'!$B$17,Paramètres!$A$1:$I$89,5,0)</f>
        <v>308.53680000000003</v>
      </c>
      <c r="GB168" s="13">
        <f t="shared" si="185"/>
        <v>72.963171684496103</v>
      </c>
      <c r="GC168" s="20">
        <f t="shared" si="186"/>
        <v>664.4457840171641</v>
      </c>
      <c r="GD168" s="59">
        <f t="shared" si="134"/>
        <v>956.3490906251011</v>
      </c>
      <c r="GE168" s="59">
        <f ca="1">AVERAGE(OFFSET($GD$3,0,0,'Données projet'!$E$17+1,1))-AVERAGE(OFFSET($H$3,0,0,'Données projet'!$E$17+1,1))</f>
        <v>428.11167311086814</v>
      </c>
      <c r="GF168" s="59">
        <f t="shared" si="158"/>
        <v>415.69449942923609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9.7407751361817176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9.7407751361817176</v>
      </c>
      <c r="GP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1.1368683772161603E-13</v>
      </c>
      <c r="GV168" s="17">
        <f>GU168*VLOOKUP('Données projet'!$B$18,Paramètres!$A$1:$I$89,3,0)*VLOOKUP('Données projet'!$B$18,Paramètres!$A$1:$I$89,5,0)</f>
        <v>6.5087988332379613E-14</v>
      </c>
      <c r="GW168" s="13">
        <f t="shared" si="188"/>
        <v>1.0279249680474958E-12</v>
      </c>
      <c r="GX168" s="20">
        <f t="shared" si="189"/>
        <v>1.9036642323616162E-12</v>
      </c>
      <c r="GY168" s="59">
        <f t="shared" si="137"/>
        <v>291.90330660793882</v>
      </c>
      <c r="GZ168" s="59">
        <f ca="1">AVERAGE(OFFSET($GY$3,0,0,'Données projet'!$E$18+1,1))-AVERAGE(OFFSET($H$3,0,0,'Données projet'!$E$18+1,1))</f>
        <v>249.88816678272056</v>
      </c>
      <c r="HA168" s="59">
        <f t="shared" si="160"/>
        <v>432.10802787437319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5.7310586925205564</v>
      </c>
      <c r="HH168" s="21">
        <f>EXP(-LN(2)/25)*HH167+(1-EXP(-LN(2)/25))/(LN(2)/25)*Calculateur!HC168*Calculateur!HE168*VLOOKUP('Données projet'!$B$18,Paramètres!$A$1:$I$89,3,0)*0.475*44/12</f>
        <v>0.50952058169898318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6.2405792742195398</v>
      </c>
    </row>
    <row r="169" spans="1:218" x14ac:dyDescent="0.3">
      <c r="A169" s="10">
        <f t="shared" si="161"/>
        <v>166</v>
      </c>
      <c r="B169" s="71">
        <f>'Scénario référence'!$B$16*5+'Scénario référence'!$B$17*0+'Scénario référence'!$B$18*5</f>
        <v>1.4000000000000001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5.1333333333333337</v>
      </c>
      <c r="H169" s="65">
        <f t="shared" si="110"/>
        <v>236.13333333333335</v>
      </c>
      <c r="I169" s="6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319</v>
      </c>
      <c r="O169" s="13">
        <f>N169*VLOOKUP('Données projet'!$B$9,Paramètres!$A$1:$I$89,3,0)*VLOOKUP('Données projet'!$B$9,Paramètres!$A$1:$I$89,5,0)</f>
        <v>253.79640000000001</v>
      </c>
      <c r="P169" s="13">
        <f t="shared" si="141"/>
        <v>61.39816832228076</v>
      </c>
      <c r="Q169" s="20">
        <f t="shared" si="162"/>
        <v>548.96387316130563</v>
      </c>
      <c r="R169" s="59">
        <f t="shared" si="109"/>
        <v>840.89198753586743</v>
      </c>
      <c r="S169" s="59">
        <f ca="1">AVERAGE(OFFSET($R$3,0,0,'Données projet'!$E$9+1,1))-AVERAGE(OFFSET($H$3,0,0,'Données projet'!$E$9+1,1))</f>
        <v>360.06385535620069</v>
      </c>
      <c r="T169" s="59">
        <f t="shared" si="142"/>
        <v>350.82516032456408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9.6823005931954356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9.6823005931954356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277.77359999999993</v>
      </c>
      <c r="AK169" s="13">
        <f t="shared" si="164"/>
        <v>66.496288176842356</v>
      </c>
      <c r="AL169" s="20">
        <f t="shared" si="165"/>
        <v>599.60338857466706</v>
      </c>
      <c r="AM169" s="59">
        <f t="shared" si="113"/>
        <v>891.53150294922875</v>
      </c>
      <c r="AN169" s="59">
        <f ca="1">AVERAGE(OFFSET($AM$3,0,0,'Données projet'!$E$10+1,1))-AVERAGE(OFFSET($H$3,0,0,'Données projet'!$E$10+1,1))</f>
        <v>448.65237942538027</v>
      </c>
      <c r="AO169" s="59">
        <f t="shared" si="144"/>
        <v>283.56749129825107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36.456812326444464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36.456812326444464</v>
      </c>
      <c r="AY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403.99999999999989</v>
      </c>
      <c r="BE169" s="13">
        <f>BD169*VLOOKUP('Données projet'!$B$11,Paramètres!$A$1:$I$89,3,0)*VLOOKUP('Données projet'!$B$11,Paramètres!$A$1:$I$89,5,0)</f>
        <v>346.63199999999995</v>
      </c>
      <c r="BF169" s="13">
        <f t="shared" si="167"/>
        <v>80.868615263336864</v>
      </c>
      <c r="BG169" s="20">
        <f t="shared" si="168"/>
        <v>744.56357158364483</v>
      </c>
      <c r="BH169" s="59">
        <f t="shared" si="116"/>
        <v>1036.4916859582065</v>
      </c>
      <c r="BI169" s="59">
        <f ca="1">AVERAGE(OFFSET($BH$3,0,0,'Données projet'!$E$11+1,1))-AVERAGE(OFFSET($H$3,0,0,'Données projet'!$E$11+1,1))</f>
        <v>456.76871853389395</v>
      </c>
      <c r="BJ169" s="59">
        <f t="shared" si="146"/>
        <v>262.12425810289176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40.194645724809064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40.194645724809064</v>
      </c>
      <c r="BT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255.00000000000006</v>
      </c>
      <c r="BZ169" s="13">
        <f>BY169*VLOOKUP('Données projet'!$B$12,Paramètres!$A$1:$I$89,3,0)*VLOOKUP('Données projet'!$B$12,Paramètres!$A$1:$I$89,5,0)</f>
        <v>186.96600000000004</v>
      </c>
      <c r="CA169" s="13">
        <f t="shared" si="170"/>
        <v>46.868551400324648</v>
      </c>
      <c r="CB169" s="20">
        <f t="shared" si="171"/>
        <v>407.26184368889881</v>
      </c>
      <c r="CC169" s="59">
        <f t="shared" si="119"/>
        <v>699.18995806346061</v>
      </c>
      <c r="CD169" s="59">
        <f ca="1">AVERAGE(OFFSET($CC$3,0,0,'Données projet'!$E$12+1,1))-AVERAGE(OFFSET($H$3,0,0,'Données projet'!$E$12+1,1))</f>
        <v>242.65851607945316</v>
      </c>
      <c r="CE169" s="59">
        <f t="shared" si="148"/>
        <v>218.9349999985487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249.0000000000002</v>
      </c>
      <c r="CU169" s="17">
        <f>CT169*VLOOKUP('Données projet'!$B$13,Paramètres!$A$1:$I$89,3,0)*VLOOKUP('Données projet'!$B$13,Paramètres!$A$1:$I$89,5,0)</f>
        <v>217.52640000000019</v>
      </c>
      <c r="CV169" s="13">
        <f t="shared" si="173"/>
        <v>53.576907690651304</v>
      </c>
      <c r="CW169" s="20">
        <f t="shared" si="174"/>
        <v>472.17159422788467</v>
      </c>
      <c r="CX169" s="59">
        <f t="shared" si="122"/>
        <v>764.09970860244641</v>
      </c>
      <c r="CY169" s="59">
        <f ca="1">AVERAGE(OFFSET($CX$3,0,0,'Données projet'!$E$13+1,1))-AVERAGE(OFFSET($H$3,0,0,'Données projet'!$E$13+1,1))</f>
        <v>326.9460696675867</v>
      </c>
      <c r="CZ169" s="59">
        <f t="shared" si="150"/>
        <v>393.4020374592568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9.3294304412774096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9.3294304412774096</v>
      </c>
      <c r="DJ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349.00000000000017</v>
      </c>
      <c r="DP169" s="17">
        <f>DO169*VLOOKUP('Données projet'!$B$14,Paramètres!$A$1:$I$89,3,0)*VLOOKUP('Données projet'!$B$14,Paramètres!$A$1:$I$89,5,0)</f>
        <v>272.22000000000014</v>
      </c>
      <c r="DQ169" s="13">
        <f t="shared" si="176"/>
        <v>65.320184547527205</v>
      </c>
      <c r="DR169" s="20">
        <f t="shared" si="177"/>
        <v>587.88248808694345</v>
      </c>
      <c r="DS169" s="59">
        <f t="shared" si="125"/>
        <v>879.81060246150514</v>
      </c>
      <c r="DT169" s="59">
        <f ca="1">AVERAGE(OFFSET($DS$3,0,0,'Données projet'!$E$14+1,1))-AVERAGE(OFFSET($H$3,0,0,'Données projet'!$E$14+1,1))</f>
        <v>364.34528546733799</v>
      </c>
      <c r="DU169" s="59">
        <f t="shared" si="152"/>
        <v>346.5839763411152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12.947685142403314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12.947685142403314</v>
      </c>
      <c r="EE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213.98519999999999</v>
      </c>
      <c r="EL169" s="13">
        <f t="shared" si="179"/>
        <v>52.805497044008654</v>
      </c>
      <c r="EM169" s="20">
        <f t="shared" si="180"/>
        <v>464.66046401831505</v>
      </c>
      <c r="EN169" s="59">
        <f t="shared" si="128"/>
        <v>756.5885783928768</v>
      </c>
      <c r="EO169" s="59">
        <f ca="1">AVERAGE(OFFSET($EN$3,0,0,'Données projet'!$E$15+1,1))-AVERAGE(OFFSET($H$3,0,0,'Données projet'!$E$15+1,1))</f>
        <v>310.38232870602445</v>
      </c>
      <c r="EP169" s="59">
        <f t="shared" si="154"/>
        <v>303.45934457265537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8.1635083432824214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8.1635083432824214</v>
      </c>
      <c r="EZ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245.99999999999994</v>
      </c>
      <c r="FF169" s="17">
        <f>FE169*VLOOKUP('Données projet'!$B$16,Paramètres!$A$1:$I$89,3,0)*VLOOKUP('Données projet'!$B$16,Paramètres!$A$1:$I$89,5,0)</f>
        <v>234.09359999999998</v>
      </c>
      <c r="FG169" s="13">
        <f t="shared" si="182"/>
        <v>57.166902703920208</v>
      </c>
      <c r="FH169" s="20">
        <f t="shared" si="183"/>
        <v>507.27870887599425</v>
      </c>
      <c r="FI169" s="59">
        <f t="shared" si="131"/>
        <v>799.206823250556</v>
      </c>
      <c r="FJ169" s="59">
        <f ca="1">AVERAGE(OFFSET($FI$3,0,0,'Données projet'!$E$16+1,1))-AVERAGE(OFFSET($H$3,0,0,'Données projet'!$E$16+1,1))</f>
        <v>457.706832425622</v>
      </c>
      <c r="FK169" s="59">
        <f t="shared" si="156"/>
        <v>474.61768219844873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28.40080623190708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28.40080623190708</v>
      </c>
      <c r="FU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319</v>
      </c>
      <c r="GA169" s="17">
        <f>FZ169*VLOOKUP('Données projet'!$B$17,Paramètres!$A$1:$I$89,3,0)*VLOOKUP('Données projet'!$B$17,Paramètres!$A$1:$I$89,5,0)</f>
        <v>308.53680000000003</v>
      </c>
      <c r="GB169" s="13">
        <f t="shared" si="185"/>
        <v>72.963171684496103</v>
      </c>
      <c r="GC169" s="20">
        <f t="shared" si="186"/>
        <v>664.4457840171641</v>
      </c>
      <c r="GD169" s="59">
        <f t="shared" si="134"/>
        <v>956.37389839172579</v>
      </c>
      <c r="GE169" s="59">
        <f ca="1">AVERAGE(OFFSET($GD$3,0,0,'Données projet'!$E$17+1,1))-AVERAGE(OFFSET($H$3,0,0,'Données projet'!$E$17+1,1))</f>
        <v>428.11167311086814</v>
      </c>
      <c r="GF169" s="59">
        <f t="shared" si="158"/>
        <v>415.69449942923609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9.5497644770473737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9.5497644770473737</v>
      </c>
      <c r="GP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1.1368683772161603E-13</v>
      </c>
      <c r="GV169" s="17">
        <f>GU169*VLOOKUP('Données projet'!$B$18,Paramètres!$A$1:$I$89,3,0)*VLOOKUP('Données projet'!$B$18,Paramètres!$A$1:$I$89,5,0)</f>
        <v>6.5087988332379613E-14</v>
      </c>
      <c r="GW169" s="13">
        <f t="shared" si="188"/>
        <v>1.0279249680474958E-12</v>
      </c>
      <c r="GX169" s="20">
        <f t="shared" si="189"/>
        <v>1.9036642323616162E-12</v>
      </c>
      <c r="GY169" s="59">
        <f t="shared" si="137"/>
        <v>291.92811437456362</v>
      </c>
      <c r="GZ169" s="59">
        <f ca="1">AVERAGE(OFFSET($GY$3,0,0,'Données projet'!$E$18+1,1))-AVERAGE(OFFSET($H$3,0,0,'Données projet'!$E$18+1,1))</f>
        <v>249.88816678272056</v>
      </c>
      <c r="HA169" s="59">
        <f t="shared" si="160"/>
        <v>432.10802787437319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5.6186761271608692</v>
      </c>
      <c r="HH169" s="21">
        <f>EXP(-LN(2)/25)*HH168+(1-EXP(-LN(2)/25))/(LN(2)/25)*Calculateur!HC169*Calculateur!HE169*VLOOKUP('Données projet'!$B$18,Paramètres!$A$1:$I$89,3,0)*0.475*44/12</f>
        <v>0.49558771459790163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6.1142638417587705</v>
      </c>
    </row>
    <row r="170" spans="1:218" x14ac:dyDescent="0.3">
      <c r="A170" s="10">
        <f t="shared" si="161"/>
        <v>167</v>
      </c>
      <c r="B170" s="71">
        <f>'Scénario référence'!$B$16*5+'Scénario référence'!$B$17*0+'Scénario référence'!$B$18*5</f>
        <v>1.4000000000000001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5.1333333333333337</v>
      </c>
      <c r="H170" s="65">
        <f t="shared" si="110"/>
        <v>236.13333333333335</v>
      </c>
      <c r="I170" s="6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319</v>
      </c>
      <c r="O170" s="13">
        <f>N170*VLOOKUP('Données projet'!$B$9,Paramètres!$A$1:$I$89,3,0)*VLOOKUP('Données projet'!$B$9,Paramètres!$A$1:$I$89,5,0)</f>
        <v>253.79640000000001</v>
      </c>
      <c r="P170" s="13">
        <f t="shared" si="141"/>
        <v>61.39816832228076</v>
      </c>
      <c r="Q170" s="20">
        <f t="shared" si="162"/>
        <v>548.96387316130563</v>
      </c>
      <c r="R170" s="59">
        <f t="shared" si="109"/>
        <v>840.91636494320323</v>
      </c>
      <c r="S170" s="59">
        <f ca="1">AVERAGE(OFFSET($R$3,0,0,'Données projet'!$E$9+1,1))-AVERAGE(OFFSET($H$3,0,0,'Données projet'!$E$9+1,1))</f>
        <v>360.06385535620069</v>
      </c>
      <c r="T170" s="59">
        <f t="shared" si="142"/>
        <v>350.82516032456408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9.4924365841831033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9.4924365841831033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277.77359999999993</v>
      </c>
      <c r="AK170" s="13">
        <f t="shared" si="164"/>
        <v>66.496288176842356</v>
      </c>
      <c r="AL170" s="20">
        <f t="shared" si="165"/>
        <v>599.60338857466706</v>
      </c>
      <c r="AM170" s="59">
        <f t="shared" si="113"/>
        <v>891.55588035656456</v>
      </c>
      <c r="AN170" s="59">
        <f ca="1">AVERAGE(OFFSET($AM$3,0,0,'Données projet'!$E$10+1,1))-AVERAGE(OFFSET($H$3,0,0,'Données projet'!$E$10+1,1))</f>
        <v>448.65237942538027</v>
      </c>
      <c r="AO170" s="59">
        <f t="shared" si="144"/>
        <v>283.56749129825107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35.741916473182741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35.741916473182741</v>
      </c>
      <c r="AY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403.99999999999989</v>
      </c>
      <c r="BE170" s="13">
        <f>BD170*VLOOKUP('Données projet'!$B$11,Paramètres!$A$1:$I$89,3,0)*VLOOKUP('Données projet'!$B$11,Paramètres!$A$1:$I$89,5,0)</f>
        <v>346.63199999999995</v>
      </c>
      <c r="BF170" s="13">
        <f t="shared" si="167"/>
        <v>80.868615263336864</v>
      </c>
      <c r="BG170" s="20">
        <f t="shared" si="168"/>
        <v>744.56357158364483</v>
      </c>
      <c r="BH170" s="59">
        <f t="shared" si="116"/>
        <v>1036.5160633655423</v>
      </c>
      <c r="BI170" s="59">
        <f ca="1">AVERAGE(OFFSET($BH$3,0,0,'Données projet'!$E$11+1,1))-AVERAGE(OFFSET($H$3,0,0,'Données projet'!$E$11+1,1))</f>
        <v>456.76871853389395</v>
      </c>
      <c r="BJ170" s="59">
        <f t="shared" si="146"/>
        <v>262.12425810289176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39.406453238458667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39.406453238458667</v>
      </c>
      <c r="BT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255.00000000000006</v>
      </c>
      <c r="BZ170" s="13">
        <f>BY170*VLOOKUP('Données projet'!$B$12,Paramètres!$A$1:$I$89,3,0)*VLOOKUP('Données projet'!$B$12,Paramètres!$A$1:$I$89,5,0)</f>
        <v>186.96600000000004</v>
      </c>
      <c r="CA170" s="13">
        <f t="shared" si="170"/>
        <v>46.868551400324648</v>
      </c>
      <c r="CB170" s="20">
        <f t="shared" si="171"/>
        <v>407.26184368889881</v>
      </c>
      <c r="CC170" s="59">
        <f t="shared" si="119"/>
        <v>699.21433547079641</v>
      </c>
      <c r="CD170" s="59">
        <f ca="1">AVERAGE(OFFSET($CC$3,0,0,'Données projet'!$E$12+1,1))-AVERAGE(OFFSET($H$3,0,0,'Données projet'!$E$12+1,1))</f>
        <v>242.65851607945316</v>
      </c>
      <c r="CE170" s="59">
        <f t="shared" si="148"/>
        <v>218.9349999985487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249.0000000000002</v>
      </c>
      <c r="CU170" s="17">
        <f>CT170*VLOOKUP('Données projet'!$B$13,Paramètres!$A$1:$I$89,3,0)*VLOOKUP('Données projet'!$B$13,Paramètres!$A$1:$I$89,5,0)</f>
        <v>217.52640000000019</v>
      </c>
      <c r="CV170" s="13">
        <f t="shared" si="173"/>
        <v>53.576907690651304</v>
      </c>
      <c r="CW170" s="20">
        <f t="shared" si="174"/>
        <v>472.17159422788467</v>
      </c>
      <c r="CX170" s="59">
        <f t="shared" si="122"/>
        <v>764.12408600978222</v>
      </c>
      <c r="CY170" s="59">
        <f ca="1">AVERAGE(OFFSET($CX$3,0,0,'Données projet'!$E$13+1,1))-AVERAGE(OFFSET($H$3,0,0,'Données projet'!$E$13+1,1))</f>
        <v>326.9460696675867</v>
      </c>
      <c r="CZ170" s="59">
        <f t="shared" si="150"/>
        <v>393.4020374592568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9.1464860007146491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9.1464860007146491</v>
      </c>
      <c r="DJ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349.00000000000017</v>
      </c>
      <c r="DP170" s="17">
        <f>DO170*VLOOKUP('Données projet'!$B$14,Paramètres!$A$1:$I$89,3,0)*VLOOKUP('Données projet'!$B$14,Paramètres!$A$1:$I$89,5,0)</f>
        <v>272.22000000000014</v>
      </c>
      <c r="DQ170" s="13">
        <f t="shared" si="176"/>
        <v>65.320184547527205</v>
      </c>
      <c r="DR170" s="20">
        <f t="shared" si="177"/>
        <v>587.88248808694345</v>
      </c>
      <c r="DS170" s="59">
        <f t="shared" si="125"/>
        <v>879.83497986884095</v>
      </c>
      <c r="DT170" s="59">
        <f ca="1">AVERAGE(OFFSET($DS$3,0,0,'Données projet'!$E$14+1,1))-AVERAGE(OFFSET($H$3,0,0,'Données projet'!$E$14+1,1))</f>
        <v>364.34528546733799</v>
      </c>
      <c r="DU170" s="59">
        <f t="shared" si="152"/>
        <v>346.5839763411152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12.693788934068927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12.693788934068927</v>
      </c>
      <c r="EE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213.98519999999999</v>
      </c>
      <c r="EL170" s="13">
        <f t="shared" si="179"/>
        <v>52.805497044008654</v>
      </c>
      <c r="EM170" s="20">
        <f t="shared" si="180"/>
        <v>464.66046401831505</v>
      </c>
      <c r="EN170" s="59">
        <f t="shared" si="128"/>
        <v>756.6129558002126</v>
      </c>
      <c r="EO170" s="59">
        <f ca="1">AVERAGE(OFFSET($EN$3,0,0,'Données projet'!$E$15+1,1))-AVERAGE(OFFSET($H$3,0,0,'Données projet'!$E$15+1,1))</f>
        <v>310.38232870602445</v>
      </c>
      <c r="EP170" s="59">
        <f t="shared" si="154"/>
        <v>303.45934457265537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8.0034269239190827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8.0034269239190827</v>
      </c>
      <c r="EZ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245.99999999999994</v>
      </c>
      <c r="FF170" s="17">
        <f>FE170*VLOOKUP('Données projet'!$B$16,Paramètres!$A$1:$I$89,3,0)*VLOOKUP('Données projet'!$B$16,Paramètres!$A$1:$I$89,5,0)</f>
        <v>234.09359999999998</v>
      </c>
      <c r="FG170" s="13">
        <f t="shared" si="182"/>
        <v>57.166902703920208</v>
      </c>
      <c r="FH170" s="20">
        <f t="shared" si="183"/>
        <v>507.27870887599425</v>
      </c>
      <c r="FI170" s="59">
        <f t="shared" si="131"/>
        <v>799.2312006578918</v>
      </c>
      <c r="FJ170" s="59">
        <f ca="1">AVERAGE(OFFSET($FI$3,0,0,'Données projet'!$E$16+1,1))-AVERAGE(OFFSET($H$3,0,0,'Données projet'!$E$16+1,1))</f>
        <v>457.706832425622</v>
      </c>
      <c r="FK170" s="59">
        <f t="shared" si="156"/>
        <v>474.61768219844873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27.843883744480699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27.843883744480699</v>
      </c>
      <c r="FU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319</v>
      </c>
      <c r="GA170" s="17">
        <f>FZ170*VLOOKUP('Données projet'!$B$17,Paramètres!$A$1:$I$89,3,0)*VLOOKUP('Données projet'!$B$17,Paramètres!$A$1:$I$89,5,0)</f>
        <v>308.53680000000003</v>
      </c>
      <c r="GB170" s="13">
        <f t="shared" si="185"/>
        <v>72.963171684496103</v>
      </c>
      <c r="GC170" s="20">
        <f t="shared" si="186"/>
        <v>664.4457840171641</v>
      </c>
      <c r="GD170" s="59">
        <f t="shared" si="134"/>
        <v>956.39827579906159</v>
      </c>
      <c r="GE170" s="59">
        <f ca="1">AVERAGE(OFFSET($GD$3,0,0,'Données projet'!$E$17+1,1))-AVERAGE(OFFSET($H$3,0,0,'Données projet'!$E$17+1,1))</f>
        <v>428.11167311086814</v>
      </c>
      <c r="GF170" s="59">
        <f t="shared" si="158"/>
        <v>415.69449942923609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9.3624994204336556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9.3624994204336556</v>
      </c>
      <c r="GP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1.1368683772161603E-13</v>
      </c>
      <c r="GV170" s="17">
        <f>GU170*VLOOKUP('Données projet'!$B$18,Paramètres!$A$1:$I$89,3,0)*VLOOKUP('Données projet'!$B$18,Paramètres!$A$1:$I$89,5,0)</f>
        <v>6.5087988332379613E-14</v>
      </c>
      <c r="GW170" s="13">
        <f t="shared" si="188"/>
        <v>1.0279249680474958E-12</v>
      </c>
      <c r="GX170" s="20">
        <f t="shared" si="189"/>
        <v>1.9036642323616162E-12</v>
      </c>
      <c r="GY170" s="59">
        <f t="shared" si="137"/>
        <v>291.95249178189943</v>
      </c>
      <c r="GZ170" s="59">
        <f ca="1">AVERAGE(OFFSET($GY$3,0,0,'Données projet'!$E$18+1,1))-AVERAGE(OFFSET($H$3,0,0,'Données projet'!$E$18+1,1))</f>
        <v>249.88816678272056</v>
      </c>
      <c r="HA170" s="59">
        <f t="shared" si="160"/>
        <v>432.10802787437319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5.5084973153612884</v>
      </c>
      <c r="HH170" s="21">
        <f>EXP(-LN(2)/25)*HH169+(1-EXP(-LN(2)/25))/(LN(2)/25)*Calculateur!HC170*Calculateur!HE170*VLOOKUP('Données projet'!$B$18,Paramètres!$A$1:$I$89,3,0)*0.475*44/12</f>
        <v>0.48203584248039677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5.9905331578416856</v>
      </c>
    </row>
    <row r="171" spans="1:218" x14ac:dyDescent="0.3">
      <c r="A171" s="10">
        <f t="shared" si="161"/>
        <v>168</v>
      </c>
      <c r="B171" s="71">
        <f>'Scénario référence'!$B$16*5+'Scénario référence'!$B$17*0+'Scénario référence'!$B$18*5</f>
        <v>1.4000000000000001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5.1333333333333337</v>
      </c>
      <c r="H171" s="65">
        <f t="shared" si="110"/>
        <v>236.13333333333335</v>
      </c>
      <c r="I171" s="6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319</v>
      </c>
      <c r="O171" s="13">
        <f>N171*VLOOKUP('Données projet'!$B$9,Paramètres!$A$1:$I$89,3,0)*VLOOKUP('Données projet'!$B$9,Paramètres!$A$1:$I$89,5,0)</f>
        <v>253.79640000000001</v>
      </c>
      <c r="P171" s="13">
        <f t="shared" si="141"/>
        <v>61.39816832228076</v>
      </c>
      <c r="Q171" s="20">
        <f t="shared" si="162"/>
        <v>548.96387316130563</v>
      </c>
      <c r="R171" s="59">
        <f t="shared" si="109"/>
        <v>840.94031945702136</v>
      </c>
      <c r="S171" s="59">
        <f ca="1">AVERAGE(OFFSET($R$3,0,0,'Données projet'!$E$9+1,1))-AVERAGE(OFFSET($H$3,0,0,'Données projet'!$E$9+1,1))</f>
        <v>360.06385535620069</v>
      </c>
      <c r="T171" s="59">
        <f t="shared" si="142"/>
        <v>350.82516032456408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9.3062956925818927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9.3062956925818927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277.77359999999993</v>
      </c>
      <c r="AK171" s="13">
        <f t="shared" si="164"/>
        <v>66.496288176842356</v>
      </c>
      <c r="AL171" s="20">
        <f t="shared" si="165"/>
        <v>599.60338857466706</v>
      </c>
      <c r="AM171" s="59">
        <f t="shared" si="113"/>
        <v>891.57983487038268</v>
      </c>
      <c r="AN171" s="59">
        <f ca="1">AVERAGE(OFFSET($AM$3,0,0,'Données projet'!$E$10+1,1))-AVERAGE(OFFSET($H$3,0,0,'Données projet'!$E$10+1,1))</f>
        <v>448.65237942538027</v>
      </c>
      <c r="AO171" s="59">
        <f t="shared" si="144"/>
        <v>283.56749129825107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35.041039291560061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35.041039291560061</v>
      </c>
      <c r="AY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403.99999999999989</v>
      </c>
      <c r="BE171" s="13">
        <f>BD171*VLOOKUP('Données projet'!$B$11,Paramètres!$A$1:$I$89,3,0)*VLOOKUP('Données projet'!$B$11,Paramètres!$A$1:$I$89,5,0)</f>
        <v>346.63199999999995</v>
      </c>
      <c r="BF171" s="13">
        <f t="shared" si="167"/>
        <v>80.868615263336864</v>
      </c>
      <c r="BG171" s="20">
        <f t="shared" si="168"/>
        <v>744.56357158364483</v>
      </c>
      <c r="BH171" s="59">
        <f t="shared" si="116"/>
        <v>1036.5400178793604</v>
      </c>
      <c r="BI171" s="59">
        <f ca="1">AVERAGE(OFFSET($BH$3,0,0,'Données projet'!$E$11+1,1))-AVERAGE(OFFSET($H$3,0,0,'Données projet'!$E$11+1,1))</f>
        <v>456.76871853389395</v>
      </c>
      <c r="BJ171" s="59">
        <f t="shared" si="146"/>
        <v>262.12425810289176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38.633716726015656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38.633716726015656</v>
      </c>
      <c r="BT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255.00000000000006</v>
      </c>
      <c r="BZ171" s="13">
        <f>BY171*VLOOKUP('Données projet'!$B$12,Paramètres!$A$1:$I$89,3,0)*VLOOKUP('Données projet'!$B$12,Paramètres!$A$1:$I$89,5,0)</f>
        <v>186.96600000000004</v>
      </c>
      <c r="CA171" s="13">
        <f t="shared" si="170"/>
        <v>46.868551400324648</v>
      </c>
      <c r="CB171" s="20">
        <f t="shared" si="171"/>
        <v>407.26184368889881</v>
      </c>
      <c r="CC171" s="59">
        <f t="shared" si="119"/>
        <v>699.23828998461454</v>
      </c>
      <c r="CD171" s="59">
        <f ca="1">AVERAGE(OFFSET($CC$3,0,0,'Données projet'!$E$12+1,1))-AVERAGE(OFFSET($H$3,0,0,'Données projet'!$E$12+1,1))</f>
        <v>242.65851607945316</v>
      </c>
      <c r="CE171" s="59">
        <f t="shared" si="148"/>
        <v>218.9349999985487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249.0000000000002</v>
      </c>
      <c r="CU171" s="17">
        <f>CT171*VLOOKUP('Données projet'!$B$13,Paramètres!$A$1:$I$89,3,0)*VLOOKUP('Données projet'!$B$13,Paramètres!$A$1:$I$89,5,0)</f>
        <v>217.52640000000019</v>
      </c>
      <c r="CV171" s="13">
        <f t="shared" si="173"/>
        <v>53.576907690651304</v>
      </c>
      <c r="CW171" s="20">
        <f t="shared" si="174"/>
        <v>472.17159422788467</v>
      </c>
      <c r="CX171" s="59">
        <f t="shared" si="122"/>
        <v>764.14804052360034</v>
      </c>
      <c r="CY171" s="59">
        <f ca="1">AVERAGE(OFFSET($CX$3,0,0,'Données projet'!$E$13+1,1))-AVERAGE(OFFSET($H$3,0,0,'Données projet'!$E$13+1,1))</f>
        <v>326.9460696675867</v>
      </c>
      <c r="CZ171" s="59">
        <f t="shared" si="150"/>
        <v>393.4020374592568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8.967128989046234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8.967128989046234</v>
      </c>
      <c r="DJ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349.00000000000017</v>
      </c>
      <c r="DP171" s="17">
        <f>DO171*VLOOKUP('Données projet'!$B$14,Paramètres!$A$1:$I$89,3,0)*VLOOKUP('Données projet'!$B$14,Paramètres!$A$1:$I$89,5,0)</f>
        <v>272.22000000000014</v>
      </c>
      <c r="DQ171" s="13">
        <f t="shared" si="176"/>
        <v>65.320184547527205</v>
      </c>
      <c r="DR171" s="20">
        <f t="shared" si="177"/>
        <v>587.88248808694345</v>
      </c>
      <c r="DS171" s="59">
        <f t="shared" si="125"/>
        <v>879.85893438265907</v>
      </c>
      <c r="DT171" s="59">
        <f ca="1">AVERAGE(OFFSET($DS$3,0,0,'Données projet'!$E$14+1,1))-AVERAGE(OFFSET($H$3,0,0,'Données projet'!$E$14+1,1))</f>
        <v>364.34528546733799</v>
      </c>
      <c r="DU171" s="59">
        <f t="shared" si="152"/>
        <v>346.5839763411152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12.444871475518582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12.444871475518582</v>
      </c>
      <c r="EE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213.98519999999999</v>
      </c>
      <c r="EL171" s="13">
        <f t="shared" si="179"/>
        <v>52.805497044008654</v>
      </c>
      <c r="EM171" s="20">
        <f t="shared" si="180"/>
        <v>464.66046401831505</v>
      </c>
      <c r="EN171" s="59">
        <f t="shared" si="128"/>
        <v>756.63691031403073</v>
      </c>
      <c r="EO171" s="59">
        <f ca="1">AVERAGE(OFFSET($EN$3,0,0,'Données projet'!$E$15+1,1))-AVERAGE(OFFSET($H$3,0,0,'Données projet'!$E$15+1,1))</f>
        <v>310.38232870602445</v>
      </c>
      <c r="EP171" s="59">
        <f t="shared" si="154"/>
        <v>303.45934457265537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7.8464846035494347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7.8464846035494347</v>
      </c>
      <c r="EZ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245.99999999999994</v>
      </c>
      <c r="FF171" s="17">
        <f>FE171*VLOOKUP('Données projet'!$B$16,Paramètres!$A$1:$I$89,3,0)*VLOOKUP('Données projet'!$B$16,Paramètres!$A$1:$I$89,5,0)</f>
        <v>234.09359999999998</v>
      </c>
      <c r="FG171" s="13">
        <f t="shared" si="182"/>
        <v>57.166902703920208</v>
      </c>
      <c r="FH171" s="20">
        <f t="shared" si="183"/>
        <v>507.27870887599425</v>
      </c>
      <c r="FI171" s="59">
        <f t="shared" si="131"/>
        <v>799.25515517170993</v>
      </c>
      <c r="FJ171" s="59">
        <f ca="1">AVERAGE(OFFSET($FI$3,0,0,'Données projet'!$E$16+1,1))-AVERAGE(OFFSET($H$3,0,0,'Données projet'!$E$16+1,1))</f>
        <v>457.706832425622</v>
      </c>
      <c r="FK171" s="59">
        <f t="shared" si="156"/>
        <v>474.61768219844873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27.297882167343577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27.297882167343577</v>
      </c>
      <c r="FU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319</v>
      </c>
      <c r="GA171" s="17">
        <f>FZ171*VLOOKUP('Données projet'!$B$17,Paramètres!$A$1:$I$89,3,0)*VLOOKUP('Données projet'!$B$17,Paramètres!$A$1:$I$89,5,0)</f>
        <v>308.53680000000003</v>
      </c>
      <c r="GB171" s="13">
        <f t="shared" si="185"/>
        <v>72.963171684496103</v>
      </c>
      <c r="GC171" s="20">
        <f t="shared" si="186"/>
        <v>664.4457840171641</v>
      </c>
      <c r="GD171" s="59">
        <f t="shared" si="134"/>
        <v>956.42223031287972</v>
      </c>
      <c r="GE171" s="59">
        <f ca="1">AVERAGE(OFFSET($GD$3,0,0,'Données projet'!$E$17+1,1))-AVERAGE(OFFSET($H$3,0,0,'Données projet'!$E$17+1,1))</f>
        <v>428.11167311086814</v>
      </c>
      <c r="GF171" s="59">
        <f t="shared" si="158"/>
        <v>415.69449942923609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9.1789065173597262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9.1789065173597262</v>
      </c>
      <c r="GP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1.1368683772161603E-13</v>
      </c>
      <c r="GV171" s="17">
        <f>GU171*VLOOKUP('Données projet'!$B$18,Paramètres!$A$1:$I$89,3,0)*VLOOKUP('Données projet'!$B$18,Paramètres!$A$1:$I$89,5,0)</f>
        <v>6.5087988332379613E-14</v>
      </c>
      <c r="GW171" s="13">
        <f t="shared" si="188"/>
        <v>1.0279249680474958E-12</v>
      </c>
      <c r="GX171" s="20">
        <f t="shared" si="189"/>
        <v>1.9036642323616162E-12</v>
      </c>
      <c r="GY171" s="59">
        <f t="shared" si="137"/>
        <v>291.97644629571755</v>
      </c>
      <c r="GZ171" s="59">
        <f ca="1">AVERAGE(OFFSET($GY$3,0,0,'Données projet'!$E$18+1,1))-AVERAGE(OFFSET($H$3,0,0,'Données projet'!$E$18+1,1))</f>
        <v>249.88816678272056</v>
      </c>
      <c r="HA171" s="59">
        <f t="shared" si="160"/>
        <v>432.10802787437319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5.4004790428586578</v>
      </c>
      <c r="HH171" s="21">
        <f>EXP(-LN(2)/25)*HH170+(1-EXP(-LN(2)/25))/(LN(2)/25)*Calculateur!HC171*Calculateur!HE171*VLOOKUP('Données projet'!$B$18,Paramètres!$A$1:$I$89,3,0)*0.475*44/12</f>
        <v>0.46885454701860707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5.8693335898772645</v>
      </c>
    </row>
    <row r="172" spans="1:218" x14ac:dyDescent="0.3">
      <c r="A172" s="10">
        <f t="shared" si="161"/>
        <v>169</v>
      </c>
      <c r="B172" s="71">
        <f>'Scénario référence'!$B$16*5+'Scénario référence'!$B$17*0+'Scénario référence'!$B$18*5</f>
        <v>1.4000000000000001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5.1333333333333337</v>
      </c>
      <c r="H172" s="65">
        <f t="shared" si="110"/>
        <v>236.13333333333335</v>
      </c>
      <c r="I172" s="6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319</v>
      </c>
      <c r="O172" s="13">
        <f>N172*VLOOKUP('Données projet'!$B$9,Paramètres!$A$1:$I$89,3,0)*VLOOKUP('Données projet'!$B$9,Paramètres!$A$1:$I$89,5,0)</f>
        <v>253.79640000000001</v>
      </c>
      <c r="P172" s="13">
        <f t="shared" si="141"/>
        <v>61.39816832228076</v>
      </c>
      <c r="Q172" s="20">
        <f t="shared" si="162"/>
        <v>548.96387316130563</v>
      </c>
      <c r="R172" s="59">
        <f t="shared" si="109"/>
        <v>840.96385841357892</v>
      </c>
      <c r="S172" s="59">
        <f ca="1">AVERAGE(OFFSET($R$3,0,0,'Données projet'!$E$9+1,1))-AVERAGE(OFFSET($H$3,0,0,'Données projet'!$E$9+1,1))</f>
        <v>360.06385535620069</v>
      </c>
      <c r="T172" s="59">
        <f t="shared" si="142"/>
        <v>350.82516032456408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9.1238049103302483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9.1238049103302483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277.77359999999993</v>
      </c>
      <c r="AK172" s="13">
        <f t="shared" si="164"/>
        <v>66.496288176842356</v>
      </c>
      <c r="AL172" s="20">
        <f t="shared" si="165"/>
        <v>599.60338857466706</v>
      </c>
      <c r="AM172" s="59">
        <f t="shared" si="113"/>
        <v>891.60337382694047</v>
      </c>
      <c r="AN172" s="59">
        <f ca="1">AVERAGE(OFFSET($AM$3,0,0,'Données projet'!$E$10+1,1))-AVERAGE(OFFSET($H$3,0,0,'Données projet'!$E$10+1,1))</f>
        <v>448.65237942538027</v>
      </c>
      <c r="AO172" s="59">
        <f t="shared" si="144"/>
        <v>283.56749129825107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34.353905883976132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34.353905883976132</v>
      </c>
      <c r="AY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403.99999999999989</v>
      </c>
      <c r="BE172" s="13">
        <f>BD172*VLOOKUP('Données projet'!$B$11,Paramètres!$A$1:$I$89,3,0)*VLOOKUP('Données projet'!$B$11,Paramètres!$A$1:$I$89,5,0)</f>
        <v>346.63199999999995</v>
      </c>
      <c r="BF172" s="13">
        <f t="shared" si="167"/>
        <v>80.868615263336864</v>
      </c>
      <c r="BG172" s="20">
        <f t="shared" si="168"/>
        <v>744.56357158364483</v>
      </c>
      <c r="BH172" s="59">
        <f t="shared" si="116"/>
        <v>1036.5635568359182</v>
      </c>
      <c r="BI172" s="59">
        <f ca="1">AVERAGE(OFFSET($BH$3,0,0,'Données projet'!$E$11+1,1))-AVERAGE(OFFSET($H$3,0,0,'Données projet'!$E$11+1,1))</f>
        <v>456.76871853389395</v>
      </c>
      <c r="BJ172" s="59">
        <f t="shared" si="146"/>
        <v>262.12425810289176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37.876133105258916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37.876133105258916</v>
      </c>
      <c r="BT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255.00000000000006</v>
      </c>
      <c r="BZ172" s="13">
        <f>BY172*VLOOKUP('Données projet'!$B$12,Paramètres!$A$1:$I$89,3,0)*VLOOKUP('Données projet'!$B$12,Paramètres!$A$1:$I$89,5,0)</f>
        <v>186.96600000000004</v>
      </c>
      <c r="CA172" s="13">
        <f t="shared" si="170"/>
        <v>46.868551400324648</v>
      </c>
      <c r="CB172" s="20">
        <f t="shared" si="171"/>
        <v>407.26184368889881</v>
      </c>
      <c r="CC172" s="59">
        <f t="shared" si="119"/>
        <v>699.2618289411721</v>
      </c>
      <c r="CD172" s="59">
        <f ca="1">AVERAGE(OFFSET($CC$3,0,0,'Données projet'!$E$12+1,1))-AVERAGE(OFFSET($H$3,0,0,'Données projet'!$E$12+1,1))</f>
        <v>242.65851607945316</v>
      </c>
      <c r="CE172" s="59">
        <f t="shared" si="148"/>
        <v>218.9349999985487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249.0000000000002</v>
      </c>
      <c r="CU172" s="17">
        <f>CT172*VLOOKUP('Données projet'!$B$13,Paramètres!$A$1:$I$89,3,0)*VLOOKUP('Données projet'!$B$13,Paramètres!$A$1:$I$89,5,0)</f>
        <v>217.52640000000019</v>
      </c>
      <c r="CV172" s="13">
        <f t="shared" si="173"/>
        <v>53.576907690651304</v>
      </c>
      <c r="CW172" s="20">
        <f t="shared" si="174"/>
        <v>472.17159422788467</v>
      </c>
      <c r="CX172" s="59">
        <f t="shared" si="122"/>
        <v>764.17157948015802</v>
      </c>
      <c r="CY172" s="59">
        <f ca="1">AVERAGE(OFFSET($CX$3,0,0,'Données projet'!$E$13+1,1))-AVERAGE(OFFSET($H$3,0,0,'Données projet'!$E$13+1,1))</f>
        <v>326.9460696675867</v>
      </c>
      <c r="CZ172" s="59">
        <f t="shared" si="150"/>
        <v>393.4020374592568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8.7912890589796611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8.7912890589796611</v>
      </c>
      <c r="DJ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349.00000000000017</v>
      </c>
      <c r="DP172" s="17">
        <f>DO172*VLOOKUP('Données projet'!$B$14,Paramètres!$A$1:$I$89,3,0)*VLOOKUP('Données projet'!$B$14,Paramètres!$A$1:$I$89,5,0)</f>
        <v>272.22000000000014</v>
      </c>
      <c r="DQ172" s="13">
        <f t="shared" si="176"/>
        <v>65.320184547527205</v>
      </c>
      <c r="DR172" s="20">
        <f t="shared" si="177"/>
        <v>587.88248808694345</v>
      </c>
      <c r="DS172" s="59">
        <f t="shared" si="125"/>
        <v>879.88247333921686</v>
      </c>
      <c r="DT172" s="59">
        <f ca="1">AVERAGE(OFFSET($DS$3,0,0,'Données projet'!$E$14+1,1))-AVERAGE(OFFSET($H$3,0,0,'Données projet'!$E$14+1,1))</f>
        <v>364.34528546733799</v>
      </c>
      <c r="DU172" s="59">
        <f t="shared" si="152"/>
        <v>346.5839763411152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12.20083513650575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12.20083513650575</v>
      </c>
      <c r="EE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213.98519999999999</v>
      </c>
      <c r="EL172" s="13">
        <f t="shared" si="179"/>
        <v>52.805497044008654</v>
      </c>
      <c r="EM172" s="20">
        <f t="shared" si="180"/>
        <v>464.66046401831505</v>
      </c>
      <c r="EN172" s="59">
        <f t="shared" si="128"/>
        <v>756.6604492705884</v>
      </c>
      <c r="EO172" s="59">
        <f ca="1">AVERAGE(OFFSET($EN$3,0,0,'Données projet'!$E$15+1,1))-AVERAGE(OFFSET($H$3,0,0,'Données projet'!$E$15+1,1))</f>
        <v>310.38232870602445</v>
      </c>
      <c r="EP172" s="59">
        <f t="shared" si="154"/>
        <v>303.45934457265537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7.6926198263568715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7.6926198263568715</v>
      </c>
      <c r="EZ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245.99999999999994</v>
      </c>
      <c r="FF172" s="17">
        <f>FE172*VLOOKUP('Données projet'!$B$16,Paramètres!$A$1:$I$89,3,0)*VLOOKUP('Données projet'!$B$16,Paramètres!$A$1:$I$89,5,0)</f>
        <v>234.09359999999998</v>
      </c>
      <c r="FG172" s="13">
        <f t="shared" si="182"/>
        <v>57.166902703920208</v>
      </c>
      <c r="FH172" s="20">
        <f t="shared" si="183"/>
        <v>507.27870887599425</v>
      </c>
      <c r="FI172" s="59">
        <f t="shared" si="131"/>
        <v>799.2786941282676</v>
      </c>
      <c r="FJ172" s="59">
        <f ca="1">AVERAGE(OFFSET($FI$3,0,0,'Données projet'!$E$16+1,1))-AVERAGE(OFFSET($H$3,0,0,'Données projet'!$E$16+1,1))</f>
        <v>457.706832425622</v>
      </c>
      <c r="FK172" s="59">
        <f t="shared" si="156"/>
        <v>474.61768219844873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26.762587348106035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26.762587348106035</v>
      </c>
      <c r="FU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319</v>
      </c>
      <c r="GA172" s="17">
        <f>FZ172*VLOOKUP('Données projet'!$B$17,Paramètres!$A$1:$I$89,3,0)*VLOOKUP('Données projet'!$B$17,Paramètres!$A$1:$I$89,5,0)</f>
        <v>308.53680000000003</v>
      </c>
      <c r="GB172" s="13">
        <f t="shared" si="185"/>
        <v>72.963171684496103</v>
      </c>
      <c r="GC172" s="20">
        <f t="shared" si="186"/>
        <v>664.4457840171641</v>
      </c>
      <c r="GD172" s="59">
        <f t="shared" si="134"/>
        <v>956.44576926943751</v>
      </c>
      <c r="GE172" s="59">
        <f ca="1">AVERAGE(OFFSET($GD$3,0,0,'Données projet'!$E$17+1,1))-AVERAGE(OFFSET($H$3,0,0,'Données projet'!$E$17+1,1))</f>
        <v>428.11167311086814</v>
      </c>
      <c r="GF172" s="59">
        <f t="shared" si="158"/>
        <v>415.69449942923609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8.9989137591344637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8.9989137591344637</v>
      </c>
      <c r="GP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1.1368683772161603E-13</v>
      </c>
      <c r="GV172" s="17">
        <f>GU172*VLOOKUP('Données projet'!$B$18,Paramètres!$A$1:$I$89,3,0)*VLOOKUP('Données projet'!$B$18,Paramètres!$A$1:$I$89,5,0)</f>
        <v>6.5087988332379613E-14</v>
      </c>
      <c r="GW172" s="13">
        <f t="shared" si="188"/>
        <v>1.0279249680474958E-12</v>
      </c>
      <c r="GX172" s="20">
        <f t="shared" si="189"/>
        <v>1.9036642323616162E-12</v>
      </c>
      <c r="GY172" s="59">
        <f t="shared" si="137"/>
        <v>291.99998525227522</v>
      </c>
      <c r="GZ172" s="59">
        <f ca="1">AVERAGE(OFFSET($GY$3,0,0,'Données projet'!$E$18+1,1))-AVERAGE(OFFSET($H$3,0,0,'Données projet'!$E$18+1,1))</f>
        <v>249.88816678272056</v>
      </c>
      <c r="HA172" s="59">
        <f t="shared" si="160"/>
        <v>432.10802787437319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5.2945789427951633</v>
      </c>
      <c r="HH172" s="21">
        <f>EXP(-LN(2)/25)*HH171+(1-EXP(-LN(2)/25))/(LN(2)/25)*Calculateur!HC172*Calculateur!HE172*VLOOKUP('Données projet'!$B$18,Paramètres!$A$1:$I$89,3,0)*0.475*44/12</f>
        <v>0.4560336947743942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5.7506126375695574</v>
      </c>
    </row>
    <row r="173" spans="1:218" x14ac:dyDescent="0.3">
      <c r="A173" s="10">
        <f t="shared" si="161"/>
        <v>170</v>
      </c>
      <c r="B173" s="71">
        <f>'Scénario référence'!$B$16*5+'Scénario référence'!$B$17*0+'Scénario référence'!$B$18*5</f>
        <v>1.4000000000000001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5.1333333333333337</v>
      </c>
      <c r="H173" s="65">
        <f t="shared" si="110"/>
        <v>236.13333333333335</v>
      </c>
      <c r="I173" s="6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319</v>
      </c>
      <c r="O173" s="13">
        <f>N173*VLOOKUP('Données projet'!$B$9,Paramètres!$A$1:$I$89,3,0)*VLOOKUP('Données projet'!$B$9,Paramètres!$A$1:$I$89,5,0)</f>
        <v>253.79640000000001</v>
      </c>
      <c r="P173" s="13">
        <f t="shared" si="141"/>
        <v>61.39816832228076</v>
      </c>
      <c r="Q173" s="20">
        <f t="shared" si="162"/>
        <v>548.96387316130563</v>
      </c>
      <c r="R173" s="59">
        <f t="shared" si="109"/>
        <v>840.98698902186561</v>
      </c>
      <c r="S173" s="59">
        <f ca="1">AVERAGE(OFFSET($R$3,0,0,'Données projet'!$E$9+1,1))-AVERAGE(OFFSET($H$3,0,0,'Données projet'!$E$9+1,1))</f>
        <v>360.06385535620069</v>
      </c>
      <c r="T173" s="59">
        <f t="shared" si="142"/>
        <v>350.82516032456408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8.9448926610101722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8.9448926610101722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277.77359999999993</v>
      </c>
      <c r="AK173" s="13">
        <f t="shared" si="164"/>
        <v>66.496288176842356</v>
      </c>
      <c r="AL173" s="20">
        <f t="shared" si="165"/>
        <v>599.60338857466706</v>
      </c>
      <c r="AM173" s="59">
        <f t="shared" si="113"/>
        <v>891.62650443522716</v>
      </c>
      <c r="AN173" s="59">
        <f ca="1">AVERAGE(OFFSET($AM$3,0,0,'Données projet'!$E$10+1,1))-AVERAGE(OFFSET($H$3,0,0,'Données projet'!$E$10+1,1))</f>
        <v>448.65237942538027</v>
      </c>
      <c r="AO173" s="59">
        <f t="shared" si="144"/>
        <v>283.56749129825107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33.680246743404929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33.680246743404929</v>
      </c>
      <c r="AY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403.99999999999989</v>
      </c>
      <c r="BE173" s="13">
        <f>BD173*VLOOKUP('Données projet'!$B$11,Paramètres!$A$1:$I$89,3,0)*VLOOKUP('Données projet'!$B$11,Paramètres!$A$1:$I$89,5,0)</f>
        <v>346.63199999999995</v>
      </c>
      <c r="BF173" s="13">
        <f t="shared" si="167"/>
        <v>80.868615263336864</v>
      </c>
      <c r="BG173" s="20">
        <f t="shared" si="168"/>
        <v>744.56357158364483</v>
      </c>
      <c r="BH173" s="59">
        <f t="shared" si="116"/>
        <v>1036.5866874442049</v>
      </c>
      <c r="BI173" s="59">
        <f ca="1">AVERAGE(OFFSET($BH$3,0,0,'Données projet'!$E$11+1,1))-AVERAGE(OFFSET($H$3,0,0,'Données projet'!$E$11+1,1))</f>
        <v>456.76871853389395</v>
      </c>
      <c r="BJ173" s="59">
        <f t="shared" si="146"/>
        <v>262.12425810289176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37.133405237224835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37.133405237224835</v>
      </c>
      <c r="BT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255.00000000000006</v>
      </c>
      <c r="BZ173" s="13">
        <f>BY173*VLOOKUP('Données projet'!$B$12,Paramètres!$A$1:$I$89,3,0)*VLOOKUP('Données projet'!$B$12,Paramètres!$A$1:$I$89,5,0)</f>
        <v>186.96600000000004</v>
      </c>
      <c r="CA173" s="13">
        <f t="shared" si="170"/>
        <v>46.868551400324648</v>
      </c>
      <c r="CB173" s="20">
        <f t="shared" si="171"/>
        <v>407.26184368889881</v>
      </c>
      <c r="CC173" s="59">
        <f t="shared" si="119"/>
        <v>699.28495954945879</v>
      </c>
      <c r="CD173" s="59">
        <f ca="1">AVERAGE(OFFSET($CC$3,0,0,'Données projet'!$E$12+1,1))-AVERAGE(OFFSET($H$3,0,0,'Données projet'!$E$12+1,1))</f>
        <v>242.65851607945316</v>
      </c>
      <c r="CE173" s="59">
        <f t="shared" si="148"/>
        <v>218.9349999985487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249.0000000000002</v>
      </c>
      <c r="CU173" s="17">
        <f>CT173*VLOOKUP('Données projet'!$B$13,Paramètres!$A$1:$I$89,3,0)*VLOOKUP('Données projet'!$B$13,Paramètres!$A$1:$I$89,5,0)</f>
        <v>217.52640000000019</v>
      </c>
      <c r="CV173" s="13">
        <f t="shared" si="173"/>
        <v>53.576907690651304</v>
      </c>
      <c r="CW173" s="20">
        <f t="shared" si="174"/>
        <v>472.17159422788467</v>
      </c>
      <c r="CX173" s="59">
        <f t="shared" si="122"/>
        <v>764.19471008844471</v>
      </c>
      <c r="CY173" s="59">
        <f ca="1">AVERAGE(OFFSET($CX$3,0,0,'Données projet'!$E$13+1,1))-AVERAGE(OFFSET($H$3,0,0,'Données projet'!$E$13+1,1))</f>
        <v>326.9460696675867</v>
      </c>
      <c r="CZ173" s="59">
        <f t="shared" si="150"/>
        <v>393.4020374592568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8.6188972426899273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8.6188972426899273</v>
      </c>
      <c r="DJ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349.00000000000017</v>
      </c>
      <c r="DP173" s="17">
        <f>DO173*VLOOKUP('Données projet'!$B$14,Paramètres!$A$1:$I$89,3,0)*VLOOKUP('Données projet'!$B$14,Paramètres!$A$1:$I$89,5,0)</f>
        <v>272.22000000000014</v>
      </c>
      <c r="DQ173" s="13">
        <f t="shared" si="176"/>
        <v>65.320184547527205</v>
      </c>
      <c r="DR173" s="20">
        <f t="shared" si="177"/>
        <v>587.88248808694345</v>
      </c>
      <c r="DS173" s="59">
        <f t="shared" si="125"/>
        <v>879.90560394750355</v>
      </c>
      <c r="DT173" s="59">
        <f ca="1">AVERAGE(OFFSET($DS$3,0,0,'Données projet'!$E$14+1,1))-AVERAGE(OFFSET($H$3,0,0,'Données projet'!$E$14+1,1))</f>
        <v>364.34528546733799</v>
      </c>
      <c r="DU173" s="59">
        <f t="shared" si="152"/>
        <v>346.5839763411152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11.961584201253492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11.961584201253492</v>
      </c>
      <c r="EE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213.98519999999999</v>
      </c>
      <c r="EL173" s="13">
        <f t="shared" si="179"/>
        <v>52.805497044008654</v>
      </c>
      <c r="EM173" s="20">
        <f t="shared" si="180"/>
        <v>464.66046401831505</v>
      </c>
      <c r="EN173" s="59">
        <f t="shared" si="128"/>
        <v>756.68357987887509</v>
      </c>
      <c r="EO173" s="59">
        <f ca="1">AVERAGE(OFFSET($EN$3,0,0,'Données projet'!$E$15+1,1))-AVERAGE(OFFSET($H$3,0,0,'Données projet'!$E$15+1,1))</f>
        <v>310.38232870602445</v>
      </c>
      <c r="EP173" s="59">
        <f t="shared" si="154"/>
        <v>303.45934457265537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7.5417722435968075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7.5417722435968075</v>
      </c>
      <c r="EZ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245.99999999999994</v>
      </c>
      <c r="FF173" s="17">
        <f>FE173*VLOOKUP('Données projet'!$B$16,Paramètres!$A$1:$I$89,3,0)*VLOOKUP('Données projet'!$B$16,Paramètres!$A$1:$I$89,5,0)</f>
        <v>234.09359999999998</v>
      </c>
      <c r="FG173" s="13">
        <f t="shared" si="182"/>
        <v>57.166902703920208</v>
      </c>
      <c r="FH173" s="20">
        <f t="shared" si="183"/>
        <v>507.27870887599425</v>
      </c>
      <c r="FI173" s="59">
        <f t="shared" si="131"/>
        <v>799.30182473655429</v>
      </c>
      <c r="FJ173" s="59">
        <f ca="1">AVERAGE(OFFSET($FI$3,0,0,'Données projet'!$E$16+1,1))-AVERAGE(OFFSET($H$3,0,0,'Données projet'!$E$16+1,1))</f>
        <v>457.706832425622</v>
      </c>
      <c r="FK173" s="59">
        <f t="shared" si="156"/>
        <v>474.61768219844873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26.237789333776139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26.237789333776139</v>
      </c>
      <c r="FU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319</v>
      </c>
      <c r="GA173" s="17">
        <f>FZ173*VLOOKUP('Données projet'!$B$17,Paramètres!$A$1:$I$89,3,0)*VLOOKUP('Données projet'!$B$17,Paramètres!$A$1:$I$89,5,0)</f>
        <v>308.53680000000003</v>
      </c>
      <c r="GB173" s="13">
        <f t="shared" si="185"/>
        <v>72.963171684496103</v>
      </c>
      <c r="GC173" s="20">
        <f t="shared" si="186"/>
        <v>664.4457840171641</v>
      </c>
      <c r="GD173" s="59">
        <f t="shared" si="134"/>
        <v>956.4688998777242</v>
      </c>
      <c r="GE173" s="59">
        <f ca="1">AVERAGE(OFFSET($GD$3,0,0,'Données projet'!$E$17+1,1))-AVERAGE(OFFSET($H$3,0,0,'Données projet'!$E$17+1,1))</f>
        <v>428.11167311086814</v>
      </c>
      <c r="GF173" s="59">
        <f t="shared" si="158"/>
        <v>415.69449942923609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8.8224505491132561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8.8224505491132561</v>
      </c>
      <c r="GP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1.1368683772161603E-13</v>
      </c>
      <c r="GV173" s="17">
        <f>GU173*VLOOKUP('Données projet'!$B$18,Paramètres!$A$1:$I$89,3,0)*VLOOKUP('Données projet'!$B$18,Paramètres!$A$1:$I$89,5,0)</f>
        <v>6.5087988332379613E-14</v>
      </c>
      <c r="GW173" s="13">
        <f t="shared" si="188"/>
        <v>1.0279249680474958E-12</v>
      </c>
      <c r="GX173" s="20">
        <f t="shared" si="189"/>
        <v>1.9036642323616162E-12</v>
      </c>
      <c r="GY173" s="59">
        <f t="shared" si="137"/>
        <v>292.02311586056192</v>
      </c>
      <c r="GZ173" s="59">
        <f ca="1">AVERAGE(OFFSET($GY$3,0,0,'Données projet'!$E$18+1,1))-AVERAGE(OFFSET($H$3,0,0,'Données projet'!$E$18+1,1))</f>
        <v>249.88816678272056</v>
      </c>
      <c r="HA173" s="59">
        <f t="shared" si="160"/>
        <v>432.10802787437319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5.1907554791012309</v>
      </c>
      <c r="HH173" s="21">
        <f>EXP(-LN(2)/25)*HH172+(1-EXP(-LN(2)/25))/(LN(2)/25)*Calculateur!HC173*Calculateur!HE173*VLOOKUP('Données projet'!$B$18,Paramètres!$A$1:$I$89,3,0)*0.475*44/12</f>
        <v>0.44356342940901866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5.6343189085102496</v>
      </c>
    </row>
    <row r="174" spans="1:218" x14ac:dyDescent="0.3">
      <c r="A174" s="10">
        <f t="shared" si="161"/>
        <v>171</v>
      </c>
      <c r="B174" s="71">
        <f>'Scénario référence'!$B$16*5+'Scénario référence'!$B$17*0+'Scénario référence'!$B$18*5</f>
        <v>1.4000000000000001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5.1333333333333337</v>
      </c>
      <c r="H174" s="65">
        <f t="shared" si="110"/>
        <v>236.13333333333335</v>
      </c>
      <c r="I174" s="6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319</v>
      </c>
      <c r="O174" s="13">
        <f>N174*VLOOKUP('Données projet'!$B$9,Paramètres!$A$1:$I$89,3,0)*VLOOKUP('Données projet'!$B$9,Paramètres!$A$1:$I$89,5,0)</f>
        <v>253.79640000000001</v>
      </c>
      <c r="P174" s="13">
        <f t="shared" si="141"/>
        <v>61.39816832228076</v>
      </c>
      <c r="Q174" s="20">
        <f t="shared" si="162"/>
        <v>548.96387316130563</v>
      </c>
      <c r="R174" s="59">
        <f t="shared" si="109"/>
        <v>841.00971836581084</v>
      </c>
      <c r="S174" s="59">
        <f ca="1">AVERAGE(OFFSET($R$3,0,0,'Données projet'!$E$9+1,1))-AVERAGE(OFFSET($H$3,0,0,'Données projet'!$E$9+1,1))</f>
        <v>360.06385535620069</v>
      </c>
      <c r="T174" s="59">
        <f t="shared" si="142"/>
        <v>350.82516032456408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8.7694887717735668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8.7694887717735668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277.77359999999993</v>
      </c>
      <c r="AK174" s="13">
        <f t="shared" si="164"/>
        <v>66.496288176842356</v>
      </c>
      <c r="AL174" s="20">
        <f t="shared" si="165"/>
        <v>599.60338857466706</v>
      </c>
      <c r="AM174" s="59">
        <f t="shared" si="113"/>
        <v>891.64923377917228</v>
      </c>
      <c r="AN174" s="59">
        <f ca="1">AVERAGE(OFFSET($AM$3,0,0,'Données projet'!$E$10+1,1))-AVERAGE(OFFSET($H$3,0,0,'Données projet'!$E$10+1,1))</f>
        <v>448.65237942538027</v>
      </c>
      <c r="AO174" s="59">
        <f t="shared" si="144"/>
        <v>283.56749129825107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33.019797647688826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33.019797647688826</v>
      </c>
      <c r="AY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403.99999999999989</v>
      </c>
      <c r="BE174" s="13">
        <f>BD174*VLOOKUP('Données projet'!$B$11,Paramètres!$A$1:$I$89,3,0)*VLOOKUP('Données projet'!$B$11,Paramètres!$A$1:$I$89,5,0)</f>
        <v>346.63199999999995</v>
      </c>
      <c r="BF174" s="13">
        <f t="shared" si="167"/>
        <v>80.868615263336864</v>
      </c>
      <c r="BG174" s="20">
        <f t="shared" si="168"/>
        <v>744.56357158364483</v>
      </c>
      <c r="BH174" s="59">
        <f t="shared" si="116"/>
        <v>1036.6094167881502</v>
      </c>
      <c r="BI174" s="59">
        <f ca="1">AVERAGE(OFFSET($BH$3,0,0,'Données projet'!$E$11+1,1))-AVERAGE(OFFSET($H$3,0,0,'Données projet'!$E$11+1,1))</f>
        <v>456.76871853389395</v>
      </c>
      <c r="BJ174" s="59">
        <f t="shared" si="146"/>
        <v>262.12425810289176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36.405241809663636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36.405241809663636</v>
      </c>
      <c r="BT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255.00000000000006</v>
      </c>
      <c r="BZ174" s="13">
        <f>BY174*VLOOKUP('Données projet'!$B$12,Paramètres!$A$1:$I$89,3,0)*VLOOKUP('Données projet'!$B$12,Paramètres!$A$1:$I$89,5,0)</f>
        <v>186.96600000000004</v>
      </c>
      <c r="CA174" s="13">
        <f t="shared" si="170"/>
        <v>46.868551400324648</v>
      </c>
      <c r="CB174" s="20">
        <f t="shared" si="171"/>
        <v>407.26184368889881</v>
      </c>
      <c r="CC174" s="59">
        <f t="shared" si="119"/>
        <v>699.30768889340402</v>
      </c>
      <c r="CD174" s="59">
        <f ca="1">AVERAGE(OFFSET($CC$3,0,0,'Données projet'!$E$12+1,1))-AVERAGE(OFFSET($H$3,0,0,'Données projet'!$E$12+1,1))</f>
        <v>242.65851607945316</v>
      </c>
      <c r="CE174" s="59">
        <f t="shared" si="148"/>
        <v>218.9349999985487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249.0000000000002</v>
      </c>
      <c r="CU174" s="17">
        <f>CT174*VLOOKUP('Données projet'!$B$13,Paramètres!$A$1:$I$89,3,0)*VLOOKUP('Données projet'!$B$13,Paramètres!$A$1:$I$89,5,0)</f>
        <v>217.52640000000019</v>
      </c>
      <c r="CV174" s="13">
        <f t="shared" si="173"/>
        <v>53.576907690651304</v>
      </c>
      <c r="CW174" s="20">
        <f t="shared" si="174"/>
        <v>472.17159422788467</v>
      </c>
      <c r="CX174" s="59">
        <f t="shared" si="122"/>
        <v>764.21743943238994</v>
      </c>
      <c r="CY174" s="59">
        <f ca="1">AVERAGE(OFFSET($CX$3,0,0,'Données projet'!$E$13+1,1))-AVERAGE(OFFSET($H$3,0,0,'Données projet'!$E$13+1,1))</f>
        <v>326.9460696675867</v>
      </c>
      <c r="CZ174" s="59">
        <f t="shared" si="150"/>
        <v>393.4020374592568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8.4498859247690099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8.4498859247690099</v>
      </c>
      <c r="DJ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349.00000000000017</v>
      </c>
      <c r="DP174" s="17">
        <f>DO174*VLOOKUP('Données projet'!$B$14,Paramètres!$A$1:$I$89,3,0)*VLOOKUP('Données projet'!$B$14,Paramètres!$A$1:$I$89,5,0)</f>
        <v>272.22000000000014</v>
      </c>
      <c r="DQ174" s="13">
        <f t="shared" si="176"/>
        <v>65.320184547527205</v>
      </c>
      <c r="DR174" s="20">
        <f t="shared" si="177"/>
        <v>587.88248808694345</v>
      </c>
      <c r="DS174" s="59">
        <f t="shared" si="125"/>
        <v>879.92833329144867</v>
      </c>
      <c r="DT174" s="59">
        <f ca="1">AVERAGE(OFFSET($DS$3,0,0,'Données projet'!$E$14+1,1))-AVERAGE(OFFSET($H$3,0,0,'Données projet'!$E$14+1,1))</f>
        <v>364.34528546733799</v>
      </c>
      <c r="DU174" s="59">
        <f t="shared" si="152"/>
        <v>346.5839763411152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11.727024830912869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11.727024830912869</v>
      </c>
      <c r="EE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213.98519999999999</v>
      </c>
      <c r="EL174" s="13">
        <f t="shared" si="179"/>
        <v>52.805497044008654</v>
      </c>
      <c r="EM174" s="20">
        <f t="shared" si="180"/>
        <v>464.66046401831505</v>
      </c>
      <c r="EN174" s="59">
        <f t="shared" si="128"/>
        <v>756.70630922282021</v>
      </c>
      <c r="EO174" s="59">
        <f ca="1">AVERAGE(OFFSET($EN$3,0,0,'Données projet'!$E$15+1,1))-AVERAGE(OFFSET($H$3,0,0,'Données projet'!$E$15+1,1))</f>
        <v>310.38232870602445</v>
      </c>
      <c r="EP174" s="59">
        <f t="shared" si="154"/>
        <v>303.45934457265537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7.3938826899267278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7.3938826899267278</v>
      </c>
      <c r="EZ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245.99999999999994</v>
      </c>
      <c r="FF174" s="17">
        <f>FE174*VLOOKUP('Données projet'!$B$16,Paramètres!$A$1:$I$89,3,0)*VLOOKUP('Données projet'!$B$16,Paramètres!$A$1:$I$89,5,0)</f>
        <v>234.09359999999998</v>
      </c>
      <c r="FG174" s="13">
        <f t="shared" si="182"/>
        <v>57.166902703920208</v>
      </c>
      <c r="FH174" s="20">
        <f t="shared" si="183"/>
        <v>507.27870887599425</v>
      </c>
      <c r="FI174" s="59">
        <f t="shared" si="131"/>
        <v>799.32455408049941</v>
      </c>
      <c r="FJ174" s="59">
        <f ca="1">AVERAGE(OFFSET($FI$3,0,0,'Données projet'!$E$16+1,1))-AVERAGE(OFFSET($H$3,0,0,'Données projet'!$E$16+1,1))</f>
        <v>457.706832425622</v>
      </c>
      <c r="FK174" s="59">
        <f t="shared" si="156"/>
        <v>474.61768219844873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25.723282288412072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25.723282288412072</v>
      </c>
      <c r="FU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319</v>
      </c>
      <c r="GA174" s="17">
        <f>FZ174*VLOOKUP('Données projet'!$B$17,Paramètres!$A$1:$I$89,3,0)*VLOOKUP('Données projet'!$B$17,Paramètres!$A$1:$I$89,5,0)</f>
        <v>308.53680000000003</v>
      </c>
      <c r="GB174" s="13">
        <f t="shared" si="185"/>
        <v>72.963171684496103</v>
      </c>
      <c r="GC174" s="20">
        <f t="shared" si="186"/>
        <v>664.4457840171641</v>
      </c>
      <c r="GD174" s="59">
        <f t="shared" si="134"/>
        <v>956.49162922166931</v>
      </c>
      <c r="GE174" s="59">
        <f ca="1">AVERAGE(OFFSET($GD$3,0,0,'Données projet'!$E$17+1,1))-AVERAGE(OFFSET($H$3,0,0,'Données projet'!$E$17+1,1))</f>
        <v>428.11167311086814</v>
      </c>
      <c r="GF174" s="59">
        <f t="shared" si="158"/>
        <v>415.69449942923609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8.6494476750086342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8.6494476750086342</v>
      </c>
      <c r="GP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1.1368683772161603E-13</v>
      </c>
      <c r="GV174" s="17">
        <f>GU174*VLOOKUP('Données projet'!$B$18,Paramètres!$A$1:$I$89,3,0)*VLOOKUP('Données projet'!$B$18,Paramètres!$A$1:$I$89,5,0)</f>
        <v>6.5087988332379613E-14</v>
      </c>
      <c r="GW174" s="13">
        <f t="shared" si="188"/>
        <v>1.0279249680474958E-12</v>
      </c>
      <c r="GX174" s="20">
        <f t="shared" si="189"/>
        <v>1.9036642323616162E-12</v>
      </c>
      <c r="GY174" s="59">
        <f t="shared" si="137"/>
        <v>292.04584520450709</v>
      </c>
      <c r="GZ174" s="59">
        <f ca="1">AVERAGE(OFFSET($GY$3,0,0,'Données projet'!$E$18+1,1))-AVERAGE(OFFSET($H$3,0,0,'Données projet'!$E$18+1,1))</f>
        <v>249.88816678272056</v>
      </c>
      <c r="HA174" s="59">
        <f t="shared" si="160"/>
        <v>432.10802787437319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5.0889679302042765</v>
      </c>
      <c r="HH174" s="21">
        <f>EXP(-LN(2)/25)*HH173+(1-EXP(-LN(2)/25))/(LN(2)/25)*Calculateur!HC174*Calculateur!HE174*VLOOKUP('Données projet'!$B$18,Paramètres!$A$1:$I$89,3,0)*0.475*44/12</f>
        <v>0.43143416410584207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5.5204020943101186</v>
      </c>
    </row>
    <row r="175" spans="1:218" x14ac:dyDescent="0.3">
      <c r="A175" s="10">
        <f t="shared" si="161"/>
        <v>172</v>
      </c>
      <c r="B175" s="71">
        <f>'Scénario référence'!$B$16*5+'Scénario référence'!$B$17*0+'Scénario référence'!$B$18*5</f>
        <v>1.4000000000000001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5.1333333333333337</v>
      </c>
      <c r="H175" s="65">
        <f t="shared" si="110"/>
        <v>236.13333333333335</v>
      </c>
      <c r="I175" s="6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319</v>
      </c>
      <c r="O175" s="13">
        <f>N175*VLOOKUP('Données projet'!$B$9,Paramètres!$A$1:$I$89,3,0)*VLOOKUP('Données projet'!$B$9,Paramètres!$A$1:$I$89,5,0)</f>
        <v>253.79640000000001</v>
      </c>
      <c r="P175" s="13">
        <f t="shared" si="141"/>
        <v>61.39816832228076</v>
      </c>
      <c r="Q175" s="20">
        <f t="shared" si="162"/>
        <v>548.96387316130563</v>
      </c>
      <c r="R175" s="59">
        <f t="shared" si="109"/>
        <v>841.03205340645377</v>
      </c>
      <c r="S175" s="59">
        <f ca="1">AVERAGE(OFFSET($R$3,0,0,'Données projet'!$E$9+1,1))-AVERAGE(OFFSET($H$3,0,0,'Données projet'!$E$9+1,1))</f>
        <v>360.06385535620069</v>
      </c>
      <c r="T175" s="59">
        <f t="shared" si="142"/>
        <v>350.82516032456408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8.5975244458190812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8.5975244458190812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277.77359999999993</v>
      </c>
      <c r="AK175" s="13">
        <f t="shared" si="164"/>
        <v>66.496288176842356</v>
      </c>
      <c r="AL175" s="20">
        <f t="shared" si="165"/>
        <v>599.60338857466706</v>
      </c>
      <c r="AM175" s="59">
        <f t="shared" si="113"/>
        <v>891.67156881981521</v>
      </c>
      <c r="AN175" s="59">
        <f ca="1">AVERAGE(OFFSET($AM$3,0,0,'Données projet'!$E$10+1,1))-AVERAGE(OFFSET($H$3,0,0,'Données projet'!$E$10+1,1))</f>
        <v>448.65237942538027</v>
      </c>
      <c r="AO175" s="59">
        <f t="shared" si="144"/>
        <v>283.56749129825107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32.372299555905542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32.372299555905542</v>
      </c>
      <c r="AY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403.99999999999989</v>
      </c>
      <c r="BE175" s="13">
        <f>BD175*VLOOKUP('Données projet'!$B$11,Paramètres!$A$1:$I$89,3,0)*VLOOKUP('Données projet'!$B$11,Paramètres!$A$1:$I$89,5,0)</f>
        <v>346.63199999999995</v>
      </c>
      <c r="BF175" s="13">
        <f t="shared" si="167"/>
        <v>80.868615263336864</v>
      </c>
      <c r="BG175" s="20">
        <f t="shared" si="168"/>
        <v>744.56357158364483</v>
      </c>
      <c r="BH175" s="59">
        <f t="shared" si="116"/>
        <v>1036.6317518287929</v>
      </c>
      <c r="BI175" s="59">
        <f ca="1">AVERAGE(OFFSET($BH$3,0,0,'Données projet'!$E$11+1,1))-AVERAGE(OFFSET($H$3,0,0,'Données projet'!$E$11+1,1))</f>
        <v>456.76871853389395</v>
      </c>
      <c r="BJ175" s="59">
        <f t="shared" si="146"/>
        <v>262.12425810289176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35.691357222781072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35.691357222781072</v>
      </c>
      <c r="BT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255.00000000000006</v>
      </c>
      <c r="BZ175" s="13">
        <f>BY175*VLOOKUP('Données projet'!$B$12,Paramètres!$A$1:$I$89,3,0)*VLOOKUP('Données projet'!$B$12,Paramètres!$A$1:$I$89,5,0)</f>
        <v>186.96600000000004</v>
      </c>
      <c r="CA175" s="13">
        <f t="shared" si="170"/>
        <v>46.868551400324648</v>
      </c>
      <c r="CB175" s="20">
        <f t="shared" si="171"/>
        <v>407.26184368889881</v>
      </c>
      <c r="CC175" s="59">
        <f t="shared" si="119"/>
        <v>699.33002393404695</v>
      </c>
      <c r="CD175" s="59">
        <f ca="1">AVERAGE(OFFSET($CC$3,0,0,'Données projet'!$E$12+1,1))-AVERAGE(OFFSET($H$3,0,0,'Données projet'!$E$12+1,1))</f>
        <v>242.65851607945316</v>
      </c>
      <c r="CE175" s="59">
        <f t="shared" si="148"/>
        <v>218.9349999985487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249.0000000000002</v>
      </c>
      <c r="CU175" s="17">
        <f>CT175*VLOOKUP('Données projet'!$B$13,Paramètres!$A$1:$I$89,3,0)*VLOOKUP('Données projet'!$B$13,Paramètres!$A$1:$I$89,5,0)</f>
        <v>217.52640000000019</v>
      </c>
      <c r="CV175" s="13">
        <f t="shared" si="173"/>
        <v>53.576907690651304</v>
      </c>
      <c r="CW175" s="20">
        <f t="shared" si="174"/>
        <v>472.17159422788467</v>
      </c>
      <c r="CX175" s="59">
        <f t="shared" si="122"/>
        <v>764.23977447303287</v>
      </c>
      <c r="CY175" s="59">
        <f ca="1">AVERAGE(OFFSET($CX$3,0,0,'Données projet'!$E$13+1,1))-AVERAGE(OFFSET($H$3,0,0,'Données projet'!$E$13+1,1))</f>
        <v>326.9460696675867</v>
      </c>
      <c r="CZ175" s="59">
        <f t="shared" si="150"/>
        <v>393.4020374592568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8.2841888157057966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8.2841888157057966</v>
      </c>
      <c r="DJ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349.00000000000017</v>
      </c>
      <c r="DP175" s="17">
        <f>DO175*VLOOKUP('Données projet'!$B$14,Paramètres!$A$1:$I$89,3,0)*VLOOKUP('Données projet'!$B$14,Paramètres!$A$1:$I$89,5,0)</f>
        <v>272.22000000000014</v>
      </c>
      <c r="DQ175" s="13">
        <f t="shared" si="176"/>
        <v>65.320184547527205</v>
      </c>
      <c r="DR175" s="20">
        <f t="shared" si="177"/>
        <v>587.88248808694345</v>
      </c>
      <c r="DS175" s="59">
        <f t="shared" si="125"/>
        <v>879.9506683320916</v>
      </c>
      <c r="DT175" s="59">
        <f ca="1">AVERAGE(OFFSET($DS$3,0,0,'Données projet'!$E$14+1,1))-AVERAGE(OFFSET($H$3,0,0,'Données projet'!$E$14+1,1))</f>
        <v>364.34528546733799</v>
      </c>
      <c r="DU175" s="59">
        <f t="shared" si="152"/>
        <v>346.5839763411152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11.497065026757536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11.497065026757536</v>
      </c>
      <c r="EE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213.98519999999999</v>
      </c>
      <c r="EL175" s="13">
        <f t="shared" si="179"/>
        <v>52.805497044008654</v>
      </c>
      <c r="EM175" s="20">
        <f t="shared" si="180"/>
        <v>464.66046401831505</v>
      </c>
      <c r="EN175" s="59">
        <f t="shared" si="128"/>
        <v>756.72864426346314</v>
      </c>
      <c r="EO175" s="59">
        <f ca="1">AVERAGE(OFFSET($EN$3,0,0,'Données projet'!$E$15+1,1))-AVERAGE(OFFSET($H$3,0,0,'Données projet'!$E$15+1,1))</f>
        <v>310.38232870602445</v>
      </c>
      <c r="EP175" s="59">
        <f t="shared" si="154"/>
        <v>303.45934457265537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7.2488931602003976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7.2488931602003976</v>
      </c>
      <c r="EZ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245.99999999999994</v>
      </c>
      <c r="FF175" s="17">
        <f>FE175*VLOOKUP('Données projet'!$B$16,Paramètres!$A$1:$I$89,3,0)*VLOOKUP('Données projet'!$B$16,Paramètres!$A$1:$I$89,5,0)</f>
        <v>234.09359999999998</v>
      </c>
      <c r="FG175" s="13">
        <f t="shared" si="182"/>
        <v>57.166902703920208</v>
      </c>
      <c r="FH175" s="20">
        <f t="shared" si="183"/>
        <v>507.27870887599425</v>
      </c>
      <c r="FI175" s="59">
        <f t="shared" si="131"/>
        <v>799.34688912114234</v>
      </c>
      <c r="FJ175" s="59">
        <f ca="1">AVERAGE(OFFSET($FI$3,0,0,'Données projet'!$E$16+1,1))-AVERAGE(OFFSET($H$3,0,0,'Données projet'!$E$16+1,1))</f>
        <v>457.706832425622</v>
      </c>
      <c r="FK175" s="59">
        <f t="shared" si="156"/>
        <v>474.61768219844873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25.218864412389284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25.218864412389284</v>
      </c>
      <c r="FU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319</v>
      </c>
      <c r="GA175" s="17">
        <f>FZ175*VLOOKUP('Données projet'!$B$17,Paramètres!$A$1:$I$89,3,0)*VLOOKUP('Données projet'!$B$17,Paramètres!$A$1:$I$89,5,0)</f>
        <v>308.53680000000003</v>
      </c>
      <c r="GB175" s="13">
        <f t="shared" si="185"/>
        <v>72.963171684496103</v>
      </c>
      <c r="GC175" s="20">
        <f t="shared" si="186"/>
        <v>664.4457840171641</v>
      </c>
      <c r="GD175" s="59">
        <f t="shared" si="134"/>
        <v>956.51396426231224</v>
      </c>
      <c r="GE175" s="59">
        <f ca="1">AVERAGE(OFFSET($GD$3,0,0,'Données projet'!$E$17+1,1))-AVERAGE(OFFSET($H$3,0,0,'Données projet'!$E$17+1,1))</f>
        <v>428.11167311086814</v>
      </c>
      <c r="GF175" s="59">
        <f t="shared" si="158"/>
        <v>415.69449942923609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8.4798372817438707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8.4798372817438707</v>
      </c>
      <c r="GP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1.1368683772161603E-13</v>
      </c>
      <c r="GV175" s="17">
        <f>GU175*VLOOKUP('Données projet'!$B$18,Paramètres!$A$1:$I$89,3,0)*VLOOKUP('Données projet'!$B$18,Paramètres!$A$1:$I$89,5,0)</f>
        <v>6.5087988332379613E-14</v>
      </c>
      <c r="GW175" s="13">
        <f t="shared" si="188"/>
        <v>1.0279249680474958E-12</v>
      </c>
      <c r="GX175" s="20">
        <f t="shared" si="189"/>
        <v>1.9036642323616162E-12</v>
      </c>
      <c r="GY175" s="59">
        <f t="shared" si="137"/>
        <v>292.06818024515002</v>
      </c>
      <c r="GZ175" s="59">
        <f ca="1">AVERAGE(OFFSET($GY$3,0,0,'Données projet'!$E$18+1,1))-AVERAGE(OFFSET($H$3,0,0,'Données projet'!$E$18+1,1))</f>
        <v>249.88816678272056</v>
      </c>
      <c r="HA175" s="59">
        <f t="shared" si="160"/>
        <v>432.10802787437319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4.9891763730569174</v>
      </c>
      <c r="HH175" s="21">
        <f>EXP(-LN(2)/25)*HH174+(1-EXP(-LN(2)/25))/(LN(2)/25)*Calculateur!HC175*Calculateur!HE175*VLOOKUP('Données projet'!$B$18,Paramètres!$A$1:$I$89,3,0)*0.475*44/12</f>
        <v>0.4196365742002312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5.4088129472571485</v>
      </c>
    </row>
    <row r="176" spans="1:218" x14ac:dyDescent="0.3">
      <c r="A176" s="10">
        <f t="shared" si="161"/>
        <v>173</v>
      </c>
      <c r="B176" s="71">
        <f>'Scénario référence'!$B$16*5+'Scénario référence'!$B$17*0+'Scénario référence'!$B$18*5</f>
        <v>1.4000000000000001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5.1333333333333337</v>
      </c>
      <c r="H176" s="65">
        <f t="shared" si="110"/>
        <v>236.13333333333335</v>
      </c>
      <c r="I176" s="6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319</v>
      </c>
      <c r="O176" s="13">
        <f>N176*VLOOKUP('Données projet'!$B$9,Paramètres!$A$1:$I$89,3,0)*VLOOKUP('Données projet'!$B$9,Paramètres!$A$1:$I$89,5,0)</f>
        <v>253.79640000000001</v>
      </c>
      <c r="P176" s="13">
        <f t="shared" si="141"/>
        <v>61.39816832228076</v>
      </c>
      <c r="Q176" s="20">
        <f t="shared" si="162"/>
        <v>548.96387316130563</v>
      </c>
      <c r="R176" s="59">
        <f t="shared" si="109"/>
        <v>841.05400098407517</v>
      </c>
      <c r="S176" s="59">
        <f ca="1">AVERAGE(OFFSET($R$3,0,0,'Données projet'!$E$9+1,1))-AVERAGE(OFFSET($H$3,0,0,'Données projet'!$E$9+1,1))</f>
        <v>360.06385535620069</v>
      </c>
      <c r="T176" s="59">
        <f t="shared" si="142"/>
        <v>350.82516032456408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8.4289322354086824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8.4289322354086824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277.77359999999993</v>
      </c>
      <c r="AK176" s="13">
        <f t="shared" si="164"/>
        <v>66.496288176842356</v>
      </c>
      <c r="AL176" s="20">
        <f t="shared" si="165"/>
        <v>599.60338857466706</v>
      </c>
      <c r="AM176" s="59">
        <f t="shared" si="113"/>
        <v>891.69351639743672</v>
      </c>
      <c r="AN176" s="59">
        <f ca="1">AVERAGE(OFFSET($AM$3,0,0,'Données projet'!$E$10+1,1))-AVERAGE(OFFSET($H$3,0,0,'Données projet'!$E$10+1,1))</f>
        <v>448.65237942538027</v>
      </c>
      <c r="AO176" s="59">
        <f t="shared" si="144"/>
        <v>283.56749129825107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31.737498506767292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31.737498506767292</v>
      </c>
      <c r="AY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403.99999999999989</v>
      </c>
      <c r="BE176" s="13">
        <f>BD176*VLOOKUP('Données projet'!$B$11,Paramètres!$A$1:$I$89,3,0)*VLOOKUP('Données projet'!$B$11,Paramètres!$A$1:$I$89,5,0)</f>
        <v>346.63199999999995</v>
      </c>
      <c r="BF176" s="13">
        <f t="shared" si="167"/>
        <v>80.868615263336864</v>
      </c>
      <c r="BG176" s="20">
        <f t="shared" si="168"/>
        <v>744.56357158364483</v>
      </c>
      <c r="BH176" s="59">
        <f t="shared" si="116"/>
        <v>1036.6536994064145</v>
      </c>
      <c r="BI176" s="59">
        <f ca="1">AVERAGE(OFFSET($BH$3,0,0,'Données projet'!$E$11+1,1))-AVERAGE(OFFSET($H$3,0,0,'Données projet'!$E$11+1,1))</f>
        <v>456.76871853389395</v>
      </c>
      <c r="BJ176" s="59">
        <f t="shared" si="146"/>
        <v>262.12425810289176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34.991471477220671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34.991471477220671</v>
      </c>
      <c r="BT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255.00000000000006</v>
      </c>
      <c r="BZ176" s="13">
        <f>BY176*VLOOKUP('Données projet'!$B$12,Paramètres!$A$1:$I$89,3,0)*VLOOKUP('Données projet'!$B$12,Paramètres!$A$1:$I$89,5,0)</f>
        <v>186.96600000000004</v>
      </c>
      <c r="CA176" s="13">
        <f t="shared" si="170"/>
        <v>46.868551400324648</v>
      </c>
      <c r="CB176" s="20">
        <f t="shared" si="171"/>
        <v>407.26184368889881</v>
      </c>
      <c r="CC176" s="59">
        <f t="shared" si="119"/>
        <v>699.35197151166835</v>
      </c>
      <c r="CD176" s="59">
        <f ca="1">AVERAGE(OFFSET($CC$3,0,0,'Données projet'!$E$12+1,1))-AVERAGE(OFFSET($H$3,0,0,'Données projet'!$E$12+1,1))</f>
        <v>242.65851607945316</v>
      </c>
      <c r="CE176" s="59">
        <f t="shared" si="148"/>
        <v>218.9349999985487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249.0000000000002</v>
      </c>
      <c r="CU176" s="17">
        <f>CT176*VLOOKUP('Données projet'!$B$13,Paramètres!$A$1:$I$89,3,0)*VLOOKUP('Données projet'!$B$13,Paramètres!$A$1:$I$89,5,0)</f>
        <v>217.52640000000019</v>
      </c>
      <c r="CV176" s="13">
        <f t="shared" si="173"/>
        <v>53.576907690651304</v>
      </c>
      <c r="CW176" s="20">
        <f t="shared" si="174"/>
        <v>472.17159422788467</v>
      </c>
      <c r="CX176" s="59">
        <f t="shared" si="122"/>
        <v>764.26172205065427</v>
      </c>
      <c r="CY176" s="59">
        <f ca="1">AVERAGE(OFFSET($CX$3,0,0,'Données projet'!$E$13+1,1))-AVERAGE(OFFSET($H$3,0,0,'Données projet'!$E$13+1,1))</f>
        <v>326.9460696675867</v>
      </c>
      <c r="CZ176" s="59">
        <f t="shared" si="150"/>
        <v>393.4020374592568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8.1217409258860549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8.1217409258860549</v>
      </c>
      <c r="DJ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349.00000000000017</v>
      </c>
      <c r="DP176" s="17">
        <f>DO176*VLOOKUP('Données projet'!$B$14,Paramètres!$A$1:$I$89,3,0)*VLOOKUP('Données projet'!$B$14,Paramètres!$A$1:$I$89,5,0)</f>
        <v>272.22000000000014</v>
      </c>
      <c r="DQ176" s="13">
        <f t="shared" si="176"/>
        <v>65.320184547527205</v>
      </c>
      <c r="DR176" s="20">
        <f t="shared" si="177"/>
        <v>587.88248808694345</v>
      </c>
      <c r="DS176" s="59">
        <f t="shared" si="125"/>
        <v>879.97261590971311</v>
      </c>
      <c r="DT176" s="59">
        <f ca="1">AVERAGE(OFFSET($DS$3,0,0,'Données projet'!$E$14+1,1))-AVERAGE(OFFSET($H$3,0,0,'Données projet'!$E$14+1,1))</f>
        <v>364.34528546733799</v>
      </c>
      <c r="DU176" s="59">
        <f t="shared" si="152"/>
        <v>346.5839763411152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11.271614594100058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11.271614594100058</v>
      </c>
      <c r="EE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213.98519999999999</v>
      </c>
      <c r="EL176" s="13">
        <f t="shared" si="179"/>
        <v>52.805497044008654</v>
      </c>
      <c r="EM176" s="20">
        <f t="shared" si="180"/>
        <v>464.66046401831505</v>
      </c>
      <c r="EN176" s="59">
        <f t="shared" si="128"/>
        <v>756.75059184108466</v>
      </c>
      <c r="EO176" s="59">
        <f ca="1">AVERAGE(OFFSET($EN$3,0,0,'Données projet'!$E$15+1,1))-AVERAGE(OFFSET($H$3,0,0,'Données projet'!$E$15+1,1))</f>
        <v>310.38232870602445</v>
      </c>
      <c r="EP176" s="59">
        <f t="shared" si="154"/>
        <v>303.45934457265537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7.1067467867171201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7.1067467867171201</v>
      </c>
      <c r="EZ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245.99999999999994</v>
      </c>
      <c r="FF176" s="17">
        <f>FE176*VLOOKUP('Données projet'!$B$16,Paramètres!$A$1:$I$89,3,0)*VLOOKUP('Données projet'!$B$16,Paramètres!$A$1:$I$89,5,0)</f>
        <v>234.09359999999998</v>
      </c>
      <c r="FG176" s="13">
        <f t="shared" si="182"/>
        <v>57.166902703920208</v>
      </c>
      <c r="FH176" s="20">
        <f t="shared" si="183"/>
        <v>507.27870887599425</v>
      </c>
      <c r="FI176" s="59">
        <f t="shared" si="131"/>
        <v>799.36883669876386</v>
      </c>
      <c r="FJ176" s="59">
        <f ca="1">AVERAGE(OFFSET($FI$3,0,0,'Données projet'!$E$16+1,1))-AVERAGE(OFFSET($H$3,0,0,'Données projet'!$E$16+1,1))</f>
        <v>457.706832425622</v>
      </c>
      <c r="FK176" s="59">
        <f t="shared" si="156"/>
        <v>474.61768219844873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24.724337863250778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24.724337863250778</v>
      </c>
      <c r="FU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319</v>
      </c>
      <c r="GA176" s="17">
        <f>FZ176*VLOOKUP('Données projet'!$B$17,Paramètres!$A$1:$I$89,3,0)*VLOOKUP('Données projet'!$B$17,Paramètres!$A$1:$I$89,5,0)</f>
        <v>308.53680000000003</v>
      </c>
      <c r="GB176" s="13">
        <f t="shared" si="185"/>
        <v>72.963171684496103</v>
      </c>
      <c r="GC176" s="20">
        <f t="shared" si="186"/>
        <v>664.4457840171641</v>
      </c>
      <c r="GD176" s="59">
        <f t="shared" si="134"/>
        <v>956.53591183993376</v>
      </c>
      <c r="GE176" s="59">
        <f ca="1">AVERAGE(OFFSET($GD$3,0,0,'Données projet'!$E$17+1,1))-AVERAGE(OFFSET($H$3,0,0,'Données projet'!$E$17+1,1))</f>
        <v>428.11167311086814</v>
      </c>
      <c r="GF176" s="59">
        <f t="shared" si="158"/>
        <v>415.69449942923609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8.3135528448389042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8.3135528448389042</v>
      </c>
      <c r="GP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1.1368683772161603E-13</v>
      </c>
      <c r="GV176" s="17">
        <f>GU176*VLOOKUP('Données projet'!$B$18,Paramètres!$A$1:$I$89,3,0)*VLOOKUP('Données projet'!$B$18,Paramètres!$A$1:$I$89,5,0)</f>
        <v>6.5087988332379613E-14</v>
      </c>
      <c r="GW176" s="13">
        <f t="shared" si="188"/>
        <v>1.0279249680474958E-12</v>
      </c>
      <c r="GX176" s="20">
        <f t="shared" si="189"/>
        <v>1.9036642323616162E-12</v>
      </c>
      <c r="GY176" s="59">
        <f t="shared" si="137"/>
        <v>292.09012782277148</v>
      </c>
      <c r="GZ176" s="59">
        <f ca="1">AVERAGE(OFFSET($GY$3,0,0,'Données projet'!$E$18+1,1))-AVERAGE(OFFSET($H$3,0,0,'Données projet'!$E$18+1,1))</f>
        <v>249.88816678272056</v>
      </c>
      <c r="HA176" s="59">
        <f t="shared" si="160"/>
        <v>432.10802787437319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4.8913416674783781</v>
      </c>
      <c r="HH176" s="21">
        <f>EXP(-LN(2)/25)*HH175+(1-EXP(-LN(2)/25))/(LN(2)/25)*Calculateur!HC176*Calculateur!HE176*VLOOKUP('Données projet'!$B$18,Paramètres!$A$1:$I$89,3,0)*0.475*44/12</f>
        <v>0.40816159001099755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5.2995032574893752</v>
      </c>
    </row>
    <row r="177" spans="1:218" x14ac:dyDescent="0.3">
      <c r="A177" s="10">
        <f t="shared" si="161"/>
        <v>174</v>
      </c>
      <c r="B177" s="71">
        <f>'Scénario référence'!$B$16*5+'Scénario référence'!$B$17*0+'Scénario référence'!$B$18*5</f>
        <v>1.4000000000000001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5.1333333333333337</v>
      </c>
      <c r="H177" s="65">
        <f t="shared" si="110"/>
        <v>236.13333333333335</v>
      </c>
      <c r="I177" s="6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319</v>
      </c>
      <c r="O177" s="13">
        <f>N177*VLOOKUP('Données projet'!$B$9,Paramètres!$A$1:$I$89,3,0)*VLOOKUP('Données projet'!$B$9,Paramètres!$A$1:$I$89,5,0)</f>
        <v>253.79640000000001</v>
      </c>
      <c r="P177" s="13">
        <f t="shared" si="141"/>
        <v>61.39816832228076</v>
      </c>
      <c r="Q177" s="20">
        <f t="shared" si="162"/>
        <v>548.96387316130563</v>
      </c>
      <c r="R177" s="59">
        <f t="shared" si="109"/>
        <v>841.07556782029224</v>
      </c>
      <c r="S177" s="59">
        <f ca="1">AVERAGE(OFFSET($R$3,0,0,'Données projet'!$E$9+1,1))-AVERAGE(OFFSET($H$3,0,0,'Données projet'!$E$9+1,1))</f>
        <v>360.06385535620069</v>
      </c>
      <c r="T177" s="59">
        <f t="shared" si="142"/>
        <v>350.82516032456408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8.263646015413336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8.263646015413336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277.77359999999993</v>
      </c>
      <c r="AK177" s="13">
        <f t="shared" si="164"/>
        <v>66.496288176842356</v>
      </c>
      <c r="AL177" s="20">
        <f t="shared" si="165"/>
        <v>599.60338857466706</v>
      </c>
      <c r="AM177" s="59">
        <f t="shared" si="113"/>
        <v>891.71508323365379</v>
      </c>
      <c r="AN177" s="59">
        <f ca="1">AVERAGE(OFFSET($AM$3,0,0,'Données projet'!$E$10+1,1))-AVERAGE(OFFSET($H$3,0,0,'Données projet'!$E$10+1,1))</f>
        <v>448.65237942538027</v>
      </c>
      <c r="AO177" s="59">
        <f t="shared" si="144"/>
        <v>283.56749129825107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31.115145519012234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31.115145519012234</v>
      </c>
      <c r="AY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403.99999999999989</v>
      </c>
      <c r="BE177" s="13">
        <f>BD177*VLOOKUP('Données projet'!$B$11,Paramètres!$A$1:$I$89,3,0)*VLOOKUP('Données projet'!$B$11,Paramètres!$A$1:$I$89,5,0)</f>
        <v>346.63199999999995</v>
      </c>
      <c r="BF177" s="13">
        <f t="shared" si="167"/>
        <v>80.868615263336864</v>
      </c>
      <c r="BG177" s="20">
        <f t="shared" si="168"/>
        <v>744.56357158364483</v>
      </c>
      <c r="BH177" s="59">
        <f t="shared" si="116"/>
        <v>1036.6752662426316</v>
      </c>
      <c r="BI177" s="59">
        <f ca="1">AVERAGE(OFFSET($BH$3,0,0,'Données projet'!$E$11+1,1))-AVERAGE(OFFSET($H$3,0,0,'Données projet'!$E$11+1,1))</f>
        <v>456.76871853389395</v>
      </c>
      <c r="BJ177" s="59">
        <f t="shared" si="146"/>
        <v>262.12425810289176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34.305310064242562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34.305310064242562</v>
      </c>
      <c r="BT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255.00000000000006</v>
      </c>
      <c r="BZ177" s="13">
        <f>BY177*VLOOKUP('Données projet'!$B$12,Paramètres!$A$1:$I$89,3,0)*VLOOKUP('Données projet'!$B$12,Paramètres!$A$1:$I$89,5,0)</f>
        <v>186.96600000000004</v>
      </c>
      <c r="CA177" s="13">
        <f t="shared" si="170"/>
        <v>46.868551400324648</v>
      </c>
      <c r="CB177" s="20">
        <f t="shared" si="171"/>
        <v>407.26184368889881</v>
      </c>
      <c r="CC177" s="59">
        <f t="shared" si="119"/>
        <v>699.37353834788541</v>
      </c>
      <c r="CD177" s="59">
        <f ca="1">AVERAGE(OFFSET($CC$3,0,0,'Données projet'!$E$12+1,1))-AVERAGE(OFFSET($H$3,0,0,'Données projet'!$E$12+1,1))</f>
        <v>242.65851607945316</v>
      </c>
      <c r="CE177" s="59">
        <f t="shared" si="148"/>
        <v>218.9349999985487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249.0000000000002</v>
      </c>
      <c r="CU177" s="17">
        <f>CT177*VLOOKUP('Données projet'!$B$13,Paramètres!$A$1:$I$89,3,0)*VLOOKUP('Données projet'!$B$13,Paramètres!$A$1:$I$89,5,0)</f>
        <v>217.52640000000019</v>
      </c>
      <c r="CV177" s="13">
        <f t="shared" si="173"/>
        <v>53.576907690651304</v>
      </c>
      <c r="CW177" s="20">
        <f t="shared" si="174"/>
        <v>472.17159422788467</v>
      </c>
      <c r="CX177" s="59">
        <f t="shared" si="122"/>
        <v>764.28328888687133</v>
      </c>
      <c r="CY177" s="59">
        <f ca="1">AVERAGE(OFFSET($CX$3,0,0,'Données projet'!$E$13+1,1))-AVERAGE(OFFSET($H$3,0,0,'Données projet'!$E$13+1,1))</f>
        <v>326.9460696675867</v>
      </c>
      <c r="CZ177" s="59">
        <f t="shared" si="150"/>
        <v>393.4020374592568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7.96247854010225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7.96247854010225</v>
      </c>
      <c r="DJ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349.00000000000017</v>
      </c>
      <c r="DP177" s="17">
        <f>DO177*VLOOKUP('Données projet'!$B$14,Paramètres!$A$1:$I$89,3,0)*VLOOKUP('Données projet'!$B$14,Paramètres!$A$1:$I$89,5,0)</f>
        <v>272.22000000000014</v>
      </c>
      <c r="DQ177" s="13">
        <f t="shared" si="176"/>
        <v>65.320184547527205</v>
      </c>
      <c r="DR177" s="20">
        <f t="shared" si="177"/>
        <v>587.88248808694345</v>
      </c>
      <c r="DS177" s="59">
        <f t="shared" si="125"/>
        <v>879.99418274593017</v>
      </c>
      <c r="DT177" s="59">
        <f ca="1">AVERAGE(OFFSET($DS$3,0,0,'Données projet'!$E$14+1,1))-AVERAGE(OFFSET($H$3,0,0,'Données projet'!$E$14+1,1))</f>
        <v>364.34528546733799</v>
      </c>
      <c r="DU177" s="59">
        <f t="shared" si="152"/>
        <v>346.5839763411152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11.050585106915808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11.050585106915808</v>
      </c>
      <c r="EE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213.98519999999999</v>
      </c>
      <c r="EL177" s="13">
        <f t="shared" si="179"/>
        <v>52.805497044008654</v>
      </c>
      <c r="EM177" s="20">
        <f t="shared" si="180"/>
        <v>464.66046401831505</v>
      </c>
      <c r="EN177" s="59">
        <f t="shared" si="128"/>
        <v>756.77215867730172</v>
      </c>
      <c r="EO177" s="59">
        <f ca="1">AVERAGE(OFFSET($EN$3,0,0,'Données projet'!$E$15+1,1))-AVERAGE(OFFSET($H$3,0,0,'Données projet'!$E$15+1,1))</f>
        <v>310.38232870602445</v>
      </c>
      <c r="EP177" s="59">
        <f t="shared" si="154"/>
        <v>303.45934457265537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6.9673878169171228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6.9673878169171228</v>
      </c>
      <c r="EZ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245.99999999999994</v>
      </c>
      <c r="FF177" s="17">
        <f>FE177*VLOOKUP('Données projet'!$B$16,Paramètres!$A$1:$I$89,3,0)*VLOOKUP('Données projet'!$B$16,Paramètres!$A$1:$I$89,5,0)</f>
        <v>234.09359999999998</v>
      </c>
      <c r="FG177" s="13">
        <f t="shared" si="182"/>
        <v>57.166902703920208</v>
      </c>
      <c r="FH177" s="20">
        <f t="shared" si="183"/>
        <v>507.27870887599425</v>
      </c>
      <c r="FI177" s="59">
        <f t="shared" si="131"/>
        <v>799.39040353498092</v>
      </c>
      <c r="FJ177" s="59">
        <f ca="1">AVERAGE(OFFSET($FI$3,0,0,'Données projet'!$E$16+1,1))-AVERAGE(OFFSET($H$3,0,0,'Données projet'!$E$16+1,1))</f>
        <v>457.706832425622</v>
      </c>
      <c r="FK177" s="59">
        <f t="shared" si="156"/>
        <v>474.61768219844873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24.239508678109466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24.239508678109466</v>
      </c>
      <c r="FU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319</v>
      </c>
      <c r="GA177" s="17">
        <f>FZ177*VLOOKUP('Données projet'!$B$17,Paramètres!$A$1:$I$89,3,0)*VLOOKUP('Données projet'!$B$17,Paramètres!$A$1:$I$89,5,0)</f>
        <v>308.53680000000003</v>
      </c>
      <c r="GB177" s="13">
        <f t="shared" si="185"/>
        <v>72.963171684496103</v>
      </c>
      <c r="GC177" s="20">
        <f t="shared" si="186"/>
        <v>664.4457840171641</v>
      </c>
      <c r="GD177" s="59">
        <f t="shared" si="134"/>
        <v>956.55747867615082</v>
      </c>
      <c r="GE177" s="59">
        <f ca="1">AVERAGE(OFFSET($GD$3,0,0,'Données projet'!$E$17+1,1))-AVERAGE(OFFSET($H$3,0,0,'Données projet'!$E$17+1,1))</f>
        <v>428.11167311086814</v>
      </c>
      <c r="GF177" s="59">
        <f t="shared" si="158"/>
        <v>415.69449942923609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8.1505291443181527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8.1505291443181527</v>
      </c>
      <c r="GP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1.1368683772161603E-13</v>
      </c>
      <c r="GV177" s="17">
        <f>GU177*VLOOKUP('Données projet'!$B$18,Paramètres!$A$1:$I$89,3,0)*VLOOKUP('Données projet'!$B$18,Paramètres!$A$1:$I$89,5,0)</f>
        <v>6.5087988332379613E-14</v>
      </c>
      <c r="GW177" s="13">
        <f t="shared" si="188"/>
        <v>1.0279249680474958E-12</v>
      </c>
      <c r="GX177" s="20">
        <f t="shared" si="189"/>
        <v>1.9036642323616162E-12</v>
      </c>
      <c r="GY177" s="59">
        <f t="shared" si="137"/>
        <v>292.11169465898854</v>
      </c>
      <c r="GZ177" s="59">
        <f ca="1">AVERAGE(OFFSET($GY$3,0,0,'Données projet'!$E$18+1,1))-AVERAGE(OFFSET($H$3,0,0,'Données projet'!$E$18+1,1))</f>
        <v>249.88816678272056</v>
      </c>
      <c r="HA177" s="59">
        <f t="shared" si="160"/>
        <v>432.10802787437319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4.7954254408029557</v>
      </c>
      <c r="HH177" s="21">
        <f>EXP(-LN(2)/25)*HH176+(1-EXP(-LN(2)/25))/(LN(2)/25)*Calculateur!HC177*Calculateur!HE177*VLOOKUP('Données projet'!$B$18,Paramètres!$A$1:$I$89,3,0)*0.475*44/12</f>
        <v>0.39700038986786168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5.1924258306708175</v>
      </c>
    </row>
    <row r="178" spans="1:218" x14ac:dyDescent="0.3">
      <c r="A178" s="10">
        <f t="shared" si="161"/>
        <v>175</v>
      </c>
      <c r="B178" s="71">
        <f>'Scénario référence'!$B$16*5+'Scénario référence'!$B$17*0+'Scénario référence'!$B$18*5</f>
        <v>1.4000000000000001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5.1333333333333337</v>
      </c>
      <c r="H178" s="65">
        <f t="shared" si="110"/>
        <v>236.13333333333335</v>
      </c>
      <c r="I178" s="6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319</v>
      </c>
      <c r="O178" s="13">
        <f>N178*VLOOKUP('Données projet'!$B$9,Paramètres!$A$1:$I$89,3,0)*VLOOKUP('Données projet'!$B$9,Paramètres!$A$1:$I$89,5,0)</f>
        <v>253.79640000000001</v>
      </c>
      <c r="P178" s="13">
        <f t="shared" si="141"/>
        <v>61.39816832228076</v>
      </c>
      <c r="Q178" s="20">
        <f t="shared" si="162"/>
        <v>548.96387316130563</v>
      </c>
      <c r="R178" s="59">
        <f t="shared" si="109"/>
        <v>841.09676052011741</v>
      </c>
      <c r="S178" s="59">
        <f ca="1">AVERAGE(OFFSET($R$3,0,0,'Données projet'!$E$9+1,1))-AVERAGE(OFFSET($H$3,0,0,'Données projet'!$E$9+1,1))</f>
        <v>360.06385535620069</v>
      </c>
      <c r="T178" s="59">
        <f t="shared" si="142"/>
        <v>350.82516032456408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8.1016009573774586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8.1016009573774586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277.77359999999993</v>
      </c>
      <c r="AK178" s="13">
        <f t="shared" si="164"/>
        <v>66.496288176842356</v>
      </c>
      <c r="AL178" s="20">
        <f t="shared" si="165"/>
        <v>599.60338857466706</v>
      </c>
      <c r="AM178" s="59">
        <f t="shared" si="113"/>
        <v>891.73627593347874</v>
      </c>
      <c r="AN178" s="59">
        <f ca="1">AVERAGE(OFFSET($AM$3,0,0,'Données projet'!$E$10+1,1))-AVERAGE(OFFSET($H$3,0,0,'Données projet'!$E$10+1,1))</f>
        <v>448.65237942538027</v>
      </c>
      <c r="AO178" s="59">
        <f t="shared" si="144"/>
        <v>283.56749129825107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30.504996493749214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30.504996493749214</v>
      </c>
      <c r="AY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403.99999999999989</v>
      </c>
      <c r="BE178" s="13">
        <f>BD178*VLOOKUP('Données projet'!$B$11,Paramètres!$A$1:$I$89,3,0)*VLOOKUP('Données projet'!$B$11,Paramètres!$A$1:$I$89,5,0)</f>
        <v>346.63199999999995</v>
      </c>
      <c r="BF178" s="13">
        <f t="shared" si="167"/>
        <v>80.868615263336864</v>
      </c>
      <c r="BG178" s="20">
        <f t="shared" si="168"/>
        <v>744.56357158364483</v>
      </c>
      <c r="BH178" s="59">
        <f t="shared" si="116"/>
        <v>1036.6964589424565</v>
      </c>
      <c r="BI178" s="59">
        <f ca="1">AVERAGE(OFFSET($BH$3,0,0,'Données projet'!$E$11+1,1))-AVERAGE(OFFSET($H$3,0,0,'Données projet'!$E$11+1,1))</f>
        <v>456.76871853389395</v>
      </c>
      <c r="BJ178" s="59">
        <f t="shared" si="146"/>
        <v>262.12425810289176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33.632603858055816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33.632603858055816</v>
      </c>
      <c r="BT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255.00000000000006</v>
      </c>
      <c r="BZ178" s="13">
        <f>BY178*VLOOKUP('Données projet'!$B$12,Paramètres!$A$1:$I$89,3,0)*VLOOKUP('Données projet'!$B$12,Paramètres!$A$1:$I$89,5,0)</f>
        <v>186.96600000000004</v>
      </c>
      <c r="CA178" s="13">
        <f t="shared" si="170"/>
        <v>46.868551400324648</v>
      </c>
      <c r="CB178" s="20">
        <f t="shared" si="171"/>
        <v>407.26184368889881</v>
      </c>
      <c r="CC178" s="59">
        <f t="shared" si="119"/>
        <v>699.39473104771059</v>
      </c>
      <c r="CD178" s="59">
        <f ca="1">AVERAGE(OFFSET($CC$3,0,0,'Données projet'!$E$12+1,1))-AVERAGE(OFFSET($H$3,0,0,'Données projet'!$E$12+1,1))</f>
        <v>242.65851607945316</v>
      </c>
      <c r="CE178" s="59">
        <f t="shared" si="148"/>
        <v>218.9349999985487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249.0000000000002</v>
      </c>
      <c r="CU178" s="17">
        <f>CT178*VLOOKUP('Données projet'!$B$13,Paramètres!$A$1:$I$89,3,0)*VLOOKUP('Données projet'!$B$13,Paramètres!$A$1:$I$89,5,0)</f>
        <v>217.52640000000019</v>
      </c>
      <c r="CV178" s="13">
        <f t="shared" si="173"/>
        <v>53.576907690651304</v>
      </c>
      <c r="CW178" s="20">
        <f t="shared" si="174"/>
        <v>472.17159422788467</v>
      </c>
      <c r="CX178" s="59">
        <f t="shared" si="122"/>
        <v>764.3044815866964</v>
      </c>
      <c r="CY178" s="59">
        <f ca="1">AVERAGE(OFFSET($CX$3,0,0,'Données projet'!$E$13+1,1))-AVERAGE(OFFSET($H$3,0,0,'Données projet'!$E$13+1,1))</f>
        <v>326.9460696675867</v>
      </c>
      <c r="CZ178" s="59">
        <f t="shared" si="150"/>
        <v>393.4020374592568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7.8063391925632013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7.8063391925632013</v>
      </c>
      <c r="DJ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349.00000000000017</v>
      </c>
      <c r="DP178" s="17">
        <f>DO178*VLOOKUP('Données projet'!$B$14,Paramètres!$A$1:$I$89,3,0)*VLOOKUP('Données projet'!$B$14,Paramètres!$A$1:$I$89,5,0)</f>
        <v>272.22000000000014</v>
      </c>
      <c r="DQ178" s="13">
        <f t="shared" si="176"/>
        <v>65.320184547527205</v>
      </c>
      <c r="DR178" s="20">
        <f t="shared" si="177"/>
        <v>587.88248808694345</v>
      </c>
      <c r="DS178" s="59">
        <f t="shared" si="125"/>
        <v>880.01537544575513</v>
      </c>
      <c r="DT178" s="59">
        <f ca="1">AVERAGE(OFFSET($DS$3,0,0,'Données projet'!$E$14+1,1))-AVERAGE(OFFSET($H$3,0,0,'Données projet'!$E$14+1,1))</f>
        <v>364.34528546733799</v>
      </c>
      <c r="DU178" s="59">
        <f t="shared" si="152"/>
        <v>346.5839763411152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10.833889873160565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10.833889873160565</v>
      </c>
      <c r="EE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213.98519999999999</v>
      </c>
      <c r="EL178" s="13">
        <f t="shared" si="179"/>
        <v>52.805497044008654</v>
      </c>
      <c r="EM178" s="20">
        <f t="shared" si="180"/>
        <v>464.66046401831505</v>
      </c>
      <c r="EN178" s="59">
        <f t="shared" si="128"/>
        <v>756.79335137712678</v>
      </c>
      <c r="EO178" s="59">
        <f ca="1">AVERAGE(OFFSET($EN$3,0,0,'Données projet'!$E$15+1,1))-AVERAGE(OFFSET($H$3,0,0,'Données projet'!$E$15+1,1))</f>
        <v>310.38232870602445</v>
      </c>
      <c r="EP178" s="59">
        <f t="shared" si="154"/>
        <v>303.45934457265537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6.8307615915143245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6.8307615915143245</v>
      </c>
      <c r="EZ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245.99999999999994</v>
      </c>
      <c r="FF178" s="17">
        <f>FE178*VLOOKUP('Données projet'!$B$16,Paramètres!$A$1:$I$89,3,0)*VLOOKUP('Données projet'!$B$16,Paramètres!$A$1:$I$89,5,0)</f>
        <v>234.09359999999998</v>
      </c>
      <c r="FG178" s="13">
        <f t="shared" si="182"/>
        <v>57.166902703920208</v>
      </c>
      <c r="FH178" s="20">
        <f t="shared" si="183"/>
        <v>507.27870887599425</v>
      </c>
      <c r="FI178" s="59">
        <f t="shared" si="131"/>
        <v>799.41159623480598</v>
      </c>
      <c r="FJ178" s="59">
        <f ca="1">AVERAGE(OFFSET($FI$3,0,0,'Données projet'!$E$16+1,1))-AVERAGE(OFFSET($H$3,0,0,'Données projet'!$E$16+1,1))</f>
        <v>457.706832425622</v>
      </c>
      <c r="FK178" s="59">
        <f t="shared" si="156"/>
        <v>474.61768219844873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23.764186697572171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23.764186697572171</v>
      </c>
      <c r="FU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319</v>
      </c>
      <c r="GA178" s="17">
        <f>FZ178*VLOOKUP('Données projet'!$B$17,Paramètres!$A$1:$I$89,3,0)*VLOOKUP('Données projet'!$B$17,Paramètres!$A$1:$I$89,5,0)</f>
        <v>308.53680000000003</v>
      </c>
      <c r="GB178" s="13">
        <f t="shared" si="185"/>
        <v>72.963171684496103</v>
      </c>
      <c r="GC178" s="20">
        <f t="shared" si="186"/>
        <v>664.4457840171641</v>
      </c>
      <c r="GD178" s="59">
        <f t="shared" si="134"/>
        <v>956.57867137597577</v>
      </c>
      <c r="GE178" s="59">
        <f ca="1">AVERAGE(OFFSET($GD$3,0,0,'Données projet'!$E$17+1,1))-AVERAGE(OFFSET($H$3,0,0,'Données projet'!$E$17+1,1))</f>
        <v>428.11167311086814</v>
      </c>
      <c r="GF178" s="59">
        <f t="shared" si="158"/>
        <v>415.69449942923609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7.9907022391299733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7.9907022391299733</v>
      </c>
      <c r="GP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1.1368683772161603E-13</v>
      </c>
      <c r="GV178" s="17">
        <f>GU178*VLOOKUP('Données projet'!$B$18,Paramètres!$A$1:$I$89,3,0)*VLOOKUP('Données projet'!$B$18,Paramètres!$A$1:$I$89,5,0)</f>
        <v>6.5087988332379613E-14</v>
      </c>
      <c r="GW178" s="13">
        <f t="shared" si="188"/>
        <v>1.0279249680474958E-12</v>
      </c>
      <c r="GX178" s="20">
        <f t="shared" si="189"/>
        <v>1.9036642323616162E-12</v>
      </c>
      <c r="GY178" s="59">
        <f t="shared" si="137"/>
        <v>292.1328873588136</v>
      </c>
      <c r="GZ178" s="59">
        <f ca="1">AVERAGE(OFFSET($GY$3,0,0,'Données projet'!$E$18+1,1))-AVERAGE(OFFSET($H$3,0,0,'Données projet'!$E$18+1,1))</f>
        <v>249.88816678272056</v>
      </c>
      <c r="HA178" s="59">
        <f t="shared" si="160"/>
        <v>432.10802787437319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4.7013900728295166</v>
      </c>
      <c r="HH178" s="21">
        <f>EXP(-LN(2)/25)*HH177+(1-EXP(-LN(2)/25))/(LN(2)/25)*Calculateur!HC178*Calculateur!HE178*VLOOKUP('Données projet'!$B$18,Paramètres!$A$1:$I$89,3,0)*0.475*44/12</f>
        <v>0.38614439332958184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5.0875344661590987</v>
      </c>
    </row>
    <row r="179" spans="1:218" x14ac:dyDescent="0.3">
      <c r="A179" s="10">
        <f t="shared" si="161"/>
        <v>176</v>
      </c>
      <c r="B179" s="71">
        <f>'Scénario référence'!$B$16*5+'Scénario référence'!$B$17*0+'Scénario référence'!$B$18*5</f>
        <v>1.4000000000000001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5.1333333333333337</v>
      </c>
      <c r="H179" s="65">
        <f t="shared" si="110"/>
        <v>236.13333333333335</v>
      </c>
      <c r="I179" s="6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319</v>
      </c>
      <c r="O179" s="13">
        <f>N179*VLOOKUP('Données projet'!$B$9,Paramètres!$A$1:$I$89,3,0)*VLOOKUP('Données projet'!$B$9,Paramètres!$A$1:$I$89,5,0)</f>
        <v>253.79640000000001</v>
      </c>
      <c r="P179" s="13">
        <f t="shared" si="141"/>
        <v>61.39816832228076</v>
      </c>
      <c r="Q179" s="20">
        <f t="shared" si="162"/>
        <v>548.96387316130563</v>
      </c>
      <c r="R179" s="59">
        <f t="shared" si="109"/>
        <v>841.11758557398025</v>
      </c>
      <c r="S179" s="59">
        <f ca="1">AVERAGE(OFFSET($R$3,0,0,'Données projet'!$E$9+1,1))-AVERAGE(OFFSET($H$3,0,0,'Données projet'!$E$9+1,1))</f>
        <v>360.06385535620069</v>
      </c>
      <c r="T179" s="59">
        <f t="shared" si="142"/>
        <v>350.82516032456408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7.9427335040919393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7.9427335040919393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277.77359999999993</v>
      </c>
      <c r="AK179" s="13">
        <f t="shared" si="164"/>
        <v>66.496288176842356</v>
      </c>
      <c r="AL179" s="20">
        <f t="shared" si="165"/>
        <v>599.60338857466706</v>
      </c>
      <c r="AM179" s="59">
        <f t="shared" si="113"/>
        <v>891.75710098734157</v>
      </c>
      <c r="AN179" s="59">
        <f ca="1">AVERAGE(OFFSET($AM$3,0,0,'Données projet'!$E$10+1,1))-AVERAGE(OFFSET($H$3,0,0,'Données projet'!$E$10+1,1))</f>
        <v>448.65237942538027</v>
      </c>
      <c r="AO179" s="59">
        <f t="shared" si="144"/>
        <v>283.56749129825107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29.906812118717443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29.906812118717443</v>
      </c>
      <c r="AY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403.99999999999989</v>
      </c>
      <c r="BE179" s="13">
        <f>BD179*VLOOKUP('Données projet'!$B$11,Paramètres!$A$1:$I$89,3,0)*VLOOKUP('Données projet'!$B$11,Paramètres!$A$1:$I$89,5,0)</f>
        <v>346.63199999999995</v>
      </c>
      <c r="BF179" s="13">
        <f t="shared" si="167"/>
        <v>80.868615263336864</v>
      </c>
      <c r="BG179" s="20">
        <f t="shared" si="168"/>
        <v>744.56357158364483</v>
      </c>
      <c r="BH179" s="59">
        <f t="shared" si="116"/>
        <v>1036.7172839963193</v>
      </c>
      <c r="BI179" s="59">
        <f ca="1">AVERAGE(OFFSET($BH$3,0,0,'Données projet'!$E$11+1,1))-AVERAGE(OFFSET($H$3,0,0,'Données projet'!$E$11+1,1))</f>
        <v>456.76871853389395</v>
      </c>
      <c r="BJ179" s="59">
        <f t="shared" si="146"/>
        <v>262.12425810289176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32.973089010262122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32.973089010262122</v>
      </c>
      <c r="BT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255.00000000000006</v>
      </c>
      <c r="BZ179" s="13">
        <f>BY179*VLOOKUP('Données projet'!$B$12,Paramètres!$A$1:$I$89,3,0)*VLOOKUP('Données projet'!$B$12,Paramètres!$A$1:$I$89,5,0)</f>
        <v>186.96600000000004</v>
      </c>
      <c r="CA179" s="13">
        <f t="shared" si="170"/>
        <v>46.868551400324648</v>
      </c>
      <c r="CB179" s="20">
        <f t="shared" si="171"/>
        <v>407.26184368889881</v>
      </c>
      <c r="CC179" s="59">
        <f t="shared" si="119"/>
        <v>699.41555610157343</v>
      </c>
      <c r="CD179" s="59">
        <f ca="1">AVERAGE(OFFSET($CC$3,0,0,'Données projet'!$E$12+1,1))-AVERAGE(OFFSET($H$3,0,0,'Données projet'!$E$12+1,1))</f>
        <v>242.65851607945316</v>
      </c>
      <c r="CE179" s="59">
        <f t="shared" si="148"/>
        <v>218.9349999985487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249.0000000000002</v>
      </c>
      <c r="CU179" s="17">
        <f>CT179*VLOOKUP('Données projet'!$B$13,Paramètres!$A$1:$I$89,3,0)*VLOOKUP('Données projet'!$B$13,Paramètres!$A$1:$I$89,5,0)</f>
        <v>217.52640000000019</v>
      </c>
      <c r="CV179" s="13">
        <f t="shared" si="173"/>
        <v>53.576907690651304</v>
      </c>
      <c r="CW179" s="20">
        <f t="shared" si="174"/>
        <v>472.17159422788467</v>
      </c>
      <c r="CX179" s="59">
        <f t="shared" si="122"/>
        <v>764.32530664055923</v>
      </c>
      <c r="CY179" s="59">
        <f ca="1">AVERAGE(OFFSET($CX$3,0,0,'Données projet'!$E$13+1,1))-AVERAGE(OFFSET($H$3,0,0,'Données projet'!$E$13+1,1))</f>
        <v>326.9460696675867</v>
      </c>
      <c r="CZ179" s="59">
        <f t="shared" si="150"/>
        <v>393.4020374592568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7.6532616423937956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7.6532616423937956</v>
      </c>
      <c r="DJ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349.00000000000017</v>
      </c>
      <c r="DP179" s="17">
        <f>DO179*VLOOKUP('Données projet'!$B$14,Paramètres!$A$1:$I$89,3,0)*VLOOKUP('Données projet'!$B$14,Paramètres!$A$1:$I$89,5,0)</f>
        <v>272.22000000000014</v>
      </c>
      <c r="DQ179" s="13">
        <f t="shared" si="176"/>
        <v>65.320184547527205</v>
      </c>
      <c r="DR179" s="20">
        <f t="shared" si="177"/>
        <v>587.88248808694345</v>
      </c>
      <c r="DS179" s="59">
        <f t="shared" si="125"/>
        <v>880.03620049961796</v>
      </c>
      <c r="DT179" s="59">
        <f ca="1">AVERAGE(OFFSET($DS$3,0,0,'Données projet'!$E$14+1,1))-AVERAGE(OFFSET($H$3,0,0,'Données projet'!$E$14+1,1))</f>
        <v>364.34528546733799</v>
      </c>
      <c r="DU179" s="59">
        <f t="shared" si="152"/>
        <v>346.5839763411152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10.621443900768222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10.621443900768222</v>
      </c>
      <c r="EE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213.98519999999999</v>
      </c>
      <c r="EL179" s="13">
        <f t="shared" si="179"/>
        <v>52.805497044008654</v>
      </c>
      <c r="EM179" s="20">
        <f t="shared" si="180"/>
        <v>464.66046401831505</v>
      </c>
      <c r="EN179" s="59">
        <f t="shared" si="128"/>
        <v>756.81417643098962</v>
      </c>
      <c r="EO179" s="59">
        <f ca="1">AVERAGE(OFFSET($EN$3,0,0,'Données projet'!$E$15+1,1))-AVERAGE(OFFSET($H$3,0,0,'Données projet'!$E$15+1,1))</f>
        <v>310.38232870602445</v>
      </c>
      <c r="EP179" s="59">
        <f t="shared" si="154"/>
        <v>303.45934457265537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6.6968145230579061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6.6968145230579061</v>
      </c>
      <c r="EZ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245.99999999999994</v>
      </c>
      <c r="FF179" s="17">
        <f>FE179*VLOOKUP('Données projet'!$B$16,Paramètres!$A$1:$I$89,3,0)*VLOOKUP('Données projet'!$B$16,Paramètres!$A$1:$I$89,5,0)</f>
        <v>234.09359999999998</v>
      </c>
      <c r="FG179" s="13">
        <f t="shared" si="182"/>
        <v>57.166902703920208</v>
      </c>
      <c r="FH179" s="20">
        <f t="shared" si="183"/>
        <v>507.27870887599425</v>
      </c>
      <c r="FI179" s="59">
        <f t="shared" si="131"/>
        <v>799.43242128866882</v>
      </c>
      <c r="FJ179" s="59">
        <f ca="1">AVERAGE(OFFSET($FI$3,0,0,'Données projet'!$E$16+1,1))-AVERAGE(OFFSET($H$3,0,0,'Données projet'!$E$16+1,1))</f>
        <v>457.706832425622</v>
      </c>
      <c r="FK179" s="59">
        <f t="shared" si="156"/>
        <v>474.61768219844873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23.298185491155433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23.298185491155433</v>
      </c>
      <c r="FU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319</v>
      </c>
      <c r="GA179" s="17">
        <f>FZ179*VLOOKUP('Données projet'!$B$17,Paramètres!$A$1:$I$89,3,0)*VLOOKUP('Données projet'!$B$17,Paramètres!$A$1:$I$89,5,0)</f>
        <v>308.53680000000003</v>
      </c>
      <c r="GB179" s="13">
        <f t="shared" si="185"/>
        <v>72.963171684496103</v>
      </c>
      <c r="GC179" s="20">
        <f t="shared" si="186"/>
        <v>664.4457840171641</v>
      </c>
      <c r="GD179" s="59">
        <f t="shared" si="134"/>
        <v>956.59949642983861</v>
      </c>
      <c r="GE179" s="59">
        <f ca="1">AVERAGE(OFFSET($GD$3,0,0,'Données projet'!$E$17+1,1))-AVERAGE(OFFSET($H$3,0,0,'Données projet'!$E$17+1,1))</f>
        <v>428.11167311086814</v>
      </c>
      <c r="GF179" s="59">
        <f t="shared" si="158"/>
        <v>415.69449942923609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7.8340094420677477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7.8340094420677477</v>
      </c>
      <c r="GP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1.1368683772161603E-13</v>
      </c>
      <c r="GV179" s="17">
        <f>GU179*VLOOKUP('Données projet'!$B$18,Paramètres!$A$1:$I$89,3,0)*VLOOKUP('Données projet'!$B$18,Paramètres!$A$1:$I$89,5,0)</f>
        <v>6.5087988332379613E-14</v>
      </c>
      <c r="GW179" s="13">
        <f t="shared" si="188"/>
        <v>1.0279249680474958E-12</v>
      </c>
      <c r="GX179" s="20">
        <f t="shared" si="189"/>
        <v>1.9036642323616162E-12</v>
      </c>
      <c r="GY179" s="59">
        <f t="shared" si="137"/>
        <v>292.15371241267644</v>
      </c>
      <c r="GZ179" s="59">
        <f ca="1">AVERAGE(OFFSET($GY$3,0,0,'Données projet'!$E$18+1,1))-AVERAGE(OFFSET($H$3,0,0,'Données projet'!$E$18+1,1))</f>
        <v>249.88816678272056</v>
      </c>
      <c r="HA179" s="59">
        <f t="shared" si="160"/>
        <v>432.10802787437319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4.6091986810661254</v>
      </c>
      <c r="HH179" s="21">
        <f>EXP(-LN(2)/25)*HH178+(1-EXP(-LN(2)/25))/(LN(2)/25)*Calculateur!HC179*Calculateur!HE179*VLOOKUP('Données projet'!$B$18,Paramètres!$A$1:$I$89,3,0)*0.475*44/12</f>
        <v>0.37558525458753333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4.9847839356536587</v>
      </c>
    </row>
    <row r="180" spans="1:218" x14ac:dyDescent="0.3">
      <c r="A180" s="10">
        <f t="shared" si="161"/>
        <v>177</v>
      </c>
      <c r="B180" s="71">
        <f>'Scénario référence'!$B$16*5+'Scénario référence'!$B$17*0+'Scénario référence'!$B$18*5</f>
        <v>1.4000000000000001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5.1333333333333337</v>
      </c>
      <c r="H180" s="65">
        <f t="shared" si="110"/>
        <v>236.13333333333335</v>
      </c>
      <c r="I180" s="6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319</v>
      </c>
      <c r="O180" s="13">
        <f>N180*VLOOKUP('Données projet'!$B$9,Paramètres!$A$1:$I$89,3,0)*VLOOKUP('Données projet'!$B$9,Paramètres!$A$1:$I$89,5,0)</f>
        <v>253.79640000000001</v>
      </c>
      <c r="P180" s="13">
        <f t="shared" si="141"/>
        <v>61.39816832228076</v>
      </c>
      <c r="Q180" s="20">
        <f t="shared" si="162"/>
        <v>548.96387316130563</v>
      </c>
      <c r="R180" s="59">
        <f t="shared" si="109"/>
        <v>841.13804935971621</v>
      </c>
      <c r="S180" s="59">
        <f ca="1">AVERAGE(OFFSET($R$3,0,0,'Données projet'!$E$9+1,1))-AVERAGE(OFFSET($H$3,0,0,'Données projet'!$E$9+1,1))</f>
        <v>360.06385535620069</v>
      </c>
      <c r="T180" s="59">
        <f t="shared" si="142"/>
        <v>350.82516032456408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7.7869813446657705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7.7869813446657705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277.77359999999993</v>
      </c>
      <c r="AK180" s="13">
        <f t="shared" si="164"/>
        <v>66.496288176842356</v>
      </c>
      <c r="AL180" s="20">
        <f t="shared" si="165"/>
        <v>599.60338857466706</v>
      </c>
      <c r="AM180" s="59">
        <f t="shared" si="113"/>
        <v>891.77756477307776</v>
      </c>
      <c r="AN180" s="59">
        <f ca="1">AVERAGE(OFFSET($AM$3,0,0,'Données projet'!$E$10+1,1))-AVERAGE(OFFSET($H$3,0,0,'Données projet'!$E$10+1,1))</f>
        <v>448.65237942538027</v>
      </c>
      <c r="AO180" s="59">
        <f t="shared" si="144"/>
        <v>283.56749129825107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29.320357774423602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29.320357774423602</v>
      </c>
      <c r="AY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403.99999999999989</v>
      </c>
      <c r="BE180" s="13">
        <f>BD180*VLOOKUP('Données projet'!$B$11,Paramètres!$A$1:$I$89,3,0)*VLOOKUP('Données projet'!$B$11,Paramètres!$A$1:$I$89,5,0)</f>
        <v>346.63199999999995</v>
      </c>
      <c r="BF180" s="13">
        <f t="shared" si="167"/>
        <v>80.868615263336864</v>
      </c>
      <c r="BG180" s="20">
        <f t="shared" si="168"/>
        <v>744.56357158364483</v>
      </c>
      <c r="BH180" s="59">
        <f t="shared" si="116"/>
        <v>1036.7377477820555</v>
      </c>
      <c r="BI180" s="59">
        <f ca="1">AVERAGE(OFFSET($BH$3,0,0,'Données projet'!$E$11+1,1))-AVERAGE(OFFSET($H$3,0,0,'Données projet'!$E$11+1,1))</f>
        <v>456.76871853389395</v>
      </c>
      <c r="BJ180" s="59">
        <f t="shared" si="146"/>
        <v>262.12425810289176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32.32650684636932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32.32650684636932</v>
      </c>
      <c r="BT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255.00000000000006</v>
      </c>
      <c r="BZ180" s="13">
        <f>BY180*VLOOKUP('Données projet'!$B$12,Paramètres!$A$1:$I$89,3,0)*VLOOKUP('Données projet'!$B$12,Paramètres!$A$1:$I$89,5,0)</f>
        <v>186.96600000000004</v>
      </c>
      <c r="CA180" s="13">
        <f t="shared" si="170"/>
        <v>46.868551400324648</v>
      </c>
      <c r="CB180" s="20">
        <f t="shared" si="171"/>
        <v>407.26184368889881</v>
      </c>
      <c r="CC180" s="59">
        <f t="shared" si="119"/>
        <v>699.43601988730939</v>
      </c>
      <c r="CD180" s="59">
        <f ca="1">AVERAGE(OFFSET($CC$3,0,0,'Données projet'!$E$12+1,1))-AVERAGE(OFFSET($H$3,0,0,'Données projet'!$E$12+1,1))</f>
        <v>242.65851607945316</v>
      </c>
      <c r="CE180" s="59">
        <f t="shared" si="148"/>
        <v>218.9349999985487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249.0000000000002</v>
      </c>
      <c r="CU180" s="17">
        <f>CT180*VLOOKUP('Données projet'!$B$13,Paramètres!$A$1:$I$89,3,0)*VLOOKUP('Données projet'!$B$13,Paramètres!$A$1:$I$89,5,0)</f>
        <v>217.52640000000019</v>
      </c>
      <c r="CV180" s="13">
        <f t="shared" si="173"/>
        <v>53.576907690651304</v>
      </c>
      <c r="CW180" s="20">
        <f t="shared" si="174"/>
        <v>472.17159422788467</v>
      </c>
      <c r="CX180" s="59">
        <f t="shared" si="122"/>
        <v>764.3457704262953</v>
      </c>
      <c r="CY180" s="59">
        <f ca="1">AVERAGE(OFFSET($CX$3,0,0,'Données projet'!$E$13+1,1))-AVERAGE(OFFSET($H$3,0,0,'Données projet'!$E$13+1,1))</f>
        <v>326.9460696675867</v>
      </c>
      <c r="CZ180" s="59">
        <f t="shared" si="150"/>
        <v>393.4020374592568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7.5031858496151251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7.5031858496151251</v>
      </c>
      <c r="DJ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349.00000000000017</v>
      </c>
      <c r="DP180" s="17">
        <f>DO180*VLOOKUP('Données projet'!$B$14,Paramètres!$A$1:$I$89,3,0)*VLOOKUP('Données projet'!$B$14,Paramètres!$A$1:$I$89,5,0)</f>
        <v>272.22000000000014</v>
      </c>
      <c r="DQ180" s="13">
        <f t="shared" si="176"/>
        <v>65.320184547527205</v>
      </c>
      <c r="DR180" s="20">
        <f t="shared" si="177"/>
        <v>587.88248808694345</v>
      </c>
      <c r="DS180" s="59">
        <f t="shared" si="125"/>
        <v>880.05666428535415</v>
      </c>
      <c r="DT180" s="59">
        <f ca="1">AVERAGE(OFFSET($DS$3,0,0,'Données projet'!$E$14+1,1))-AVERAGE(OFFSET($H$3,0,0,'Données projet'!$E$14+1,1))</f>
        <v>364.34528546733799</v>
      </c>
      <c r="DU180" s="59">
        <f t="shared" si="152"/>
        <v>346.5839763411152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10.413163864315244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10.413163864315244</v>
      </c>
      <c r="EE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213.98519999999999</v>
      </c>
      <c r="EL180" s="13">
        <f t="shared" si="179"/>
        <v>52.805497044008654</v>
      </c>
      <c r="EM180" s="20">
        <f t="shared" si="180"/>
        <v>464.66046401831505</v>
      </c>
      <c r="EN180" s="59">
        <f t="shared" si="128"/>
        <v>756.83464021672569</v>
      </c>
      <c r="EO180" s="59">
        <f ca="1">AVERAGE(OFFSET($EN$3,0,0,'Données projet'!$E$15+1,1))-AVERAGE(OFFSET($H$3,0,0,'Données projet'!$E$15+1,1))</f>
        <v>310.38232870602445</v>
      </c>
      <c r="EP180" s="59">
        <f t="shared" si="154"/>
        <v>303.45934457265537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6.5654940749142741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6.5654940749142741</v>
      </c>
      <c r="EZ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245.99999999999994</v>
      </c>
      <c r="FF180" s="17">
        <f>FE180*VLOOKUP('Données projet'!$B$16,Paramètres!$A$1:$I$89,3,0)*VLOOKUP('Données projet'!$B$16,Paramètres!$A$1:$I$89,5,0)</f>
        <v>234.09359999999998</v>
      </c>
      <c r="FG180" s="13">
        <f t="shared" si="182"/>
        <v>57.166902703920208</v>
      </c>
      <c r="FH180" s="20">
        <f t="shared" si="183"/>
        <v>507.27870887599425</v>
      </c>
      <c r="FI180" s="59">
        <f t="shared" si="131"/>
        <v>799.45288507440489</v>
      </c>
      <c r="FJ180" s="59">
        <f ca="1">AVERAGE(OFFSET($FI$3,0,0,'Données projet'!$E$16+1,1))-AVERAGE(OFFSET($H$3,0,0,'Données projet'!$E$16+1,1))</f>
        <v>457.706832425622</v>
      </c>
      <c r="FK180" s="59">
        <f t="shared" si="156"/>
        <v>474.61768219844873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22.841322284163855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22.841322284163855</v>
      </c>
      <c r="FU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319</v>
      </c>
      <c r="GA180" s="17">
        <f>FZ180*VLOOKUP('Données projet'!$B$17,Paramètres!$A$1:$I$89,3,0)*VLOOKUP('Données projet'!$B$17,Paramètres!$A$1:$I$89,5,0)</f>
        <v>308.53680000000003</v>
      </c>
      <c r="GB180" s="13">
        <f t="shared" si="185"/>
        <v>72.963171684496103</v>
      </c>
      <c r="GC180" s="20">
        <f t="shared" si="186"/>
        <v>664.4457840171641</v>
      </c>
      <c r="GD180" s="59">
        <f t="shared" si="134"/>
        <v>956.61996021557479</v>
      </c>
      <c r="GE180" s="59">
        <f ca="1">AVERAGE(OFFSET($GD$3,0,0,'Données projet'!$E$17+1,1))-AVERAGE(OFFSET($H$3,0,0,'Données projet'!$E$17+1,1))</f>
        <v>428.11167311086814</v>
      </c>
      <c r="GF180" s="59">
        <f t="shared" si="158"/>
        <v>415.69449942923609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7.6803892951827439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7.6803892951827439</v>
      </c>
      <c r="GP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1.1368683772161603E-13</v>
      </c>
      <c r="GV180" s="17">
        <f>GU180*VLOOKUP('Données projet'!$B$18,Paramètres!$A$1:$I$89,3,0)*VLOOKUP('Données projet'!$B$18,Paramètres!$A$1:$I$89,5,0)</f>
        <v>6.5087988332379613E-14</v>
      </c>
      <c r="GW180" s="13">
        <f t="shared" si="188"/>
        <v>1.0279249680474958E-12</v>
      </c>
      <c r="GX180" s="20">
        <f t="shared" si="189"/>
        <v>1.9036642323616162E-12</v>
      </c>
      <c r="GY180" s="59">
        <f t="shared" si="137"/>
        <v>292.17417619841251</v>
      </c>
      <c r="GZ180" s="59">
        <f ca="1">AVERAGE(OFFSET($GY$3,0,0,'Données projet'!$E$18+1,1))-AVERAGE(OFFSET($H$3,0,0,'Données projet'!$E$18+1,1))</f>
        <v>249.88816678272056</v>
      </c>
      <c r="HA180" s="59">
        <f t="shared" si="160"/>
        <v>432.10802787437319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4.5188151062640181</v>
      </c>
      <c r="HH180" s="21">
        <f>EXP(-LN(2)/25)*HH179+(1-EXP(-LN(2)/25))/(LN(2)/25)*Calculateur!HC180*Calculateur!HE180*VLOOKUP('Données projet'!$B$18,Paramètres!$A$1:$I$89,3,0)*0.475*44/12</f>
        <v>0.36531485604966712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4.8841299623136853</v>
      </c>
    </row>
    <row r="181" spans="1:218" x14ac:dyDescent="0.3">
      <c r="A181" s="10">
        <f t="shared" si="161"/>
        <v>178</v>
      </c>
      <c r="B181" s="71">
        <f>'Scénario référence'!$B$16*5+'Scénario référence'!$B$17*0+'Scénario référence'!$B$18*5</f>
        <v>1.4000000000000001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5.1333333333333337</v>
      </c>
      <c r="H181" s="65">
        <f t="shared" si="110"/>
        <v>236.13333333333335</v>
      </c>
      <c r="I181" s="6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319</v>
      </c>
      <c r="O181" s="13">
        <f>N181*VLOOKUP('Données projet'!$B$9,Paramètres!$A$1:$I$89,3,0)*VLOOKUP('Données projet'!$B$9,Paramètres!$A$1:$I$89,5,0)</f>
        <v>253.79640000000001</v>
      </c>
      <c r="P181" s="13">
        <f t="shared" si="141"/>
        <v>61.39816832228076</v>
      </c>
      <c r="Q181" s="20">
        <f t="shared" si="162"/>
        <v>548.96387316130563</v>
      </c>
      <c r="R181" s="59">
        <f t="shared" si="109"/>
        <v>841.15815814452003</v>
      </c>
      <c r="S181" s="59">
        <f ca="1">AVERAGE(OFFSET($R$3,0,0,'Données projet'!$E$9+1,1))-AVERAGE(OFFSET($H$3,0,0,'Données projet'!$E$9+1,1))</f>
        <v>360.06385535620069</v>
      </c>
      <c r="T181" s="59">
        <f t="shared" si="142"/>
        <v>350.82516032456408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7.6342833900865124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7.6342833900865124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277.77359999999993</v>
      </c>
      <c r="AK181" s="13">
        <f t="shared" si="164"/>
        <v>66.496288176842356</v>
      </c>
      <c r="AL181" s="20">
        <f t="shared" si="165"/>
        <v>599.60338857466706</v>
      </c>
      <c r="AM181" s="59">
        <f t="shared" si="113"/>
        <v>891.79767355788158</v>
      </c>
      <c r="AN181" s="59">
        <f ca="1">AVERAGE(OFFSET($AM$3,0,0,'Données projet'!$E$10+1,1))-AVERAGE(OFFSET($H$3,0,0,'Données projet'!$E$10+1,1))</f>
        <v>448.65237942538027</v>
      </c>
      <c r="AO181" s="59">
        <f t="shared" si="144"/>
        <v>283.56749129825107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28.745403442119535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28.745403442119535</v>
      </c>
      <c r="AY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403.99999999999989</v>
      </c>
      <c r="BE181" s="13">
        <f>BD181*VLOOKUP('Données projet'!$B$11,Paramètres!$A$1:$I$89,3,0)*VLOOKUP('Données projet'!$B$11,Paramètres!$A$1:$I$89,5,0)</f>
        <v>346.63199999999995</v>
      </c>
      <c r="BF181" s="13">
        <f t="shared" si="167"/>
        <v>80.868615263336864</v>
      </c>
      <c r="BG181" s="20">
        <f t="shared" si="168"/>
        <v>744.56357158364483</v>
      </c>
      <c r="BH181" s="59">
        <f t="shared" si="116"/>
        <v>1036.7578565668593</v>
      </c>
      <c r="BI181" s="59">
        <f ca="1">AVERAGE(OFFSET($BH$3,0,0,'Données projet'!$E$11+1,1))-AVERAGE(OFFSET($H$3,0,0,'Données projet'!$E$11+1,1))</f>
        <v>456.76871853389395</v>
      </c>
      <c r="BJ181" s="59">
        <f t="shared" si="146"/>
        <v>262.12425810289176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31.69260376433428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31.69260376433428</v>
      </c>
      <c r="BT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255.00000000000006</v>
      </c>
      <c r="BZ181" s="13">
        <f>BY181*VLOOKUP('Données projet'!$B$12,Paramètres!$A$1:$I$89,3,0)*VLOOKUP('Données projet'!$B$12,Paramètres!$A$1:$I$89,5,0)</f>
        <v>186.96600000000004</v>
      </c>
      <c r="CA181" s="13">
        <f t="shared" si="170"/>
        <v>46.868551400324648</v>
      </c>
      <c r="CB181" s="20">
        <f t="shared" si="171"/>
        <v>407.26184368889881</v>
      </c>
      <c r="CC181" s="59">
        <f t="shared" si="119"/>
        <v>699.45612867211321</v>
      </c>
      <c r="CD181" s="59">
        <f ca="1">AVERAGE(OFFSET($CC$3,0,0,'Données projet'!$E$12+1,1))-AVERAGE(OFFSET($H$3,0,0,'Données projet'!$E$12+1,1))</f>
        <v>242.65851607945316</v>
      </c>
      <c r="CE181" s="59">
        <f t="shared" si="148"/>
        <v>218.9349999985487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249.0000000000002</v>
      </c>
      <c r="CU181" s="17">
        <f>CT181*VLOOKUP('Données projet'!$B$13,Paramètres!$A$1:$I$89,3,0)*VLOOKUP('Données projet'!$B$13,Paramètres!$A$1:$I$89,5,0)</f>
        <v>217.52640000000019</v>
      </c>
      <c r="CV181" s="13">
        <f t="shared" si="173"/>
        <v>53.576907690651304</v>
      </c>
      <c r="CW181" s="20">
        <f t="shared" si="174"/>
        <v>472.17159422788467</v>
      </c>
      <c r="CX181" s="59">
        <f t="shared" si="122"/>
        <v>764.36587921109913</v>
      </c>
      <c r="CY181" s="59">
        <f ca="1">AVERAGE(OFFSET($CX$3,0,0,'Données projet'!$E$13+1,1))-AVERAGE(OFFSET($H$3,0,0,'Données projet'!$E$13+1,1))</f>
        <v>326.9460696675867</v>
      </c>
      <c r="CZ181" s="59">
        <f t="shared" si="150"/>
        <v>393.4020374592568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7.3560529515956494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7.3560529515956494</v>
      </c>
      <c r="DJ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349.00000000000017</v>
      </c>
      <c r="DP181" s="17">
        <f>DO181*VLOOKUP('Données projet'!$B$14,Paramètres!$A$1:$I$89,3,0)*VLOOKUP('Données projet'!$B$14,Paramètres!$A$1:$I$89,5,0)</f>
        <v>272.22000000000014</v>
      </c>
      <c r="DQ181" s="13">
        <f t="shared" si="176"/>
        <v>65.320184547527205</v>
      </c>
      <c r="DR181" s="20">
        <f t="shared" si="177"/>
        <v>587.88248808694345</v>
      </c>
      <c r="DS181" s="59">
        <f t="shared" si="125"/>
        <v>880.07677307015797</v>
      </c>
      <c r="DT181" s="59">
        <f ca="1">AVERAGE(OFFSET($DS$3,0,0,'Données projet'!$E$14+1,1))-AVERAGE(OFFSET($H$3,0,0,'Données projet'!$E$14+1,1))</f>
        <v>364.34528546733799</v>
      </c>
      <c r="DU181" s="59">
        <f t="shared" si="152"/>
        <v>346.5839763411152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10.208968072338831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10.208968072338831</v>
      </c>
      <c r="EE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213.98519999999999</v>
      </c>
      <c r="EL181" s="13">
        <f t="shared" si="179"/>
        <v>52.805497044008654</v>
      </c>
      <c r="EM181" s="20">
        <f t="shared" si="180"/>
        <v>464.66046401831505</v>
      </c>
      <c r="EN181" s="59">
        <f t="shared" si="128"/>
        <v>756.85474900152951</v>
      </c>
      <c r="EO181" s="59">
        <f ca="1">AVERAGE(OFFSET($EN$3,0,0,'Données projet'!$E$15+1,1))-AVERAGE(OFFSET($H$3,0,0,'Données projet'!$E$15+1,1))</f>
        <v>310.38232870602445</v>
      </c>
      <c r="EP181" s="59">
        <f t="shared" si="154"/>
        <v>303.45934457265537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6.4367487406611739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6.4367487406611739</v>
      </c>
      <c r="EZ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245.99999999999994</v>
      </c>
      <c r="FF181" s="17">
        <f>FE181*VLOOKUP('Données projet'!$B$16,Paramètres!$A$1:$I$89,3,0)*VLOOKUP('Données projet'!$B$16,Paramètres!$A$1:$I$89,5,0)</f>
        <v>234.09359999999998</v>
      </c>
      <c r="FG181" s="13">
        <f t="shared" si="182"/>
        <v>57.166902703920208</v>
      </c>
      <c r="FH181" s="20">
        <f t="shared" si="183"/>
        <v>507.27870887599425</v>
      </c>
      <c r="FI181" s="59">
        <f t="shared" si="131"/>
        <v>799.47299385920871</v>
      </c>
      <c r="FJ181" s="59">
        <f ca="1">AVERAGE(OFFSET($FI$3,0,0,'Données projet'!$E$16+1,1))-AVERAGE(OFFSET($H$3,0,0,'Données projet'!$E$16+1,1))</f>
        <v>457.706832425622</v>
      </c>
      <c r="FK181" s="59">
        <f t="shared" si="156"/>
        <v>474.61768219844873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22.393417886002339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22.393417886002339</v>
      </c>
      <c r="FU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319</v>
      </c>
      <c r="GA181" s="17">
        <f>FZ181*VLOOKUP('Données projet'!$B$17,Paramètres!$A$1:$I$89,3,0)*VLOOKUP('Données projet'!$B$17,Paramètres!$A$1:$I$89,5,0)</f>
        <v>308.53680000000003</v>
      </c>
      <c r="GB181" s="13">
        <f t="shared" si="185"/>
        <v>72.963171684496103</v>
      </c>
      <c r="GC181" s="20">
        <f t="shared" si="186"/>
        <v>664.4457840171641</v>
      </c>
      <c r="GD181" s="59">
        <f t="shared" si="134"/>
        <v>956.64006900037862</v>
      </c>
      <c r="GE181" s="59">
        <f ca="1">AVERAGE(OFFSET($GD$3,0,0,'Données projet'!$E$17+1,1))-AVERAGE(OFFSET($H$3,0,0,'Données projet'!$E$17+1,1))</f>
        <v>428.11167311086814</v>
      </c>
      <c r="GF181" s="59">
        <f t="shared" si="158"/>
        <v>415.69449942923609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7.5297815456791168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7.5297815456791168</v>
      </c>
      <c r="GP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1.1368683772161603E-13</v>
      </c>
      <c r="GV181" s="17">
        <f>GU181*VLOOKUP('Données projet'!$B$18,Paramètres!$A$1:$I$89,3,0)*VLOOKUP('Données projet'!$B$18,Paramètres!$A$1:$I$89,5,0)</f>
        <v>6.5087988332379613E-14</v>
      </c>
      <c r="GW181" s="13">
        <f t="shared" si="188"/>
        <v>1.0279249680474958E-12</v>
      </c>
      <c r="GX181" s="20">
        <f t="shared" si="189"/>
        <v>1.9036642323616162E-12</v>
      </c>
      <c r="GY181" s="59">
        <f t="shared" si="137"/>
        <v>292.19428498321633</v>
      </c>
      <c r="GZ181" s="59">
        <f ca="1">AVERAGE(OFFSET($GY$3,0,0,'Données projet'!$E$18+1,1))-AVERAGE(OFFSET($H$3,0,0,'Données projet'!$E$18+1,1))</f>
        <v>249.88816678272056</v>
      </c>
      <c r="HA181" s="59">
        <f t="shared" si="160"/>
        <v>432.10802787437319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4.4302038982352432</v>
      </c>
      <c r="HH181" s="21">
        <f>EXP(-LN(2)/25)*HH180+(1-EXP(-LN(2)/25))/(LN(2)/25)*Calculateur!HC181*Calculateur!HE181*VLOOKUP('Données projet'!$B$18,Paramètres!$A$1:$I$89,3,0)*0.475*44/12</f>
        <v>0.35532530209991564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4.7855292003351586</v>
      </c>
    </row>
    <row r="182" spans="1:218" x14ac:dyDescent="0.3">
      <c r="A182" s="10">
        <f t="shared" si="161"/>
        <v>179</v>
      </c>
      <c r="B182" s="71">
        <f>'Scénario référence'!$B$16*5+'Scénario référence'!$B$17*0+'Scénario référence'!$B$18*5</f>
        <v>1.4000000000000001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5.1333333333333337</v>
      </c>
      <c r="H182" s="65">
        <f t="shared" si="110"/>
        <v>236.13333333333335</v>
      </c>
      <c r="I182" s="6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319</v>
      </c>
      <c r="O182" s="13">
        <f>N182*VLOOKUP('Données projet'!$B$9,Paramètres!$A$1:$I$89,3,0)*VLOOKUP('Données projet'!$B$9,Paramètres!$A$1:$I$89,5,0)</f>
        <v>253.79640000000001</v>
      </c>
      <c r="P182" s="13">
        <f t="shared" si="141"/>
        <v>61.39816832228076</v>
      </c>
      <c r="Q182" s="20">
        <f t="shared" si="162"/>
        <v>548.96387316130563</v>
      </c>
      <c r="R182" s="59">
        <f t="shared" si="109"/>
        <v>841.17791808686411</v>
      </c>
      <c r="S182" s="59">
        <f ca="1">AVERAGE(OFFSET($R$3,0,0,'Données projet'!$E$9+1,1))-AVERAGE(OFFSET($H$3,0,0,'Données projet'!$E$9+1,1))</f>
        <v>360.06385535620069</v>
      </c>
      <c r="T182" s="59">
        <f t="shared" si="142"/>
        <v>350.82516032456408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7.4845797492599973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7.4845797492599973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277.77359999999993</v>
      </c>
      <c r="AK182" s="13">
        <f t="shared" si="164"/>
        <v>66.496288176842356</v>
      </c>
      <c r="AL182" s="20">
        <f t="shared" si="165"/>
        <v>599.60338857466706</v>
      </c>
      <c r="AM182" s="59">
        <f t="shared" si="113"/>
        <v>891.81743350022543</v>
      </c>
      <c r="AN182" s="59">
        <f ca="1">AVERAGE(OFFSET($AM$3,0,0,'Données projet'!$E$10+1,1))-AVERAGE(OFFSET($H$3,0,0,'Données projet'!$E$10+1,1))</f>
        <v>448.65237942538027</v>
      </c>
      <c r="AO182" s="59">
        <f t="shared" si="144"/>
        <v>283.56749129825107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28.181723613584435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28.181723613584435</v>
      </c>
      <c r="AY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403.99999999999989</v>
      </c>
      <c r="BE182" s="13">
        <f>BD182*VLOOKUP('Données projet'!$B$11,Paramètres!$A$1:$I$89,3,0)*VLOOKUP('Données projet'!$B$11,Paramètres!$A$1:$I$89,5,0)</f>
        <v>346.63199999999995</v>
      </c>
      <c r="BF182" s="13">
        <f t="shared" si="167"/>
        <v>80.868615263336864</v>
      </c>
      <c r="BG182" s="20">
        <f t="shared" si="168"/>
        <v>744.56357158364483</v>
      </c>
      <c r="BH182" s="59">
        <f t="shared" si="116"/>
        <v>1036.7776165092032</v>
      </c>
      <c r="BI182" s="59">
        <f ca="1">AVERAGE(OFFSET($BH$3,0,0,'Données projet'!$E$11+1,1))-AVERAGE(OFFSET($H$3,0,0,'Données projet'!$E$11+1,1))</f>
        <v>456.76871853389395</v>
      </c>
      <c r="BJ182" s="59">
        <f t="shared" si="146"/>
        <v>262.12425810289176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31.071131135095243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31.071131135095243</v>
      </c>
      <c r="BT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255.00000000000006</v>
      </c>
      <c r="BZ182" s="13">
        <f>BY182*VLOOKUP('Données projet'!$B$12,Paramètres!$A$1:$I$89,3,0)*VLOOKUP('Données projet'!$B$12,Paramètres!$A$1:$I$89,5,0)</f>
        <v>186.96600000000004</v>
      </c>
      <c r="CA182" s="13">
        <f t="shared" si="170"/>
        <v>46.868551400324648</v>
      </c>
      <c r="CB182" s="20">
        <f t="shared" si="171"/>
        <v>407.26184368889881</v>
      </c>
      <c r="CC182" s="59">
        <f t="shared" si="119"/>
        <v>699.47588861445729</v>
      </c>
      <c r="CD182" s="59">
        <f ca="1">AVERAGE(OFFSET($CC$3,0,0,'Données projet'!$E$12+1,1))-AVERAGE(OFFSET($H$3,0,0,'Données projet'!$E$12+1,1))</f>
        <v>242.65851607945316</v>
      </c>
      <c r="CE182" s="59">
        <f t="shared" si="148"/>
        <v>218.9349999985487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249.0000000000002</v>
      </c>
      <c r="CU182" s="17">
        <f>CT182*VLOOKUP('Données projet'!$B$13,Paramètres!$A$1:$I$89,3,0)*VLOOKUP('Données projet'!$B$13,Paramètres!$A$1:$I$89,5,0)</f>
        <v>217.52640000000019</v>
      </c>
      <c r="CV182" s="13">
        <f t="shared" si="173"/>
        <v>53.576907690651304</v>
      </c>
      <c r="CW182" s="20">
        <f t="shared" si="174"/>
        <v>472.17159422788467</v>
      </c>
      <c r="CX182" s="59">
        <f t="shared" si="122"/>
        <v>764.38563915344309</v>
      </c>
      <c r="CY182" s="59">
        <f ca="1">AVERAGE(OFFSET($CX$3,0,0,'Données projet'!$E$13+1,1))-AVERAGE(OFFSET($H$3,0,0,'Données projet'!$E$13+1,1))</f>
        <v>326.9460696675867</v>
      </c>
      <c r="CZ182" s="59">
        <f t="shared" si="150"/>
        <v>393.4020374592568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7.2118052399641295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7.2118052399641295</v>
      </c>
      <c r="DJ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349.00000000000017</v>
      </c>
      <c r="DP182" s="17">
        <f>DO182*VLOOKUP('Données projet'!$B$14,Paramètres!$A$1:$I$89,3,0)*VLOOKUP('Données projet'!$B$14,Paramètres!$A$1:$I$89,5,0)</f>
        <v>272.22000000000014</v>
      </c>
      <c r="DQ182" s="13">
        <f t="shared" si="176"/>
        <v>65.320184547527205</v>
      </c>
      <c r="DR182" s="20">
        <f t="shared" si="177"/>
        <v>587.88248808694345</v>
      </c>
      <c r="DS182" s="59">
        <f t="shared" si="125"/>
        <v>880.09653301250182</v>
      </c>
      <c r="DT182" s="59">
        <f ca="1">AVERAGE(OFFSET($DS$3,0,0,'Données projet'!$E$14+1,1))-AVERAGE(OFFSET($H$3,0,0,'Données projet'!$E$14+1,1))</f>
        <v>364.34528546733799</v>
      </c>
      <c r="DU182" s="59">
        <f t="shared" si="152"/>
        <v>346.5839763411152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10.008776435295939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10.008776435295939</v>
      </c>
      <c r="EE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213.98519999999999</v>
      </c>
      <c r="EL182" s="13">
        <f t="shared" si="179"/>
        <v>52.805497044008654</v>
      </c>
      <c r="EM182" s="20">
        <f t="shared" si="180"/>
        <v>464.66046401831505</v>
      </c>
      <c r="EN182" s="59">
        <f t="shared" si="128"/>
        <v>756.87450894387348</v>
      </c>
      <c r="EO182" s="59">
        <f ca="1">AVERAGE(OFFSET($EN$3,0,0,'Données projet'!$E$15+1,1))-AVERAGE(OFFSET($H$3,0,0,'Données projet'!$E$15+1,1))</f>
        <v>310.38232870602445</v>
      </c>
      <c r="EP182" s="59">
        <f t="shared" si="154"/>
        <v>303.45934457265537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6.310528023885877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6.310528023885877</v>
      </c>
      <c r="EZ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245.99999999999994</v>
      </c>
      <c r="FF182" s="17">
        <f>FE182*VLOOKUP('Données projet'!$B$16,Paramètres!$A$1:$I$89,3,0)*VLOOKUP('Données projet'!$B$16,Paramètres!$A$1:$I$89,5,0)</f>
        <v>234.09359999999998</v>
      </c>
      <c r="FG182" s="13">
        <f t="shared" si="182"/>
        <v>57.166902703920208</v>
      </c>
      <c r="FH182" s="20">
        <f t="shared" si="183"/>
        <v>507.27870887599425</v>
      </c>
      <c r="FI182" s="59">
        <f t="shared" si="131"/>
        <v>799.49275380155268</v>
      </c>
      <c r="FJ182" s="59">
        <f ca="1">AVERAGE(OFFSET($FI$3,0,0,'Données projet'!$E$16+1,1))-AVERAGE(OFFSET($H$3,0,0,'Données projet'!$E$16+1,1))</f>
        <v>457.706832425622</v>
      </c>
      <c r="FK182" s="59">
        <f t="shared" si="156"/>
        <v>474.61768219844873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21.954296619894066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21.954296619894066</v>
      </c>
      <c r="FU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319</v>
      </c>
      <c r="GA182" s="17">
        <f>FZ182*VLOOKUP('Données projet'!$B$17,Paramètres!$A$1:$I$89,3,0)*VLOOKUP('Données projet'!$B$17,Paramètres!$A$1:$I$89,5,0)</f>
        <v>308.53680000000003</v>
      </c>
      <c r="GB182" s="13">
        <f t="shared" si="185"/>
        <v>72.963171684496103</v>
      </c>
      <c r="GC182" s="20">
        <f t="shared" si="186"/>
        <v>664.4457840171641</v>
      </c>
      <c r="GD182" s="59">
        <f t="shared" si="134"/>
        <v>956.65982894272247</v>
      </c>
      <c r="GE182" s="59">
        <f ca="1">AVERAGE(OFFSET($GD$3,0,0,'Données projet'!$E$17+1,1))-AVERAGE(OFFSET($H$3,0,0,'Données projet'!$E$17+1,1))</f>
        <v>428.11167311086814</v>
      </c>
      <c r="GF182" s="59">
        <f t="shared" si="158"/>
        <v>415.69449942923609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7.3821271222815996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7.3821271222815996</v>
      </c>
      <c r="GP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1.1368683772161603E-13</v>
      </c>
      <c r="GV182" s="17">
        <f>GU182*VLOOKUP('Données projet'!$B$18,Paramètres!$A$1:$I$89,3,0)*VLOOKUP('Données projet'!$B$18,Paramètres!$A$1:$I$89,5,0)</f>
        <v>6.5087988332379613E-14</v>
      </c>
      <c r="GW182" s="13">
        <f t="shared" si="188"/>
        <v>1.0279249680474958E-12</v>
      </c>
      <c r="GX182" s="20">
        <f t="shared" si="189"/>
        <v>1.9036642323616162E-12</v>
      </c>
      <c r="GY182" s="59">
        <f t="shared" si="137"/>
        <v>292.2140449255603</v>
      </c>
      <c r="GZ182" s="59">
        <f ca="1">AVERAGE(OFFSET($GY$3,0,0,'Données projet'!$E$18+1,1))-AVERAGE(OFFSET($H$3,0,0,'Données projet'!$E$18+1,1))</f>
        <v>249.88816678272056</v>
      </c>
      <c r="HA182" s="59">
        <f t="shared" si="160"/>
        <v>432.10802787437319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4.343330301948412</v>
      </c>
      <c r="HH182" s="21">
        <f>EXP(-LN(2)/25)*HH181+(1-EXP(-LN(2)/25))/(LN(2)/25)*Calculateur!HC182*Calculateur!HE182*VLOOKUP('Données projet'!$B$18,Paramètres!$A$1:$I$89,3,0)*0.475*44/12</f>
        <v>0.34560891302824792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4.68893921497666</v>
      </c>
    </row>
    <row r="183" spans="1:218" x14ac:dyDescent="0.3">
      <c r="A183" s="10">
        <f t="shared" si="161"/>
        <v>180</v>
      </c>
      <c r="B183" s="71">
        <f>'Scénario référence'!$B$16*5+'Scénario référence'!$B$17*0+'Scénario référence'!$B$18*5</f>
        <v>1.4000000000000001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5.1333333333333337</v>
      </c>
      <c r="H183" s="65">
        <f t="shared" si="110"/>
        <v>236.13333333333335</v>
      </c>
      <c r="I183" s="6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319</v>
      </c>
      <c r="O183" s="13">
        <f>N183*VLOOKUP('Données projet'!$B$9,Paramètres!$A$1:$I$89,3,0)*VLOOKUP('Données projet'!$B$9,Paramètres!$A$1:$I$89,5,0)</f>
        <v>253.79640000000001</v>
      </c>
      <c r="P183" s="13">
        <f t="shared" si="141"/>
        <v>61.39816832228076</v>
      </c>
      <c r="Q183" s="20">
        <f t="shared" si="162"/>
        <v>548.96387316130563</v>
      </c>
      <c r="R183" s="59">
        <f t="shared" si="109"/>
        <v>841.19733523838499</v>
      </c>
      <c r="S183" s="59">
        <f ca="1">AVERAGE(OFFSET($R$3,0,0,'Données projet'!$E$9+1,1))-AVERAGE(OFFSET($H$3,0,0,'Données projet'!$E$9+1,1))</f>
        <v>360.06385535620069</v>
      </c>
      <c r="T183" s="59">
        <f t="shared" si="142"/>
        <v>350.82516032456408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7.3378117055198855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7.3378117055198855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277.77359999999993</v>
      </c>
      <c r="AK183" s="13">
        <f t="shared" si="164"/>
        <v>66.496288176842356</v>
      </c>
      <c r="AL183" s="20">
        <f t="shared" si="165"/>
        <v>599.60338857466706</v>
      </c>
      <c r="AM183" s="59">
        <f t="shared" si="113"/>
        <v>891.83685065174632</v>
      </c>
      <c r="AN183" s="59">
        <f ca="1">AVERAGE(OFFSET($AM$3,0,0,'Données projet'!$E$10+1,1))-AVERAGE(OFFSET($H$3,0,0,'Données projet'!$E$10+1,1))</f>
        <v>448.65237942538027</v>
      </c>
      <c r="AO183" s="59">
        <f t="shared" si="144"/>
        <v>283.56749129825107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27.62909720267616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27.62909720267616</v>
      </c>
      <c r="AY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403.99999999999989</v>
      </c>
      <c r="BE183" s="13">
        <f>BD183*VLOOKUP('Données projet'!$B$11,Paramètres!$A$1:$I$89,3,0)*VLOOKUP('Données projet'!$B$11,Paramètres!$A$1:$I$89,5,0)</f>
        <v>346.63199999999995</v>
      </c>
      <c r="BF183" s="13">
        <f t="shared" si="167"/>
        <v>80.868615263336864</v>
      </c>
      <c r="BG183" s="20">
        <f t="shared" si="168"/>
        <v>744.56357158364483</v>
      </c>
      <c r="BH183" s="59">
        <f t="shared" si="116"/>
        <v>1036.7970336607241</v>
      </c>
      <c r="BI183" s="59">
        <f ca="1">AVERAGE(OFFSET($BH$3,0,0,'Données projet'!$E$11+1,1))-AVERAGE(OFFSET($H$3,0,0,'Données projet'!$E$11+1,1))</f>
        <v>456.76871853389395</v>
      </c>
      <c r="BJ183" s="59">
        <f t="shared" si="146"/>
        <v>262.12425810289176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30.461845205054711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30.461845205054711</v>
      </c>
      <c r="BT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255.00000000000006</v>
      </c>
      <c r="BZ183" s="13">
        <f>BY183*VLOOKUP('Données projet'!$B$12,Paramètres!$A$1:$I$89,3,0)*VLOOKUP('Données projet'!$B$12,Paramètres!$A$1:$I$89,5,0)</f>
        <v>186.96600000000004</v>
      </c>
      <c r="CA183" s="13">
        <f t="shared" si="170"/>
        <v>46.868551400324648</v>
      </c>
      <c r="CB183" s="20">
        <f t="shared" si="171"/>
        <v>407.26184368889881</v>
      </c>
      <c r="CC183" s="59">
        <f t="shared" si="119"/>
        <v>699.49530576597817</v>
      </c>
      <c r="CD183" s="59">
        <f ca="1">AVERAGE(OFFSET($CC$3,0,0,'Données projet'!$E$12+1,1))-AVERAGE(OFFSET($H$3,0,0,'Données projet'!$E$12+1,1))</f>
        <v>242.65851607945316</v>
      </c>
      <c r="CE183" s="59">
        <f t="shared" si="148"/>
        <v>218.9349999985487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249.0000000000002</v>
      </c>
      <c r="CU183" s="17">
        <f>CT183*VLOOKUP('Données projet'!$B$13,Paramètres!$A$1:$I$89,3,0)*VLOOKUP('Données projet'!$B$13,Paramètres!$A$1:$I$89,5,0)</f>
        <v>217.52640000000019</v>
      </c>
      <c r="CV183" s="13">
        <f t="shared" si="173"/>
        <v>53.576907690651304</v>
      </c>
      <c r="CW183" s="20">
        <f t="shared" si="174"/>
        <v>472.17159422788467</v>
      </c>
      <c r="CX183" s="59">
        <f t="shared" si="122"/>
        <v>764.40505630496398</v>
      </c>
      <c r="CY183" s="59">
        <f ca="1">AVERAGE(OFFSET($CX$3,0,0,'Données projet'!$E$13+1,1))-AVERAGE(OFFSET($H$3,0,0,'Données projet'!$E$13+1,1))</f>
        <v>326.9460696675867</v>
      </c>
      <c r="CZ183" s="59">
        <f t="shared" si="150"/>
        <v>393.4020374592568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7.0703861379752873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7.0703861379752873</v>
      </c>
      <c r="DJ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349.00000000000017</v>
      </c>
      <c r="DP183" s="17">
        <f>DO183*VLOOKUP('Données projet'!$B$14,Paramètres!$A$1:$I$89,3,0)*VLOOKUP('Données projet'!$B$14,Paramètres!$A$1:$I$89,5,0)</f>
        <v>272.22000000000014</v>
      </c>
      <c r="DQ183" s="13">
        <f t="shared" si="176"/>
        <v>65.320184547527205</v>
      </c>
      <c r="DR183" s="20">
        <f t="shared" si="177"/>
        <v>587.88248808694345</v>
      </c>
      <c r="DS183" s="59">
        <f t="shared" si="125"/>
        <v>880.11595016402271</v>
      </c>
      <c r="DT183" s="59">
        <f ca="1">AVERAGE(OFFSET($DS$3,0,0,'Données projet'!$E$14+1,1))-AVERAGE(OFFSET($H$3,0,0,'Données projet'!$E$14+1,1))</f>
        <v>364.34528546733799</v>
      </c>
      <c r="DU183" s="59">
        <f t="shared" si="152"/>
        <v>346.5839763411152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9.8125104341506173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9.8125104341506173</v>
      </c>
      <c r="EE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213.98519999999999</v>
      </c>
      <c r="EL183" s="13">
        <f t="shared" si="179"/>
        <v>52.805497044008654</v>
      </c>
      <c r="EM183" s="20">
        <f t="shared" si="180"/>
        <v>464.66046401831505</v>
      </c>
      <c r="EN183" s="59">
        <f t="shared" si="128"/>
        <v>756.89392609539436</v>
      </c>
      <c r="EO183" s="59">
        <f ca="1">AVERAGE(OFFSET($EN$3,0,0,'Données projet'!$E$15+1,1))-AVERAGE(OFFSET($H$3,0,0,'Données projet'!$E$15+1,1))</f>
        <v>310.38232870602445</v>
      </c>
      <c r="EP183" s="59">
        <f t="shared" si="154"/>
        <v>303.45934457265537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6.1867824183795079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6.1867824183795079</v>
      </c>
      <c r="EZ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245.99999999999994</v>
      </c>
      <c r="FF183" s="17">
        <f>FE183*VLOOKUP('Données projet'!$B$16,Paramètres!$A$1:$I$89,3,0)*VLOOKUP('Données projet'!$B$16,Paramètres!$A$1:$I$89,5,0)</f>
        <v>234.09359999999998</v>
      </c>
      <c r="FG183" s="13">
        <f t="shared" si="182"/>
        <v>57.166902703920208</v>
      </c>
      <c r="FH183" s="20">
        <f t="shared" si="183"/>
        <v>507.27870887599425</v>
      </c>
      <c r="FI183" s="59">
        <f t="shared" si="131"/>
        <v>799.51217095307356</v>
      </c>
      <c r="FJ183" s="59">
        <f ca="1">AVERAGE(OFFSET($FI$3,0,0,'Données projet'!$E$16+1,1))-AVERAGE(OFFSET($H$3,0,0,'Données projet'!$E$16+1,1))</f>
        <v>457.706832425622</v>
      </c>
      <c r="FK183" s="59">
        <f t="shared" si="156"/>
        <v>474.61768219844873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21.523786253976649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21.523786253976649</v>
      </c>
      <c r="FU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319</v>
      </c>
      <c r="GA183" s="17">
        <f>FZ183*VLOOKUP('Données projet'!$B$17,Paramètres!$A$1:$I$89,3,0)*VLOOKUP('Données projet'!$B$17,Paramètres!$A$1:$I$89,5,0)</f>
        <v>308.53680000000003</v>
      </c>
      <c r="GB183" s="13">
        <f t="shared" si="185"/>
        <v>72.963171684496103</v>
      </c>
      <c r="GC183" s="20">
        <f t="shared" si="186"/>
        <v>664.4457840171641</v>
      </c>
      <c r="GD183" s="59">
        <f t="shared" si="134"/>
        <v>956.67924609424335</v>
      </c>
      <c r="GE183" s="59">
        <f ca="1">AVERAGE(OFFSET($GD$3,0,0,'Données projet'!$E$17+1,1))-AVERAGE(OFFSET($H$3,0,0,'Données projet'!$E$17+1,1))</f>
        <v>428.11167311086814</v>
      </c>
      <c r="GF183" s="59">
        <f t="shared" si="158"/>
        <v>415.69449942923609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7.2373681120666022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7.2373681120666022</v>
      </c>
      <c r="GP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1.1368683772161603E-13</v>
      </c>
      <c r="GV183" s="17">
        <f>GU183*VLOOKUP('Données projet'!$B$18,Paramètres!$A$1:$I$89,3,0)*VLOOKUP('Données projet'!$B$18,Paramètres!$A$1:$I$89,5,0)</f>
        <v>6.5087988332379613E-14</v>
      </c>
      <c r="GW183" s="13">
        <f t="shared" si="188"/>
        <v>1.0279249680474958E-12</v>
      </c>
      <c r="GX183" s="20">
        <f t="shared" si="189"/>
        <v>1.9036642323616162E-12</v>
      </c>
      <c r="GY183" s="59">
        <f t="shared" si="137"/>
        <v>292.23346207708119</v>
      </c>
      <c r="GZ183" s="59">
        <f ca="1">AVERAGE(OFFSET($GY$3,0,0,'Données projet'!$E$18+1,1))-AVERAGE(OFFSET($H$3,0,0,'Données projet'!$E$18+1,1))</f>
        <v>249.88816678272056</v>
      </c>
      <c r="HA183" s="59">
        <f t="shared" si="160"/>
        <v>432.10802787437319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4.2581602438971036</v>
      </c>
      <c r="HH183" s="21">
        <f>EXP(-LN(2)/25)*HH182+(1-EXP(-LN(2)/25))/(LN(2)/25)*Calculateur!HC183*Calculateur!HE183*VLOOKUP('Données projet'!$B$18,Paramètres!$A$1:$I$89,3,0)*0.475*44/12</f>
        <v>0.33615821912670762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4.5943184630238108</v>
      </c>
    </row>
    <row r="184" spans="1:218" x14ac:dyDescent="0.3">
      <c r="A184" s="10">
        <f t="shared" si="161"/>
        <v>181</v>
      </c>
      <c r="B184" s="71">
        <f>'Scénario référence'!$B$16*5+'Scénario référence'!$B$17*0+'Scénario référence'!$B$18*5</f>
        <v>1.4000000000000001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5.1333333333333337</v>
      </c>
      <c r="H184" s="65">
        <f t="shared" si="110"/>
        <v>236.13333333333335</v>
      </c>
      <c r="I184" s="6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319</v>
      </c>
      <c r="O184" s="13">
        <f>N184*VLOOKUP('Données projet'!$B$9,Paramètres!$A$1:$I$89,3,0)*VLOOKUP('Données projet'!$B$9,Paramètres!$A$1:$I$89,5,0)</f>
        <v>253.79640000000001</v>
      </c>
      <c r="P184" s="13">
        <f t="shared" si="141"/>
        <v>61.39816832228076</v>
      </c>
      <c r="Q184" s="20">
        <f t="shared" si="162"/>
        <v>548.96387316130563</v>
      </c>
      <c r="R184" s="59">
        <f t="shared" si="109"/>
        <v>841.21641554573716</v>
      </c>
      <c r="S184" s="59">
        <f ca="1">AVERAGE(OFFSET($R$3,0,0,'Données projet'!$E$9+1,1))-AVERAGE(OFFSET($H$3,0,0,'Données projet'!$E$9+1,1))</f>
        <v>360.06385535620069</v>
      </c>
      <c r="T184" s="59">
        <f t="shared" si="142"/>
        <v>350.82516032456408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7.1939216935978498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7.1939216935978498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277.77359999999993</v>
      </c>
      <c r="AK184" s="13">
        <f t="shared" si="164"/>
        <v>66.496288176842356</v>
      </c>
      <c r="AL184" s="20">
        <f t="shared" si="165"/>
        <v>599.60338857466706</v>
      </c>
      <c r="AM184" s="59">
        <f t="shared" si="113"/>
        <v>891.85593095909871</v>
      </c>
      <c r="AN184" s="59">
        <f ca="1">AVERAGE(OFFSET($AM$3,0,0,'Données projet'!$E$10+1,1))-AVERAGE(OFFSET($H$3,0,0,'Données projet'!$E$10+1,1))</f>
        <v>448.65237942538027</v>
      </c>
      <c r="AO184" s="59">
        <f t="shared" si="144"/>
        <v>283.56749129825107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27.087307458616969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27.087307458616969</v>
      </c>
      <c r="AY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403.99999999999989</v>
      </c>
      <c r="BE184" s="13">
        <f>BD184*VLOOKUP('Données projet'!$B$11,Paramètres!$A$1:$I$89,3,0)*VLOOKUP('Données projet'!$B$11,Paramètres!$A$1:$I$89,5,0)</f>
        <v>346.63199999999995</v>
      </c>
      <c r="BF184" s="13">
        <f t="shared" si="167"/>
        <v>80.868615263336864</v>
      </c>
      <c r="BG184" s="20">
        <f t="shared" si="168"/>
        <v>744.56357158364483</v>
      </c>
      <c r="BH184" s="59">
        <f t="shared" si="116"/>
        <v>1036.8161139680765</v>
      </c>
      <c r="BI184" s="59">
        <f ca="1">AVERAGE(OFFSET($BH$3,0,0,'Données projet'!$E$11+1,1))-AVERAGE(OFFSET($H$3,0,0,'Données projet'!$E$11+1,1))</f>
        <v>456.76871853389395</v>
      </c>
      <c r="BJ184" s="59">
        <f t="shared" si="146"/>
        <v>262.12425810289176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29.86450700047455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29.86450700047455</v>
      </c>
      <c r="BT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255.00000000000006</v>
      </c>
      <c r="BZ184" s="13">
        <f>BY184*VLOOKUP('Données projet'!$B$12,Paramètres!$A$1:$I$89,3,0)*VLOOKUP('Données projet'!$B$12,Paramètres!$A$1:$I$89,5,0)</f>
        <v>186.96600000000004</v>
      </c>
      <c r="CA184" s="13">
        <f t="shared" si="170"/>
        <v>46.868551400324648</v>
      </c>
      <c r="CB184" s="20">
        <f t="shared" si="171"/>
        <v>407.26184368889881</v>
      </c>
      <c r="CC184" s="59">
        <f t="shared" si="119"/>
        <v>699.51438607333034</v>
      </c>
      <c r="CD184" s="59">
        <f ca="1">AVERAGE(OFFSET($CC$3,0,0,'Données projet'!$E$12+1,1))-AVERAGE(OFFSET($H$3,0,0,'Données projet'!$E$12+1,1))</f>
        <v>242.65851607945316</v>
      </c>
      <c r="CE184" s="59">
        <f t="shared" si="148"/>
        <v>218.9349999985487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249.0000000000002</v>
      </c>
      <c r="CU184" s="17">
        <f>CT184*VLOOKUP('Données projet'!$B$13,Paramètres!$A$1:$I$89,3,0)*VLOOKUP('Données projet'!$B$13,Paramètres!$A$1:$I$89,5,0)</f>
        <v>217.52640000000019</v>
      </c>
      <c r="CV184" s="13">
        <f t="shared" si="173"/>
        <v>53.576907690651304</v>
      </c>
      <c r="CW184" s="20">
        <f t="shared" si="174"/>
        <v>472.17159422788467</v>
      </c>
      <c r="CX184" s="59">
        <f t="shared" si="122"/>
        <v>764.42413661231626</v>
      </c>
      <c r="CY184" s="59">
        <f ca="1">AVERAGE(OFFSET($CX$3,0,0,'Données projet'!$E$13+1,1))-AVERAGE(OFFSET($H$3,0,0,'Données projet'!$E$13+1,1))</f>
        <v>326.9460696675867</v>
      </c>
      <c r="CZ184" s="59">
        <f t="shared" si="150"/>
        <v>393.4020374592568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6.9317401783193109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6.9317401783193109</v>
      </c>
      <c r="DJ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349.00000000000017</v>
      </c>
      <c r="DP184" s="17">
        <f>DO184*VLOOKUP('Données projet'!$B$14,Paramètres!$A$1:$I$89,3,0)*VLOOKUP('Données projet'!$B$14,Paramètres!$A$1:$I$89,5,0)</f>
        <v>272.22000000000014</v>
      </c>
      <c r="DQ184" s="13">
        <f t="shared" si="176"/>
        <v>65.320184547527205</v>
      </c>
      <c r="DR184" s="20">
        <f t="shared" si="177"/>
        <v>587.88248808694345</v>
      </c>
      <c r="DS184" s="59">
        <f t="shared" si="125"/>
        <v>880.1350304713751</v>
      </c>
      <c r="DT184" s="59">
        <f ca="1">AVERAGE(OFFSET($DS$3,0,0,'Données projet'!$E$14+1,1))-AVERAGE(OFFSET($H$3,0,0,'Données projet'!$E$14+1,1))</f>
        <v>364.34528546733799</v>
      </c>
      <c r="DU184" s="59">
        <f t="shared" si="152"/>
        <v>346.5839763411152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9.6200930895773151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9.6200930895773151</v>
      </c>
      <c r="EE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213.98519999999999</v>
      </c>
      <c r="EL184" s="13">
        <f t="shared" si="179"/>
        <v>52.805497044008654</v>
      </c>
      <c r="EM184" s="20">
        <f t="shared" si="180"/>
        <v>464.66046401831505</v>
      </c>
      <c r="EN184" s="59">
        <f t="shared" si="128"/>
        <v>756.91300640274665</v>
      </c>
      <c r="EO184" s="59">
        <f ca="1">AVERAGE(OFFSET($EN$3,0,0,'Données projet'!$E$15+1,1))-AVERAGE(OFFSET($H$3,0,0,'Données projet'!$E$15+1,1))</f>
        <v>310.38232870602445</v>
      </c>
      <c r="EP184" s="59">
        <f t="shared" si="154"/>
        <v>303.45934457265537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6.0654633887197527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6.0654633887197527</v>
      </c>
      <c r="EZ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245.99999999999994</v>
      </c>
      <c r="FF184" s="17">
        <f>FE184*VLOOKUP('Données projet'!$B$16,Paramètres!$A$1:$I$89,3,0)*VLOOKUP('Données projet'!$B$16,Paramètres!$A$1:$I$89,5,0)</f>
        <v>234.09359999999998</v>
      </c>
      <c r="FG184" s="13">
        <f t="shared" si="182"/>
        <v>57.166902703920208</v>
      </c>
      <c r="FH184" s="20">
        <f t="shared" si="183"/>
        <v>507.27870887599425</v>
      </c>
      <c r="FI184" s="59">
        <f t="shared" si="131"/>
        <v>799.53125126042585</v>
      </c>
      <c r="FJ184" s="59">
        <f ca="1">AVERAGE(OFFSET($FI$3,0,0,'Données projet'!$E$16+1,1))-AVERAGE(OFFSET($H$3,0,0,'Données projet'!$E$16+1,1))</f>
        <v>457.706832425622</v>
      </c>
      <c r="FK184" s="59">
        <f t="shared" si="156"/>
        <v>474.61768219844873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21.101717933749477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21.101717933749477</v>
      </c>
      <c r="FU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319</v>
      </c>
      <c r="GA184" s="17">
        <f>FZ184*VLOOKUP('Données projet'!$B$17,Paramètres!$A$1:$I$89,3,0)*VLOOKUP('Données projet'!$B$17,Paramètres!$A$1:$I$89,5,0)</f>
        <v>308.53680000000003</v>
      </c>
      <c r="GB184" s="13">
        <f t="shared" si="185"/>
        <v>72.963171684496103</v>
      </c>
      <c r="GC184" s="20">
        <f t="shared" si="186"/>
        <v>664.4457840171641</v>
      </c>
      <c r="GD184" s="59">
        <f t="shared" si="134"/>
        <v>956.69832640159575</v>
      </c>
      <c r="GE184" s="59">
        <f ca="1">AVERAGE(OFFSET($GD$3,0,0,'Données projet'!$E$17+1,1))-AVERAGE(OFFSET($H$3,0,0,'Données projet'!$E$17+1,1))</f>
        <v>428.11167311086814</v>
      </c>
      <c r="GF184" s="59">
        <f t="shared" si="158"/>
        <v>415.69449942923609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7.0954477377476426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7.0954477377476426</v>
      </c>
      <c r="GP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1.1368683772161603E-13</v>
      </c>
      <c r="GV184" s="17">
        <f>GU184*VLOOKUP('Données projet'!$B$18,Paramètres!$A$1:$I$89,3,0)*VLOOKUP('Données projet'!$B$18,Paramètres!$A$1:$I$89,5,0)</f>
        <v>6.5087988332379613E-14</v>
      </c>
      <c r="GW184" s="13">
        <f t="shared" si="188"/>
        <v>1.0279249680474958E-12</v>
      </c>
      <c r="GX184" s="20">
        <f t="shared" si="189"/>
        <v>1.9036642323616162E-12</v>
      </c>
      <c r="GY184" s="59">
        <f t="shared" si="137"/>
        <v>292.25254238443347</v>
      </c>
      <c r="GZ184" s="59">
        <f ca="1">AVERAGE(OFFSET($GY$3,0,0,'Données projet'!$E$18+1,1))-AVERAGE(OFFSET($H$3,0,0,'Données projet'!$E$18+1,1))</f>
        <v>249.88816678272056</v>
      </c>
      <c r="HA184" s="59">
        <f t="shared" si="160"/>
        <v>432.10802787437319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4.174660318735576</v>
      </c>
      <c r="HH184" s="21">
        <f>EXP(-LN(2)/25)*HH183+(1-EXP(-LN(2)/25))/(LN(2)/25)*Calculateur!HC184*Calculateur!HE184*VLOOKUP('Données projet'!$B$18,Paramètres!$A$1:$I$89,3,0)*0.475*44/12</f>
        <v>0.32696595494689534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4.5016262736824713</v>
      </c>
    </row>
    <row r="185" spans="1:218" x14ac:dyDescent="0.3">
      <c r="A185" s="10">
        <f t="shared" si="161"/>
        <v>182</v>
      </c>
      <c r="B185" s="71">
        <f>'Scénario référence'!$B$16*5+'Scénario référence'!$B$17*0+'Scénario référence'!$B$18*5</f>
        <v>1.4000000000000001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5.1333333333333337</v>
      </c>
      <c r="H185" s="65">
        <f t="shared" si="110"/>
        <v>236.13333333333335</v>
      </c>
      <c r="I185" s="6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319</v>
      </c>
      <c r="O185" s="13">
        <f>N185*VLOOKUP('Données projet'!$B$9,Paramètres!$A$1:$I$89,3,0)*VLOOKUP('Données projet'!$B$9,Paramètres!$A$1:$I$89,5,0)</f>
        <v>253.79640000000001</v>
      </c>
      <c r="P185" s="13">
        <f t="shared" si="141"/>
        <v>61.39816832228076</v>
      </c>
      <c r="Q185" s="20">
        <f t="shared" si="162"/>
        <v>548.96387316130563</v>
      </c>
      <c r="R185" s="59">
        <f t="shared" si="109"/>
        <v>841.23516485241407</v>
      </c>
      <c r="S185" s="59">
        <f ca="1">AVERAGE(OFFSET($R$3,0,0,'Données projet'!$E$9+1,1))-AVERAGE(OFFSET($H$3,0,0,'Données projet'!$E$9+1,1))</f>
        <v>360.06385535620069</v>
      </c>
      <c r="T185" s="59">
        <f t="shared" si="142"/>
        <v>350.82516032456408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7.0528532770453642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7.0528532770453642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277.77359999999993</v>
      </c>
      <c r="AK185" s="13">
        <f t="shared" si="164"/>
        <v>66.496288176842356</v>
      </c>
      <c r="AL185" s="20">
        <f t="shared" si="165"/>
        <v>599.60338857466706</v>
      </c>
      <c r="AM185" s="59">
        <f t="shared" si="113"/>
        <v>891.8746802657754</v>
      </c>
      <c r="AN185" s="59">
        <f ca="1">AVERAGE(OFFSET($AM$3,0,0,'Données projet'!$E$10+1,1))-AVERAGE(OFFSET($H$3,0,0,'Données projet'!$E$10+1,1))</f>
        <v>448.65237942538027</v>
      </c>
      <c r="AO185" s="59">
        <f t="shared" si="144"/>
        <v>283.56749129825107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26.556141880979666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26.556141880979666</v>
      </c>
      <c r="AY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403.99999999999989</v>
      </c>
      <c r="BE185" s="13">
        <f>BD185*VLOOKUP('Données projet'!$B$11,Paramètres!$A$1:$I$89,3,0)*VLOOKUP('Données projet'!$B$11,Paramètres!$A$1:$I$89,5,0)</f>
        <v>346.63199999999995</v>
      </c>
      <c r="BF185" s="13">
        <f t="shared" si="167"/>
        <v>80.868615263336864</v>
      </c>
      <c r="BG185" s="20">
        <f t="shared" si="168"/>
        <v>744.56357158364483</v>
      </c>
      <c r="BH185" s="59">
        <f t="shared" si="116"/>
        <v>1036.8348632747532</v>
      </c>
      <c r="BI185" s="59">
        <f ca="1">AVERAGE(OFFSET($BH$3,0,0,'Données projet'!$E$11+1,1))-AVERAGE(OFFSET($H$3,0,0,'Données projet'!$E$11+1,1))</f>
        <v>456.76871853389395</v>
      </c>
      <c r="BJ185" s="59">
        <f t="shared" si="146"/>
        <v>262.12425810289176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29.278882233745879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29.278882233745879</v>
      </c>
      <c r="BT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255.00000000000006</v>
      </c>
      <c r="BZ185" s="13">
        <f>BY185*VLOOKUP('Données projet'!$B$12,Paramètres!$A$1:$I$89,3,0)*VLOOKUP('Données projet'!$B$12,Paramètres!$A$1:$I$89,5,0)</f>
        <v>186.96600000000004</v>
      </c>
      <c r="CA185" s="13">
        <f t="shared" si="170"/>
        <v>46.868551400324648</v>
      </c>
      <c r="CB185" s="20">
        <f t="shared" si="171"/>
        <v>407.26184368889881</v>
      </c>
      <c r="CC185" s="59">
        <f t="shared" si="119"/>
        <v>699.53313538000725</v>
      </c>
      <c r="CD185" s="59">
        <f ca="1">AVERAGE(OFFSET($CC$3,0,0,'Données projet'!$E$12+1,1))-AVERAGE(OFFSET($H$3,0,0,'Données projet'!$E$12+1,1))</f>
        <v>242.65851607945316</v>
      </c>
      <c r="CE185" s="59">
        <f t="shared" si="148"/>
        <v>218.9349999985487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249.0000000000002</v>
      </c>
      <c r="CU185" s="17">
        <f>CT185*VLOOKUP('Données projet'!$B$13,Paramètres!$A$1:$I$89,3,0)*VLOOKUP('Données projet'!$B$13,Paramètres!$A$1:$I$89,5,0)</f>
        <v>217.52640000000019</v>
      </c>
      <c r="CV185" s="13">
        <f t="shared" si="173"/>
        <v>53.576907690651304</v>
      </c>
      <c r="CW185" s="20">
        <f t="shared" si="174"/>
        <v>472.17159422788467</v>
      </c>
      <c r="CX185" s="59">
        <f t="shared" si="122"/>
        <v>764.44288591899306</v>
      </c>
      <c r="CY185" s="59">
        <f ca="1">AVERAGE(OFFSET($CX$3,0,0,'Données projet'!$E$13+1,1))-AVERAGE(OFFSET($H$3,0,0,'Données projet'!$E$13+1,1))</f>
        <v>326.9460696675867</v>
      </c>
      <c r="CZ185" s="59">
        <f t="shared" si="150"/>
        <v>393.4020374592568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6.7958129813665034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6.7958129813665034</v>
      </c>
      <c r="DJ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349.00000000000017</v>
      </c>
      <c r="DP185" s="17">
        <f>DO185*VLOOKUP('Données projet'!$B$14,Paramètres!$A$1:$I$89,3,0)*VLOOKUP('Données projet'!$B$14,Paramètres!$A$1:$I$89,5,0)</f>
        <v>272.22000000000014</v>
      </c>
      <c r="DQ185" s="13">
        <f t="shared" si="176"/>
        <v>65.320184547527205</v>
      </c>
      <c r="DR185" s="20">
        <f t="shared" si="177"/>
        <v>587.88248808694345</v>
      </c>
      <c r="DS185" s="59">
        <f t="shared" si="125"/>
        <v>880.15377977805178</v>
      </c>
      <c r="DT185" s="59">
        <f ca="1">AVERAGE(OFFSET($DS$3,0,0,'Données projet'!$E$14+1,1))-AVERAGE(OFFSET($H$3,0,0,'Données projet'!$E$14+1,1))</f>
        <v>364.34528546733799</v>
      </c>
      <c r="DU185" s="59">
        <f t="shared" si="152"/>
        <v>346.5839763411152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9.4314489317681041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9.4314489317681041</v>
      </c>
      <c r="EE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213.98519999999999</v>
      </c>
      <c r="EL185" s="13">
        <f t="shared" si="179"/>
        <v>52.805497044008654</v>
      </c>
      <c r="EM185" s="20">
        <f t="shared" si="180"/>
        <v>464.66046401831505</v>
      </c>
      <c r="EN185" s="59">
        <f t="shared" si="128"/>
        <v>756.93175570942344</v>
      </c>
      <c r="EO185" s="59">
        <f ca="1">AVERAGE(OFFSET($EN$3,0,0,'Données projet'!$E$15+1,1))-AVERAGE(OFFSET($H$3,0,0,'Données projet'!$E$15+1,1))</f>
        <v>310.38232870602445</v>
      </c>
      <c r="EP185" s="59">
        <f t="shared" si="154"/>
        <v>303.45934457265537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5.9465233512343234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5.9465233512343234</v>
      </c>
      <c r="EZ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245.99999999999994</v>
      </c>
      <c r="FF185" s="17">
        <f>FE185*VLOOKUP('Données projet'!$B$16,Paramètres!$A$1:$I$89,3,0)*VLOOKUP('Données projet'!$B$16,Paramètres!$A$1:$I$89,5,0)</f>
        <v>234.09359999999998</v>
      </c>
      <c r="FG185" s="13">
        <f t="shared" si="182"/>
        <v>57.166902703920208</v>
      </c>
      <c r="FH185" s="20">
        <f t="shared" si="183"/>
        <v>507.27870887599425</v>
      </c>
      <c r="FI185" s="59">
        <f t="shared" si="131"/>
        <v>799.55000056710264</v>
      </c>
      <c r="FJ185" s="59">
        <f ca="1">AVERAGE(OFFSET($FI$3,0,0,'Données projet'!$E$16+1,1))-AVERAGE(OFFSET($H$3,0,0,'Données projet'!$E$16+1,1))</f>
        <v>457.706832425622</v>
      </c>
      <c r="FK185" s="59">
        <f t="shared" si="156"/>
        <v>474.61768219844873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20.687926115845706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20.687926115845706</v>
      </c>
      <c r="FU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319</v>
      </c>
      <c r="GA185" s="17">
        <f>FZ185*VLOOKUP('Données projet'!$B$17,Paramètres!$A$1:$I$89,3,0)*VLOOKUP('Données projet'!$B$17,Paramètres!$A$1:$I$89,5,0)</f>
        <v>308.53680000000003</v>
      </c>
      <c r="GB185" s="13">
        <f t="shared" si="185"/>
        <v>72.963171684496103</v>
      </c>
      <c r="GC185" s="20">
        <f t="shared" si="186"/>
        <v>664.4457840171641</v>
      </c>
      <c r="GD185" s="59">
        <f t="shared" si="134"/>
        <v>956.71707570827243</v>
      </c>
      <c r="GE185" s="59">
        <f ca="1">AVERAGE(OFFSET($GD$3,0,0,'Données projet'!$E$17+1,1))-AVERAGE(OFFSET($H$3,0,0,'Données projet'!$E$17+1,1))</f>
        <v>428.11167311086814</v>
      </c>
      <c r="GF185" s="59">
        <f t="shared" si="158"/>
        <v>415.69449942923609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6.9563103354061973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6.9563103354061973</v>
      </c>
      <c r="GP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1.1368683772161603E-13</v>
      </c>
      <c r="GV185" s="17">
        <f>GU185*VLOOKUP('Données projet'!$B$18,Paramètres!$A$1:$I$89,3,0)*VLOOKUP('Données projet'!$B$18,Paramètres!$A$1:$I$89,5,0)</f>
        <v>6.5087988332379613E-14</v>
      </c>
      <c r="GW185" s="13">
        <f t="shared" si="188"/>
        <v>1.0279249680474958E-12</v>
      </c>
      <c r="GX185" s="20">
        <f t="shared" si="189"/>
        <v>1.9036642323616162E-12</v>
      </c>
      <c r="GY185" s="59">
        <f t="shared" si="137"/>
        <v>292.27129169111026</v>
      </c>
      <c r="GZ185" s="59">
        <f ca="1">AVERAGE(OFFSET($GY$3,0,0,'Données projet'!$E$18+1,1))-AVERAGE(OFFSET($H$3,0,0,'Données projet'!$E$18+1,1))</f>
        <v>249.88816678272056</v>
      </c>
      <c r="HA185" s="59">
        <f t="shared" si="160"/>
        <v>432.10802787437319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4.0927977761765399</v>
      </c>
      <c r="HH185" s="21">
        <f>EXP(-LN(2)/25)*HH184+(1-EXP(-LN(2)/25))/(LN(2)/25)*Calculateur!HC185*Calculateur!HE185*VLOOKUP('Données projet'!$B$18,Paramètres!$A$1:$I$89,3,0)*0.475*44/12</f>
        <v>0.3180250537144802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4.4108228298910204</v>
      </c>
    </row>
    <row r="186" spans="1:218" x14ac:dyDescent="0.3">
      <c r="A186" s="10">
        <f t="shared" si="161"/>
        <v>183</v>
      </c>
      <c r="B186" s="71">
        <f>'Scénario référence'!$B$16*5+'Scénario référence'!$B$17*0+'Scénario référence'!$B$18*5</f>
        <v>1.4000000000000001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5.1333333333333337</v>
      </c>
      <c r="H186" s="65">
        <f t="shared" si="110"/>
        <v>236.13333333333335</v>
      </c>
      <c r="I186" s="6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319</v>
      </c>
      <c r="O186" s="13">
        <f>N186*VLOOKUP('Données projet'!$B$9,Paramètres!$A$1:$I$89,3,0)*VLOOKUP('Données projet'!$B$9,Paramètres!$A$1:$I$89,5,0)</f>
        <v>253.79640000000001</v>
      </c>
      <c r="P186" s="13">
        <f t="shared" si="141"/>
        <v>61.39816832228076</v>
      </c>
      <c r="Q186" s="20">
        <f t="shared" si="162"/>
        <v>548.96387316130563</v>
      </c>
      <c r="R186" s="59">
        <f t="shared" si="109"/>
        <v>841.25358890053735</v>
      </c>
      <c r="S186" s="59">
        <f ca="1">AVERAGE(OFFSET($R$3,0,0,'Données projet'!$E$9+1,1))-AVERAGE(OFFSET($H$3,0,0,'Données projet'!$E$9+1,1))</f>
        <v>360.06385535620069</v>
      </c>
      <c r="T186" s="59">
        <f t="shared" si="142"/>
        <v>350.82516032456408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6.9145511260982344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6.9145511260982344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277.77359999999993</v>
      </c>
      <c r="AK186" s="13">
        <f t="shared" si="164"/>
        <v>66.496288176842356</v>
      </c>
      <c r="AL186" s="20">
        <f t="shared" si="165"/>
        <v>599.60338857466706</v>
      </c>
      <c r="AM186" s="59">
        <f t="shared" si="113"/>
        <v>891.89310431389868</v>
      </c>
      <c r="AN186" s="59">
        <f ca="1">AVERAGE(OFFSET($AM$3,0,0,'Données projet'!$E$10+1,1))-AVERAGE(OFFSET($H$3,0,0,'Données projet'!$E$10+1,1))</f>
        <v>448.65237942538027</v>
      </c>
      <c r="AO186" s="59">
        <f t="shared" si="144"/>
        <v>283.56749129825107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26.035392136340818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26.035392136340818</v>
      </c>
      <c r="AY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403.99999999999989</v>
      </c>
      <c r="BE186" s="13">
        <f>BD186*VLOOKUP('Données projet'!$B$11,Paramètres!$A$1:$I$89,3,0)*VLOOKUP('Données projet'!$B$11,Paramètres!$A$1:$I$89,5,0)</f>
        <v>346.63199999999995</v>
      </c>
      <c r="BF186" s="13">
        <f t="shared" si="167"/>
        <v>80.868615263336864</v>
      </c>
      <c r="BG186" s="20">
        <f t="shared" si="168"/>
        <v>744.56357158364483</v>
      </c>
      <c r="BH186" s="59">
        <f t="shared" si="116"/>
        <v>1036.8532873228764</v>
      </c>
      <c r="BI186" s="59">
        <f ca="1">AVERAGE(OFFSET($BH$3,0,0,'Données projet'!$E$11+1,1))-AVERAGE(OFFSET($H$3,0,0,'Données projet'!$E$11+1,1))</f>
        <v>456.76871853389395</v>
      </c>
      <c r="BJ186" s="59">
        <f t="shared" si="146"/>
        <v>262.12425810289176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28.70474121149692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28.70474121149692</v>
      </c>
      <c r="BT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255.00000000000006</v>
      </c>
      <c r="BZ186" s="13">
        <f>BY186*VLOOKUP('Données projet'!$B$12,Paramètres!$A$1:$I$89,3,0)*VLOOKUP('Données projet'!$B$12,Paramètres!$A$1:$I$89,5,0)</f>
        <v>186.96600000000004</v>
      </c>
      <c r="CA186" s="13">
        <f t="shared" si="170"/>
        <v>46.868551400324648</v>
      </c>
      <c r="CB186" s="20">
        <f t="shared" si="171"/>
        <v>407.26184368889881</v>
      </c>
      <c r="CC186" s="59">
        <f t="shared" si="119"/>
        <v>699.55155942813053</v>
      </c>
      <c r="CD186" s="59">
        <f ca="1">AVERAGE(OFFSET($CC$3,0,0,'Données projet'!$E$12+1,1))-AVERAGE(OFFSET($H$3,0,0,'Données projet'!$E$12+1,1))</f>
        <v>242.65851607945316</v>
      </c>
      <c r="CE186" s="59">
        <f t="shared" si="148"/>
        <v>218.9349999985487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249.0000000000002</v>
      </c>
      <c r="CU186" s="17">
        <f>CT186*VLOOKUP('Données projet'!$B$13,Paramètres!$A$1:$I$89,3,0)*VLOOKUP('Données projet'!$B$13,Paramètres!$A$1:$I$89,5,0)</f>
        <v>217.52640000000019</v>
      </c>
      <c r="CV186" s="13">
        <f t="shared" si="173"/>
        <v>53.576907690651304</v>
      </c>
      <c r="CW186" s="20">
        <f t="shared" si="174"/>
        <v>472.17159422788467</v>
      </c>
      <c r="CX186" s="59">
        <f t="shared" si="122"/>
        <v>764.46130996711634</v>
      </c>
      <c r="CY186" s="59">
        <f ca="1">AVERAGE(OFFSET($CX$3,0,0,'Données projet'!$E$13+1,1))-AVERAGE(OFFSET($H$3,0,0,'Données projet'!$E$13+1,1))</f>
        <v>326.9460696675867</v>
      </c>
      <c r="CZ186" s="59">
        <f t="shared" si="150"/>
        <v>393.4020374592568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6.6625512338385366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6.6625512338385366</v>
      </c>
      <c r="DJ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349.00000000000017</v>
      </c>
      <c r="DP186" s="17">
        <f>DO186*VLOOKUP('Données projet'!$B$14,Paramètres!$A$1:$I$89,3,0)*VLOOKUP('Données projet'!$B$14,Paramètres!$A$1:$I$89,5,0)</f>
        <v>272.22000000000014</v>
      </c>
      <c r="DQ186" s="13">
        <f t="shared" si="176"/>
        <v>65.320184547527205</v>
      </c>
      <c r="DR186" s="20">
        <f t="shared" si="177"/>
        <v>587.88248808694345</v>
      </c>
      <c r="DS186" s="59">
        <f t="shared" si="125"/>
        <v>880.17220382617506</v>
      </c>
      <c r="DT186" s="59">
        <f ca="1">AVERAGE(OFFSET($DS$3,0,0,'Données projet'!$E$14+1,1))-AVERAGE(OFFSET($H$3,0,0,'Données projet'!$E$14+1,1))</f>
        <v>364.34528546733799</v>
      </c>
      <c r="DU186" s="59">
        <f t="shared" si="152"/>
        <v>346.5839763411152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9.2465039708319559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9.2465039708319559</v>
      </c>
      <c r="EE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213.98519999999999</v>
      </c>
      <c r="EL186" s="13">
        <f t="shared" si="179"/>
        <v>52.805497044008654</v>
      </c>
      <c r="EM186" s="20">
        <f t="shared" si="180"/>
        <v>464.66046401831505</v>
      </c>
      <c r="EN186" s="59">
        <f t="shared" si="128"/>
        <v>756.95017975754672</v>
      </c>
      <c r="EO186" s="59">
        <f ca="1">AVERAGE(OFFSET($EN$3,0,0,'Données projet'!$E$15+1,1))-AVERAGE(OFFSET($H$3,0,0,'Données projet'!$E$15+1,1))</f>
        <v>310.38232870602445</v>
      </c>
      <c r="EP186" s="59">
        <f t="shared" si="154"/>
        <v>303.45934457265537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5.8299156553377243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5.8299156553377243</v>
      </c>
      <c r="EZ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245.99999999999994</v>
      </c>
      <c r="FF186" s="17">
        <f>FE186*VLOOKUP('Données projet'!$B$16,Paramètres!$A$1:$I$89,3,0)*VLOOKUP('Données projet'!$B$16,Paramètres!$A$1:$I$89,5,0)</f>
        <v>234.09359999999998</v>
      </c>
      <c r="FG186" s="13">
        <f t="shared" si="182"/>
        <v>57.166902703920208</v>
      </c>
      <c r="FH186" s="20">
        <f t="shared" si="183"/>
        <v>507.27870887599425</v>
      </c>
      <c r="FI186" s="59">
        <f t="shared" si="131"/>
        <v>799.56842461522592</v>
      </c>
      <c r="FJ186" s="59">
        <f ca="1">AVERAGE(OFFSET($FI$3,0,0,'Données projet'!$E$16+1,1))-AVERAGE(OFFSET($H$3,0,0,'Données projet'!$E$16+1,1))</f>
        <v>457.706832425622</v>
      </c>
      <c r="FK186" s="59">
        <f t="shared" si="156"/>
        <v>474.61768219844873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20.282248503102938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20.282248503102938</v>
      </c>
      <c r="FU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319</v>
      </c>
      <c r="GA186" s="17">
        <f>FZ186*VLOOKUP('Données projet'!$B$17,Paramètres!$A$1:$I$89,3,0)*VLOOKUP('Données projet'!$B$17,Paramètres!$A$1:$I$89,5,0)</f>
        <v>308.53680000000003</v>
      </c>
      <c r="GB186" s="13">
        <f t="shared" si="185"/>
        <v>72.963171684496103</v>
      </c>
      <c r="GC186" s="20">
        <f t="shared" si="186"/>
        <v>664.4457840171641</v>
      </c>
      <c r="GD186" s="59">
        <f t="shared" si="134"/>
        <v>956.73549975639571</v>
      </c>
      <c r="GE186" s="59">
        <f ca="1">AVERAGE(OFFSET($GD$3,0,0,'Données projet'!$E$17+1,1))-AVERAGE(OFFSET($H$3,0,0,'Données projet'!$E$17+1,1))</f>
        <v>428.11167311086814</v>
      </c>
      <c r="GF186" s="59">
        <f t="shared" si="158"/>
        <v>415.69449942923609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6.8199013326592315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6.8199013326592315</v>
      </c>
      <c r="GP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1.1368683772161603E-13</v>
      </c>
      <c r="GV186" s="17">
        <f>GU186*VLOOKUP('Données projet'!$B$18,Paramètres!$A$1:$I$89,3,0)*VLOOKUP('Données projet'!$B$18,Paramètres!$A$1:$I$89,5,0)</f>
        <v>6.5087988332379613E-14</v>
      </c>
      <c r="GW186" s="13">
        <f t="shared" si="188"/>
        <v>1.0279249680474958E-12</v>
      </c>
      <c r="GX186" s="20">
        <f t="shared" si="189"/>
        <v>1.9036642323616162E-12</v>
      </c>
      <c r="GY186" s="59">
        <f t="shared" si="137"/>
        <v>292.28971573923354</v>
      </c>
      <c r="GZ186" s="59">
        <f ca="1">AVERAGE(OFFSET($GY$3,0,0,'Données projet'!$E$18+1,1))-AVERAGE(OFFSET($H$3,0,0,'Données projet'!$E$18+1,1))</f>
        <v>249.88816678272056</v>
      </c>
      <c r="HA186" s="59">
        <f t="shared" si="160"/>
        <v>432.10802787437319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4.0125405081458663</v>
      </c>
      <c r="HH186" s="21">
        <f>EXP(-LN(2)/25)*HH185+(1-EXP(-LN(2)/25))/(LN(2)/25)*Calculateur!HC186*Calculateur!HE186*VLOOKUP('Données projet'!$B$18,Paramètres!$A$1:$I$89,3,0)*0.475*44/12</f>
        <v>0.30932864189644704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4.3218691500423132</v>
      </c>
    </row>
    <row r="187" spans="1:218" x14ac:dyDescent="0.3">
      <c r="A187" s="10">
        <f t="shared" si="161"/>
        <v>184</v>
      </c>
      <c r="B187" s="71">
        <f>'Scénario référence'!$B$16*5+'Scénario référence'!$B$17*0+'Scénario référence'!$B$18*5</f>
        <v>1.4000000000000001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5.1333333333333337</v>
      </c>
      <c r="H187" s="65">
        <f t="shared" si="110"/>
        <v>236.13333333333335</v>
      </c>
      <c r="I187" s="6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319</v>
      </c>
      <c r="O187" s="13">
        <f>N187*VLOOKUP('Données projet'!$B$9,Paramètres!$A$1:$I$89,3,0)*VLOOKUP('Données projet'!$B$9,Paramètres!$A$1:$I$89,5,0)</f>
        <v>253.79640000000001</v>
      </c>
      <c r="P187" s="13">
        <f t="shared" si="141"/>
        <v>61.39816832228076</v>
      </c>
      <c r="Q187" s="20">
        <f t="shared" si="162"/>
        <v>548.96387316130563</v>
      </c>
      <c r="R187" s="59">
        <f t="shared" si="109"/>
        <v>841.27169333261554</v>
      </c>
      <c r="S187" s="59">
        <f ca="1">AVERAGE(OFFSET($R$3,0,0,'Données projet'!$E$9+1,1))-AVERAGE(OFFSET($H$3,0,0,'Données projet'!$E$9+1,1))</f>
        <v>360.06385535620069</v>
      </c>
      <c r="T187" s="59">
        <f t="shared" si="142"/>
        <v>350.82516032456408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6.7789609959751953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6.7789609959751953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277.77359999999993</v>
      </c>
      <c r="AK187" s="13">
        <f t="shared" si="164"/>
        <v>66.496288176842356</v>
      </c>
      <c r="AL187" s="20">
        <f t="shared" si="165"/>
        <v>599.60338857466706</v>
      </c>
      <c r="AM187" s="59">
        <f t="shared" si="113"/>
        <v>891.91120874597698</v>
      </c>
      <c r="AN187" s="59">
        <f ca="1">AVERAGE(OFFSET($AM$3,0,0,'Données projet'!$E$10+1,1))-AVERAGE(OFFSET($H$3,0,0,'Données projet'!$E$10+1,1))</f>
        <v>448.65237942538027</v>
      </c>
      <c r="AO187" s="59">
        <f t="shared" si="144"/>
        <v>283.56749129825107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25.524853976568355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25.524853976568355</v>
      </c>
      <c r="AY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403.99999999999989</v>
      </c>
      <c r="BE187" s="13">
        <f>BD187*VLOOKUP('Données projet'!$B$11,Paramètres!$A$1:$I$89,3,0)*VLOOKUP('Données projet'!$B$11,Paramètres!$A$1:$I$89,5,0)</f>
        <v>346.63199999999995</v>
      </c>
      <c r="BF187" s="13">
        <f t="shared" si="167"/>
        <v>80.868615263336864</v>
      </c>
      <c r="BG187" s="20">
        <f t="shared" si="168"/>
        <v>744.56357158364483</v>
      </c>
      <c r="BH187" s="59">
        <f t="shared" si="116"/>
        <v>1036.8713917549549</v>
      </c>
      <c r="BI187" s="59">
        <f ca="1">AVERAGE(OFFSET($BH$3,0,0,'Données projet'!$E$11+1,1))-AVERAGE(OFFSET($H$3,0,0,'Données projet'!$E$11+1,1))</f>
        <v>456.76871853389395</v>
      </c>
      <c r="BJ187" s="59">
        <f t="shared" si="146"/>
        <v>262.12425810289176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28.141858744502816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28.141858744502816</v>
      </c>
      <c r="BT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255.00000000000006</v>
      </c>
      <c r="BZ187" s="13">
        <f>BY187*VLOOKUP('Données projet'!$B$12,Paramètres!$A$1:$I$89,3,0)*VLOOKUP('Données projet'!$B$12,Paramètres!$A$1:$I$89,5,0)</f>
        <v>186.96600000000004</v>
      </c>
      <c r="CA187" s="13">
        <f t="shared" si="170"/>
        <v>46.868551400324648</v>
      </c>
      <c r="CB187" s="20">
        <f t="shared" si="171"/>
        <v>407.26184368889881</v>
      </c>
      <c r="CC187" s="59">
        <f t="shared" si="119"/>
        <v>699.56966386020872</v>
      </c>
      <c r="CD187" s="59">
        <f ca="1">AVERAGE(OFFSET($CC$3,0,0,'Données projet'!$E$12+1,1))-AVERAGE(OFFSET($H$3,0,0,'Données projet'!$E$12+1,1))</f>
        <v>242.65851607945316</v>
      </c>
      <c r="CE187" s="59">
        <f t="shared" si="148"/>
        <v>218.9349999985487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249.0000000000002</v>
      </c>
      <c r="CU187" s="17">
        <f>CT187*VLOOKUP('Données projet'!$B$13,Paramètres!$A$1:$I$89,3,0)*VLOOKUP('Données projet'!$B$13,Paramètres!$A$1:$I$89,5,0)</f>
        <v>217.52640000000019</v>
      </c>
      <c r="CV187" s="13">
        <f t="shared" si="173"/>
        <v>53.576907690651304</v>
      </c>
      <c r="CW187" s="20">
        <f t="shared" si="174"/>
        <v>472.17159422788467</v>
      </c>
      <c r="CX187" s="59">
        <f t="shared" si="122"/>
        <v>764.47941439919464</v>
      </c>
      <c r="CY187" s="59">
        <f ca="1">AVERAGE(OFFSET($CX$3,0,0,'Données projet'!$E$13+1,1))-AVERAGE(OFFSET($H$3,0,0,'Données projet'!$E$13+1,1))</f>
        <v>326.9460696675867</v>
      </c>
      <c r="CZ187" s="59">
        <f t="shared" si="150"/>
        <v>393.4020374592568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6.5319026678979535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6.5319026678979535</v>
      </c>
      <c r="DJ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349.00000000000017</v>
      </c>
      <c r="DP187" s="17">
        <f>DO187*VLOOKUP('Données projet'!$B$14,Paramètres!$A$1:$I$89,3,0)*VLOOKUP('Données projet'!$B$14,Paramètres!$A$1:$I$89,5,0)</f>
        <v>272.22000000000014</v>
      </c>
      <c r="DQ187" s="13">
        <f t="shared" si="176"/>
        <v>65.320184547527205</v>
      </c>
      <c r="DR187" s="20">
        <f t="shared" si="177"/>
        <v>587.88248808694345</v>
      </c>
      <c r="DS187" s="59">
        <f t="shared" si="125"/>
        <v>880.19030825825337</v>
      </c>
      <c r="DT187" s="59">
        <f ca="1">AVERAGE(OFFSET($DS$3,0,0,'Données projet'!$E$14+1,1))-AVERAGE(OFFSET($H$3,0,0,'Données projet'!$E$14+1,1))</f>
        <v>364.34528546733799</v>
      </c>
      <c r="DU187" s="59">
        <f t="shared" si="152"/>
        <v>346.5839763411152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9.0651856677744789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9.0651856677744789</v>
      </c>
      <c r="EE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213.98519999999999</v>
      </c>
      <c r="EL187" s="13">
        <f t="shared" si="179"/>
        <v>52.805497044008654</v>
      </c>
      <c r="EM187" s="20">
        <f t="shared" si="180"/>
        <v>464.66046401831505</v>
      </c>
      <c r="EN187" s="59">
        <f t="shared" si="128"/>
        <v>756.96828418962491</v>
      </c>
      <c r="EO187" s="59">
        <f ca="1">AVERAGE(OFFSET($EN$3,0,0,'Données projet'!$E$15+1,1))-AVERAGE(OFFSET($H$3,0,0,'Données projet'!$E$15+1,1))</f>
        <v>310.38232870602445</v>
      </c>
      <c r="EP187" s="59">
        <f t="shared" si="154"/>
        <v>303.45934457265537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5.7155945652339852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5.7155945652339852</v>
      </c>
      <c r="EZ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245.99999999999994</v>
      </c>
      <c r="FF187" s="17">
        <f>FE187*VLOOKUP('Données projet'!$B$16,Paramètres!$A$1:$I$89,3,0)*VLOOKUP('Données projet'!$B$16,Paramètres!$A$1:$I$89,5,0)</f>
        <v>234.09359999999998</v>
      </c>
      <c r="FG187" s="13">
        <f t="shared" si="182"/>
        <v>57.166902703920208</v>
      </c>
      <c r="FH187" s="20">
        <f t="shared" si="183"/>
        <v>507.27870887599425</v>
      </c>
      <c r="FI187" s="59">
        <f t="shared" si="131"/>
        <v>799.58652904730411</v>
      </c>
      <c r="FJ187" s="59">
        <f ca="1">AVERAGE(OFFSET($FI$3,0,0,'Données projet'!$E$16+1,1))-AVERAGE(OFFSET($H$3,0,0,'Données projet'!$E$16+1,1))</f>
        <v>457.706832425622</v>
      </c>
      <c r="FK187" s="59">
        <f t="shared" si="156"/>
        <v>474.61768219844873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19.884525980907146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19.884525980907146</v>
      </c>
      <c r="FU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319</v>
      </c>
      <c r="GA187" s="17">
        <f>FZ187*VLOOKUP('Données projet'!$B$17,Paramètres!$A$1:$I$89,3,0)*VLOOKUP('Données projet'!$B$17,Paramètres!$A$1:$I$89,5,0)</f>
        <v>308.53680000000003</v>
      </c>
      <c r="GB187" s="13">
        <f t="shared" si="185"/>
        <v>72.963171684496103</v>
      </c>
      <c r="GC187" s="20">
        <f t="shared" si="186"/>
        <v>664.4457840171641</v>
      </c>
      <c r="GD187" s="59">
        <f t="shared" si="134"/>
        <v>956.75360418847401</v>
      </c>
      <c r="GE187" s="59">
        <f ca="1">AVERAGE(OFFSET($GD$3,0,0,'Données projet'!$E$17+1,1))-AVERAGE(OFFSET($H$3,0,0,'Données projet'!$E$17+1,1))</f>
        <v>428.11167311086814</v>
      </c>
      <c r="GF187" s="59">
        <f t="shared" si="158"/>
        <v>415.69449942923609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6.6861672272548578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6.6861672272548578</v>
      </c>
      <c r="GP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1.1368683772161603E-13</v>
      </c>
      <c r="GV187" s="17">
        <f>GU187*VLOOKUP('Données projet'!$B$18,Paramètres!$A$1:$I$89,3,0)*VLOOKUP('Données projet'!$B$18,Paramètres!$A$1:$I$89,5,0)</f>
        <v>6.5087988332379613E-14</v>
      </c>
      <c r="GW187" s="13">
        <f t="shared" si="188"/>
        <v>1.0279249680474958E-12</v>
      </c>
      <c r="GX187" s="20">
        <f t="shared" si="189"/>
        <v>1.9036642323616162E-12</v>
      </c>
      <c r="GY187" s="59">
        <f t="shared" si="137"/>
        <v>292.30782017131179</v>
      </c>
      <c r="GZ187" s="59">
        <f ca="1">AVERAGE(OFFSET($GY$3,0,0,'Données projet'!$E$18+1,1))-AVERAGE(OFFSET($H$3,0,0,'Données projet'!$E$18+1,1))</f>
        <v>249.88816678272056</v>
      </c>
      <c r="HA187" s="59">
        <f t="shared" si="160"/>
        <v>432.10802787437319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3.9338570361891745</v>
      </c>
      <c r="HH187" s="21">
        <f>EXP(-LN(2)/25)*HH186+(1-EXP(-LN(2)/25))/(LN(2)/25)*Calculateur!HC187*Calculateur!HE187*VLOOKUP('Données projet'!$B$18,Paramètres!$A$1:$I$89,3,0)*0.475*44/12</f>
        <v>0.30087003391690242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4.2347270701060769</v>
      </c>
    </row>
    <row r="188" spans="1:218" x14ac:dyDescent="0.3">
      <c r="A188" s="10">
        <f t="shared" si="161"/>
        <v>185</v>
      </c>
      <c r="B188" s="71">
        <f>'Scénario référence'!$B$16*5+'Scénario référence'!$B$17*0+'Scénario référence'!$B$18*5</f>
        <v>1.4000000000000001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5.1333333333333337</v>
      </c>
      <c r="H188" s="65">
        <f t="shared" si="110"/>
        <v>236.13333333333335</v>
      </c>
      <c r="I188" s="6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319</v>
      </c>
      <c r="O188" s="13">
        <f>N188*VLOOKUP('Données projet'!$B$9,Paramètres!$A$1:$I$89,3,0)*VLOOKUP('Données projet'!$B$9,Paramètres!$A$1:$I$89,5,0)</f>
        <v>253.79640000000001</v>
      </c>
      <c r="P188" s="13">
        <f t="shared" si="141"/>
        <v>61.39816832228076</v>
      </c>
      <c r="Q188" s="20">
        <f t="shared" si="162"/>
        <v>548.96387316130563</v>
      </c>
      <c r="R188" s="59">
        <f t="shared" si="109"/>
        <v>841.2894836932727</v>
      </c>
      <c r="S188" s="59">
        <f ca="1">AVERAGE(OFFSET($R$3,0,0,'Données projet'!$E$9+1,1))-AVERAGE(OFFSET($H$3,0,0,'Données projet'!$E$9+1,1))</f>
        <v>360.06385535620069</v>
      </c>
      <c r="T188" s="59">
        <f t="shared" si="142"/>
        <v>350.82516032456408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6.6460297056020554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6.6460297056020554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277.77359999999993</v>
      </c>
      <c r="AK188" s="13">
        <f t="shared" si="164"/>
        <v>66.496288176842356</v>
      </c>
      <c r="AL188" s="20">
        <f t="shared" si="165"/>
        <v>599.60338857466706</v>
      </c>
      <c r="AM188" s="59">
        <f t="shared" si="113"/>
        <v>891.92899910663414</v>
      </c>
      <c r="AN188" s="59">
        <f ca="1">AVERAGE(OFFSET($AM$3,0,0,'Données projet'!$E$10+1,1))-AVERAGE(OFFSET($H$3,0,0,'Données projet'!$E$10+1,1))</f>
        <v>448.65237942538027</v>
      </c>
      <c r="AO188" s="59">
        <f t="shared" si="144"/>
        <v>283.56749129825107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25.0243271587115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25.0243271587115</v>
      </c>
      <c r="AY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403.99999999999989</v>
      </c>
      <c r="BE188" s="13">
        <f>BD188*VLOOKUP('Données projet'!$B$11,Paramètres!$A$1:$I$89,3,0)*VLOOKUP('Données projet'!$B$11,Paramètres!$A$1:$I$89,5,0)</f>
        <v>346.63199999999995</v>
      </c>
      <c r="BF188" s="13">
        <f t="shared" si="167"/>
        <v>80.868615263336864</v>
      </c>
      <c r="BG188" s="20">
        <f t="shared" si="168"/>
        <v>744.56357158364483</v>
      </c>
      <c r="BH188" s="59">
        <f t="shared" si="116"/>
        <v>1036.8891821156119</v>
      </c>
      <c r="BI188" s="59">
        <f ca="1">AVERAGE(OFFSET($BH$3,0,0,'Données projet'!$E$11+1,1))-AVERAGE(OFFSET($H$3,0,0,'Données projet'!$E$11+1,1))</f>
        <v>456.76871853389395</v>
      </c>
      <c r="BJ188" s="59">
        <f t="shared" si="146"/>
        <v>262.12425810289176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27.590014059362062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27.590014059362062</v>
      </c>
      <c r="BT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255.00000000000006</v>
      </c>
      <c r="BZ188" s="13">
        <f>BY188*VLOOKUP('Données projet'!$B$12,Paramètres!$A$1:$I$89,3,0)*VLOOKUP('Données projet'!$B$12,Paramètres!$A$1:$I$89,5,0)</f>
        <v>186.96600000000004</v>
      </c>
      <c r="CA188" s="13">
        <f t="shared" si="170"/>
        <v>46.868551400324648</v>
      </c>
      <c r="CB188" s="20">
        <f t="shared" si="171"/>
        <v>407.26184368889881</v>
      </c>
      <c r="CC188" s="59">
        <f t="shared" si="119"/>
        <v>699.58745422086588</v>
      </c>
      <c r="CD188" s="59">
        <f ca="1">AVERAGE(OFFSET($CC$3,0,0,'Données projet'!$E$12+1,1))-AVERAGE(OFFSET($H$3,0,0,'Données projet'!$E$12+1,1))</f>
        <v>242.65851607945316</v>
      </c>
      <c r="CE188" s="59">
        <f t="shared" si="148"/>
        <v>218.9349999985487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249.0000000000002</v>
      </c>
      <c r="CU188" s="17">
        <f>CT188*VLOOKUP('Données projet'!$B$13,Paramètres!$A$1:$I$89,3,0)*VLOOKUP('Données projet'!$B$13,Paramètres!$A$1:$I$89,5,0)</f>
        <v>217.52640000000019</v>
      </c>
      <c r="CV188" s="13">
        <f t="shared" si="173"/>
        <v>53.576907690651304</v>
      </c>
      <c r="CW188" s="20">
        <f t="shared" si="174"/>
        <v>472.17159422788467</v>
      </c>
      <c r="CX188" s="59">
        <f t="shared" si="122"/>
        <v>764.49720475985168</v>
      </c>
      <c r="CY188" s="59">
        <f ca="1">AVERAGE(OFFSET($CX$3,0,0,'Données projet'!$E$13+1,1))-AVERAGE(OFFSET($H$3,0,0,'Données projet'!$E$13+1,1))</f>
        <v>326.9460696675867</v>
      </c>
      <c r="CZ188" s="59">
        <f t="shared" si="150"/>
        <v>393.4020374592568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6.4038160406477083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6.4038160406477083</v>
      </c>
      <c r="DJ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349.00000000000017</v>
      </c>
      <c r="DP188" s="17">
        <f>DO188*VLOOKUP('Données projet'!$B$14,Paramètres!$A$1:$I$89,3,0)*VLOOKUP('Données projet'!$B$14,Paramètres!$A$1:$I$89,5,0)</f>
        <v>272.22000000000014</v>
      </c>
      <c r="DQ188" s="13">
        <f t="shared" si="176"/>
        <v>65.320184547527205</v>
      </c>
      <c r="DR188" s="20">
        <f t="shared" si="177"/>
        <v>587.88248808694345</v>
      </c>
      <c r="DS188" s="59">
        <f t="shared" si="125"/>
        <v>880.20809861891053</v>
      </c>
      <c r="DT188" s="59">
        <f ca="1">AVERAGE(OFFSET($DS$3,0,0,'Données projet'!$E$14+1,1))-AVERAGE(OFFSET($H$3,0,0,'Données projet'!$E$14+1,1))</f>
        <v>364.34528546733799</v>
      </c>
      <c r="DU188" s="59">
        <f t="shared" si="152"/>
        <v>346.5839763411152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8.887422906046714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8.887422906046714</v>
      </c>
      <c r="EE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213.98519999999999</v>
      </c>
      <c r="EL188" s="13">
        <f t="shared" si="179"/>
        <v>52.805497044008654</v>
      </c>
      <c r="EM188" s="20">
        <f t="shared" si="180"/>
        <v>464.66046401831505</v>
      </c>
      <c r="EN188" s="59">
        <f t="shared" si="128"/>
        <v>756.98607455028218</v>
      </c>
      <c r="EO188" s="59">
        <f ca="1">AVERAGE(OFFSET($EN$3,0,0,'Données projet'!$E$15+1,1))-AVERAGE(OFFSET($H$3,0,0,'Données projet'!$E$15+1,1))</f>
        <v>310.38232870602445</v>
      </c>
      <c r="EP188" s="59">
        <f t="shared" si="154"/>
        <v>303.45934457265537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5.6035152419782008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5.6035152419782008</v>
      </c>
      <c r="EZ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245.99999999999994</v>
      </c>
      <c r="FF188" s="17">
        <f>FE188*VLOOKUP('Données projet'!$B$16,Paramètres!$A$1:$I$89,3,0)*VLOOKUP('Données projet'!$B$16,Paramètres!$A$1:$I$89,5,0)</f>
        <v>234.09359999999998</v>
      </c>
      <c r="FG188" s="13">
        <f t="shared" si="182"/>
        <v>57.166902703920208</v>
      </c>
      <c r="FH188" s="20">
        <f t="shared" si="183"/>
        <v>507.27870887599425</v>
      </c>
      <c r="FI188" s="59">
        <f t="shared" si="131"/>
        <v>799.60431940796138</v>
      </c>
      <c r="FJ188" s="59">
        <f ca="1">AVERAGE(OFFSET($FI$3,0,0,'Données projet'!$E$16+1,1))-AVERAGE(OFFSET($H$3,0,0,'Données projet'!$E$16+1,1))</f>
        <v>457.706832425622</v>
      </c>
      <c r="FK188" s="59">
        <f t="shared" si="156"/>
        <v>474.61768219844873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19.49460255478483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19.49460255478483</v>
      </c>
      <c r="FU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319</v>
      </c>
      <c r="GA188" s="17">
        <f>FZ188*VLOOKUP('Données projet'!$B$17,Paramètres!$A$1:$I$89,3,0)*VLOOKUP('Données projet'!$B$17,Paramètres!$A$1:$I$89,5,0)</f>
        <v>308.53680000000003</v>
      </c>
      <c r="GB188" s="13">
        <f t="shared" si="185"/>
        <v>72.963171684496103</v>
      </c>
      <c r="GC188" s="20">
        <f t="shared" si="186"/>
        <v>664.4457840171641</v>
      </c>
      <c r="GD188" s="59">
        <f t="shared" si="134"/>
        <v>956.77139454913117</v>
      </c>
      <c r="GE188" s="59">
        <f ca="1">AVERAGE(OFFSET($GD$3,0,0,'Données projet'!$E$17+1,1))-AVERAGE(OFFSET($H$3,0,0,'Données projet'!$E$17+1,1))</f>
        <v>428.11167311086814</v>
      </c>
      <c r="GF188" s="59">
        <f t="shared" si="158"/>
        <v>415.69449942923609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6.5550555660877139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6.5550555660877139</v>
      </c>
      <c r="GP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1.1368683772161603E-13</v>
      </c>
      <c r="GV188" s="17">
        <f>GU188*VLOOKUP('Données projet'!$B$18,Paramètres!$A$1:$I$89,3,0)*VLOOKUP('Données projet'!$B$18,Paramètres!$A$1:$I$89,5,0)</f>
        <v>6.5087988332379613E-14</v>
      </c>
      <c r="GW188" s="13">
        <f t="shared" si="188"/>
        <v>1.0279249680474958E-12</v>
      </c>
      <c r="GX188" s="20">
        <f t="shared" si="189"/>
        <v>1.9036642323616162E-12</v>
      </c>
      <c r="GY188" s="59">
        <f t="shared" si="137"/>
        <v>292.32561053196895</v>
      </c>
      <c r="GZ188" s="59">
        <f ca="1">AVERAGE(OFFSET($GY$3,0,0,'Données projet'!$E$18+1,1))-AVERAGE(OFFSET($H$3,0,0,'Données projet'!$E$18+1,1))</f>
        <v>249.88816678272056</v>
      </c>
      <c r="HA188" s="59">
        <f t="shared" si="160"/>
        <v>432.10802787437319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3.8567164991253744</v>
      </c>
      <c r="HH188" s="21">
        <f>EXP(-LN(2)/25)*HH187+(1-EXP(-LN(2)/25))/(LN(2)/25)*Calculateur!HC188*Calculateur!HE188*VLOOKUP('Données projet'!$B$18,Paramètres!$A$1:$I$89,3,0)*0.475*44/12</f>
        <v>0.29264272701737731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4.1493592261427521</v>
      </c>
    </row>
    <row r="189" spans="1:218" x14ac:dyDescent="0.3">
      <c r="A189" s="10">
        <f t="shared" si="161"/>
        <v>186</v>
      </c>
      <c r="B189" s="71">
        <f>'Scénario référence'!$B$16*5+'Scénario référence'!$B$17*0+'Scénario référence'!$B$18*5</f>
        <v>1.4000000000000001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5.1333333333333337</v>
      </c>
      <c r="H189" s="65">
        <f t="shared" si="110"/>
        <v>236.13333333333335</v>
      </c>
      <c r="I189" s="6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319</v>
      </c>
      <c r="O189" s="13">
        <f>N189*VLOOKUP('Données projet'!$B$9,Paramètres!$A$1:$I$89,3,0)*VLOOKUP('Données projet'!$B$9,Paramètres!$A$1:$I$89,5,0)</f>
        <v>253.79640000000001</v>
      </c>
      <c r="P189" s="13">
        <f t="shared" si="141"/>
        <v>61.39816832228076</v>
      </c>
      <c r="Q189" s="20">
        <f t="shared" si="162"/>
        <v>548.96387316130563</v>
      </c>
      <c r="R189" s="59">
        <f t="shared" si="109"/>
        <v>841.30696543094564</v>
      </c>
      <c r="S189" s="59">
        <f ca="1">AVERAGE(OFFSET($R$3,0,0,'Données projet'!$E$9+1,1))-AVERAGE(OFFSET($H$3,0,0,'Données projet'!$E$9+1,1))</f>
        <v>360.06385535620069</v>
      </c>
      <c r="T189" s="59">
        <f t="shared" si="142"/>
        <v>350.82516032456408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6.5157051167530522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6.5157051167530522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277.77359999999993</v>
      </c>
      <c r="AK189" s="13">
        <f t="shared" si="164"/>
        <v>66.496288176842356</v>
      </c>
      <c r="AL189" s="20">
        <f t="shared" si="165"/>
        <v>599.60338857466706</v>
      </c>
      <c r="AM189" s="59">
        <f t="shared" si="113"/>
        <v>891.94648084430719</v>
      </c>
      <c r="AN189" s="59">
        <f ca="1">AVERAGE(OFFSET($AM$3,0,0,'Données projet'!$E$10+1,1))-AVERAGE(OFFSET($H$3,0,0,'Données projet'!$E$10+1,1))</f>
        <v>448.65237942538027</v>
      </c>
      <c r="AO189" s="59">
        <f t="shared" si="144"/>
        <v>283.56749129825107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24.533615366461607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24.533615366461607</v>
      </c>
      <c r="AY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403.99999999999989</v>
      </c>
      <c r="BE189" s="13">
        <f>BD189*VLOOKUP('Données projet'!$B$11,Paramètres!$A$1:$I$89,3,0)*VLOOKUP('Données projet'!$B$11,Paramètres!$A$1:$I$89,5,0)</f>
        <v>346.63199999999995</v>
      </c>
      <c r="BF189" s="13">
        <f t="shared" si="167"/>
        <v>80.868615263336864</v>
      </c>
      <c r="BG189" s="20">
        <f t="shared" si="168"/>
        <v>744.56357158364483</v>
      </c>
      <c r="BH189" s="59">
        <f t="shared" si="116"/>
        <v>1036.906663853285</v>
      </c>
      <c r="BI189" s="59">
        <f ca="1">AVERAGE(OFFSET($BH$3,0,0,'Données projet'!$E$11+1,1))-AVERAGE(OFFSET($H$3,0,0,'Données projet'!$E$11+1,1))</f>
        <v>456.76871853389395</v>
      </c>
      <c r="BJ189" s="59">
        <f t="shared" si="146"/>
        <v>262.12425810289176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27.048990711904896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27.048990711904896</v>
      </c>
      <c r="BT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255.00000000000006</v>
      </c>
      <c r="BZ189" s="13">
        <f>BY189*VLOOKUP('Données projet'!$B$12,Paramètres!$A$1:$I$89,3,0)*VLOOKUP('Données projet'!$B$12,Paramètres!$A$1:$I$89,5,0)</f>
        <v>186.96600000000004</v>
      </c>
      <c r="CA189" s="13">
        <f t="shared" si="170"/>
        <v>46.868551400324648</v>
      </c>
      <c r="CB189" s="20">
        <f t="shared" si="171"/>
        <v>407.26184368889881</v>
      </c>
      <c r="CC189" s="59">
        <f t="shared" si="119"/>
        <v>699.60493595853882</v>
      </c>
      <c r="CD189" s="59">
        <f ca="1">AVERAGE(OFFSET($CC$3,0,0,'Données projet'!$E$12+1,1))-AVERAGE(OFFSET($H$3,0,0,'Données projet'!$E$12+1,1))</f>
        <v>242.65851607945316</v>
      </c>
      <c r="CE189" s="59">
        <f t="shared" si="148"/>
        <v>218.9349999985487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249.0000000000002</v>
      </c>
      <c r="CU189" s="17">
        <f>CT189*VLOOKUP('Données projet'!$B$13,Paramètres!$A$1:$I$89,3,0)*VLOOKUP('Données projet'!$B$13,Paramètres!$A$1:$I$89,5,0)</f>
        <v>217.52640000000019</v>
      </c>
      <c r="CV189" s="13">
        <f t="shared" si="173"/>
        <v>53.576907690651304</v>
      </c>
      <c r="CW189" s="20">
        <f t="shared" si="174"/>
        <v>472.17159422788467</v>
      </c>
      <c r="CX189" s="59">
        <f t="shared" si="122"/>
        <v>764.51468649752474</v>
      </c>
      <c r="CY189" s="59">
        <f ca="1">AVERAGE(OFFSET($CX$3,0,0,'Données projet'!$E$13+1,1))-AVERAGE(OFFSET($H$3,0,0,'Données projet'!$E$13+1,1))</f>
        <v>326.9460696675867</v>
      </c>
      <c r="CZ189" s="59">
        <f t="shared" si="150"/>
        <v>393.4020374592568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6.2782411140327117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6.2782411140327117</v>
      </c>
      <c r="DJ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349.00000000000017</v>
      </c>
      <c r="DP189" s="17">
        <f>DO189*VLOOKUP('Données projet'!$B$14,Paramètres!$A$1:$I$89,3,0)*VLOOKUP('Données projet'!$B$14,Paramètres!$A$1:$I$89,5,0)</f>
        <v>272.22000000000014</v>
      </c>
      <c r="DQ189" s="13">
        <f t="shared" si="176"/>
        <v>65.320184547527205</v>
      </c>
      <c r="DR189" s="20">
        <f t="shared" si="177"/>
        <v>587.88248808694345</v>
      </c>
      <c r="DS189" s="59">
        <f t="shared" si="125"/>
        <v>880.22558035658358</v>
      </c>
      <c r="DT189" s="59">
        <f ca="1">AVERAGE(OFFSET($DS$3,0,0,'Données projet'!$E$14+1,1))-AVERAGE(OFFSET($H$3,0,0,'Données projet'!$E$14+1,1))</f>
        <v>364.34528546733799</v>
      </c>
      <c r="DU189" s="59">
        <f t="shared" si="152"/>
        <v>346.5839763411152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8.7131459636518525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8.7131459636518525</v>
      </c>
      <c r="EE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213.98519999999999</v>
      </c>
      <c r="EL189" s="13">
        <f t="shared" si="179"/>
        <v>52.805497044008654</v>
      </c>
      <c r="EM189" s="20">
        <f t="shared" si="180"/>
        <v>464.66046401831505</v>
      </c>
      <c r="EN189" s="59">
        <f t="shared" si="128"/>
        <v>757.00355628795512</v>
      </c>
      <c r="EO189" s="59">
        <f ca="1">AVERAGE(OFFSET($EN$3,0,0,'Données projet'!$E$15+1,1))-AVERAGE(OFFSET($H$3,0,0,'Données projet'!$E$15+1,1))</f>
        <v>310.38232870602445</v>
      </c>
      <c r="EP189" s="59">
        <f t="shared" si="154"/>
        <v>303.45934457265537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5.4936337258898256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5.4936337258898256</v>
      </c>
      <c r="EZ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245.99999999999994</v>
      </c>
      <c r="FF189" s="17">
        <f>FE189*VLOOKUP('Données projet'!$B$16,Paramètres!$A$1:$I$89,3,0)*VLOOKUP('Données projet'!$B$16,Paramètres!$A$1:$I$89,5,0)</f>
        <v>234.09359999999998</v>
      </c>
      <c r="FG189" s="13">
        <f t="shared" si="182"/>
        <v>57.166902703920208</v>
      </c>
      <c r="FH189" s="20">
        <f t="shared" si="183"/>
        <v>507.27870887599425</v>
      </c>
      <c r="FI189" s="59">
        <f t="shared" si="131"/>
        <v>799.62180114563432</v>
      </c>
      <c r="FJ189" s="59">
        <f ca="1">AVERAGE(OFFSET($FI$3,0,0,'Données projet'!$E$16+1,1))-AVERAGE(OFFSET($H$3,0,0,'Données projet'!$E$16+1,1))</f>
        <v>457.706832425622</v>
      </c>
      <c r="FK189" s="59">
        <f t="shared" si="156"/>
        <v>474.61768219844873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19.112325289218965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19.112325289218965</v>
      </c>
      <c r="FU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319</v>
      </c>
      <c r="GA189" s="17">
        <f>FZ189*VLOOKUP('Données projet'!$B$17,Paramètres!$A$1:$I$89,3,0)*VLOOKUP('Données projet'!$B$17,Paramètres!$A$1:$I$89,5,0)</f>
        <v>308.53680000000003</v>
      </c>
      <c r="GB189" s="13">
        <f t="shared" si="185"/>
        <v>72.963171684496103</v>
      </c>
      <c r="GC189" s="20">
        <f t="shared" si="186"/>
        <v>664.4457840171641</v>
      </c>
      <c r="GD189" s="59">
        <f t="shared" si="134"/>
        <v>956.78887628680422</v>
      </c>
      <c r="GE189" s="59">
        <f ca="1">AVERAGE(OFFSET($GD$3,0,0,'Données projet'!$E$17+1,1))-AVERAGE(OFFSET($H$3,0,0,'Données projet'!$E$17+1,1))</f>
        <v>428.11167311086814</v>
      </c>
      <c r="GF189" s="59">
        <f t="shared" si="158"/>
        <v>415.69449942923609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6.4265149246258408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6.4265149246258408</v>
      </c>
      <c r="GP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1.1368683772161603E-13</v>
      </c>
      <c r="GV189" s="17">
        <f>GU189*VLOOKUP('Données projet'!$B$18,Paramètres!$A$1:$I$89,3,0)*VLOOKUP('Données projet'!$B$18,Paramètres!$A$1:$I$89,5,0)</f>
        <v>6.5087988332379613E-14</v>
      </c>
      <c r="GW189" s="13">
        <f t="shared" si="188"/>
        <v>1.0279249680474958E-12</v>
      </c>
      <c r="GX189" s="20">
        <f t="shared" si="189"/>
        <v>1.9036642323616162E-12</v>
      </c>
      <c r="GY189" s="59">
        <f t="shared" si="137"/>
        <v>292.34309226964194</v>
      </c>
      <c r="GZ189" s="59">
        <f ca="1">AVERAGE(OFFSET($GY$3,0,0,'Données projet'!$E$18+1,1))-AVERAGE(OFFSET($H$3,0,0,'Données projet'!$E$18+1,1))</f>
        <v>249.88816678272056</v>
      </c>
      <c r="HA189" s="59">
        <f t="shared" si="160"/>
        <v>432.10802787437319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3.7810886409423135</v>
      </c>
      <c r="HH189" s="21">
        <f>EXP(-LN(2)/25)*HH188+(1-EXP(-LN(2)/25))/(LN(2)/25)*Calculateur!HC189*Calculateur!HE189*VLOOKUP('Données projet'!$B$18,Paramètres!$A$1:$I$89,3,0)*0.475*44/12</f>
        <v>0.28464039625767495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4.0657290371999881</v>
      </c>
    </row>
    <row r="190" spans="1:218" x14ac:dyDescent="0.3">
      <c r="A190" s="10">
        <f t="shared" si="161"/>
        <v>187</v>
      </c>
      <c r="B190" s="71">
        <f>'Scénario référence'!$B$16*5+'Scénario référence'!$B$17*0+'Scénario référence'!$B$18*5</f>
        <v>1.4000000000000001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5.1333333333333337</v>
      </c>
      <c r="H190" s="65">
        <f t="shared" si="110"/>
        <v>236.13333333333335</v>
      </c>
      <c r="I190" s="6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319</v>
      </c>
      <c r="O190" s="13">
        <f>N190*VLOOKUP('Données projet'!$B$9,Paramètres!$A$1:$I$89,3,0)*VLOOKUP('Données projet'!$B$9,Paramètres!$A$1:$I$89,5,0)</f>
        <v>253.79640000000001</v>
      </c>
      <c r="P190" s="13">
        <f t="shared" si="141"/>
        <v>61.39816832228076</v>
      </c>
      <c r="Q190" s="20">
        <f t="shared" si="162"/>
        <v>548.96387316130563</v>
      </c>
      <c r="R190" s="59">
        <f t="shared" si="109"/>
        <v>841.32414389955341</v>
      </c>
      <c r="S190" s="59">
        <f ca="1">AVERAGE(OFFSET($R$3,0,0,'Données projet'!$E$9+1,1))-AVERAGE(OFFSET($H$3,0,0,'Données projet'!$E$9+1,1))</f>
        <v>360.06385535620069</v>
      </c>
      <c r="T190" s="59">
        <f t="shared" si="142"/>
        <v>350.82516032456408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6.3879361136012278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6.3879361136012278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277.77359999999993</v>
      </c>
      <c r="AK190" s="13">
        <f t="shared" si="164"/>
        <v>66.496288176842356</v>
      </c>
      <c r="AL190" s="20">
        <f t="shared" si="165"/>
        <v>599.60338857466706</v>
      </c>
      <c r="AM190" s="59">
        <f t="shared" si="113"/>
        <v>891.96365931291484</v>
      </c>
      <c r="AN190" s="59">
        <f ca="1">AVERAGE(OFFSET($AM$3,0,0,'Données projet'!$E$10+1,1))-AVERAGE(OFFSET($H$3,0,0,'Données projet'!$E$10+1,1))</f>
        <v>448.65237942538027</v>
      </c>
      <c r="AO190" s="59">
        <f t="shared" si="144"/>
        <v>283.56749129825107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24.052526133153094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24.052526133153094</v>
      </c>
      <c r="AY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403.99999999999989</v>
      </c>
      <c r="BE190" s="13">
        <f>BD190*VLOOKUP('Données projet'!$B$11,Paramètres!$A$1:$I$89,3,0)*VLOOKUP('Données projet'!$B$11,Paramètres!$A$1:$I$89,5,0)</f>
        <v>346.63199999999995</v>
      </c>
      <c r="BF190" s="13">
        <f t="shared" si="167"/>
        <v>80.868615263336864</v>
      </c>
      <c r="BG190" s="20">
        <f t="shared" si="168"/>
        <v>744.56357158364483</v>
      </c>
      <c r="BH190" s="59">
        <f t="shared" si="116"/>
        <v>1036.9238423218926</v>
      </c>
      <c r="BI190" s="59">
        <f ca="1">AVERAGE(OFFSET($BH$3,0,0,'Données projet'!$E$11+1,1))-AVERAGE(OFFSET($H$3,0,0,'Données projet'!$E$11+1,1))</f>
        <v>456.76871853389395</v>
      </c>
      <c r="BJ190" s="59">
        <f t="shared" si="146"/>
        <v>262.12425810289176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26.518576502299709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26.518576502299709</v>
      </c>
      <c r="BT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255.00000000000006</v>
      </c>
      <c r="BZ190" s="13">
        <f>BY190*VLOOKUP('Données projet'!$B$12,Paramètres!$A$1:$I$89,3,0)*VLOOKUP('Données projet'!$B$12,Paramètres!$A$1:$I$89,5,0)</f>
        <v>186.96600000000004</v>
      </c>
      <c r="CA190" s="13">
        <f t="shared" si="170"/>
        <v>46.868551400324648</v>
      </c>
      <c r="CB190" s="20">
        <f t="shared" si="171"/>
        <v>407.26184368889881</v>
      </c>
      <c r="CC190" s="59">
        <f t="shared" si="119"/>
        <v>699.62211442714658</v>
      </c>
      <c r="CD190" s="59">
        <f ca="1">AVERAGE(OFFSET($CC$3,0,0,'Données projet'!$E$12+1,1))-AVERAGE(OFFSET($H$3,0,0,'Données projet'!$E$12+1,1))</f>
        <v>242.65851607945316</v>
      </c>
      <c r="CE190" s="59">
        <f t="shared" si="148"/>
        <v>218.9349999985487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249.0000000000002</v>
      </c>
      <c r="CU190" s="17">
        <f>CT190*VLOOKUP('Données projet'!$B$13,Paramètres!$A$1:$I$89,3,0)*VLOOKUP('Données projet'!$B$13,Paramètres!$A$1:$I$89,5,0)</f>
        <v>217.52640000000019</v>
      </c>
      <c r="CV190" s="13">
        <f t="shared" si="173"/>
        <v>53.576907690651304</v>
      </c>
      <c r="CW190" s="20">
        <f t="shared" si="174"/>
        <v>472.17159422788467</v>
      </c>
      <c r="CX190" s="59">
        <f t="shared" si="122"/>
        <v>764.53186496613239</v>
      </c>
      <c r="CY190" s="59">
        <f ca="1">AVERAGE(OFFSET($CX$3,0,0,'Données projet'!$E$13+1,1))-AVERAGE(OFFSET($H$3,0,0,'Données projet'!$E$13+1,1))</f>
        <v>326.9460696675867</v>
      </c>
      <c r="CZ190" s="59">
        <f t="shared" si="150"/>
        <v>393.4020374592568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6.155128635135493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6.155128635135493</v>
      </c>
      <c r="DJ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349.00000000000017</v>
      </c>
      <c r="DP190" s="17">
        <f>DO190*VLOOKUP('Données projet'!$B$14,Paramètres!$A$1:$I$89,3,0)*VLOOKUP('Données projet'!$B$14,Paramètres!$A$1:$I$89,5,0)</f>
        <v>272.22000000000014</v>
      </c>
      <c r="DQ190" s="13">
        <f t="shared" si="176"/>
        <v>65.320184547527205</v>
      </c>
      <c r="DR190" s="20">
        <f t="shared" si="177"/>
        <v>587.88248808694345</v>
      </c>
      <c r="DS190" s="59">
        <f t="shared" si="125"/>
        <v>880.24275882519123</v>
      </c>
      <c r="DT190" s="59">
        <f ca="1">AVERAGE(OFFSET($DS$3,0,0,'Données projet'!$E$14+1,1))-AVERAGE(OFFSET($H$3,0,0,'Données projet'!$E$14+1,1))</f>
        <v>364.34528546733799</v>
      </c>
      <c r="DU190" s="59">
        <f t="shared" si="152"/>
        <v>346.5839763411152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8.5422864857989147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8.5422864857989147</v>
      </c>
      <c r="EE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213.98519999999999</v>
      </c>
      <c r="EL190" s="13">
        <f t="shared" si="179"/>
        <v>52.805497044008654</v>
      </c>
      <c r="EM190" s="20">
        <f t="shared" si="180"/>
        <v>464.66046401831505</v>
      </c>
      <c r="EN190" s="59">
        <f t="shared" si="128"/>
        <v>757.02073475656289</v>
      </c>
      <c r="EO190" s="59">
        <f ca="1">AVERAGE(OFFSET($EN$3,0,0,'Données projet'!$E$15+1,1))-AVERAGE(OFFSET($H$3,0,0,'Données projet'!$E$15+1,1))</f>
        <v>310.38232870602445</v>
      </c>
      <c r="EP190" s="59">
        <f t="shared" si="154"/>
        <v>303.45934457265537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5.3859069193108366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5.3859069193108366</v>
      </c>
      <c r="EZ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245.99999999999994</v>
      </c>
      <c r="FF190" s="17">
        <f>FE190*VLOOKUP('Données projet'!$B$16,Paramètres!$A$1:$I$89,3,0)*VLOOKUP('Données projet'!$B$16,Paramètres!$A$1:$I$89,5,0)</f>
        <v>234.09359999999998</v>
      </c>
      <c r="FG190" s="13">
        <f t="shared" si="182"/>
        <v>57.166902703920208</v>
      </c>
      <c r="FH190" s="20">
        <f t="shared" si="183"/>
        <v>507.27870887599425</v>
      </c>
      <c r="FI190" s="59">
        <f t="shared" si="131"/>
        <v>799.63897961424209</v>
      </c>
      <c r="FJ190" s="59">
        <f ca="1">AVERAGE(OFFSET($FI$3,0,0,'Données projet'!$E$16+1,1))-AVERAGE(OFFSET($H$3,0,0,'Données projet'!$E$16+1,1))</f>
        <v>457.706832425622</v>
      </c>
      <c r="FK190" s="59">
        <f t="shared" si="156"/>
        <v>474.61768219844873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18.73754424766474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18.73754424766474</v>
      </c>
      <c r="FU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319</v>
      </c>
      <c r="GA190" s="17">
        <f>FZ190*VLOOKUP('Données projet'!$B$17,Paramètres!$A$1:$I$89,3,0)*VLOOKUP('Données projet'!$B$17,Paramètres!$A$1:$I$89,5,0)</f>
        <v>308.53680000000003</v>
      </c>
      <c r="GB190" s="13">
        <f t="shared" si="185"/>
        <v>72.963171684496103</v>
      </c>
      <c r="GC190" s="20">
        <f t="shared" si="186"/>
        <v>664.4457840171641</v>
      </c>
      <c r="GD190" s="59">
        <f t="shared" si="134"/>
        <v>956.80605475541188</v>
      </c>
      <c r="GE190" s="59">
        <f ca="1">AVERAGE(OFFSET($GD$3,0,0,'Données projet'!$E$17+1,1))-AVERAGE(OFFSET($H$3,0,0,'Données projet'!$E$17+1,1))</f>
        <v>428.11167311086814</v>
      </c>
      <c r="GF190" s="59">
        <f t="shared" si="158"/>
        <v>415.69449942923609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6.3004948867409851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6.3004948867409851</v>
      </c>
      <c r="GP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1.1368683772161603E-13</v>
      </c>
      <c r="GV190" s="17">
        <f>GU190*VLOOKUP('Données projet'!$B$18,Paramètres!$A$1:$I$89,3,0)*VLOOKUP('Données projet'!$B$18,Paramètres!$A$1:$I$89,5,0)</f>
        <v>6.5087988332379613E-14</v>
      </c>
      <c r="GW190" s="13">
        <f t="shared" si="188"/>
        <v>1.0279249680474958E-12</v>
      </c>
      <c r="GX190" s="20">
        <f t="shared" si="189"/>
        <v>1.9036642323616162E-12</v>
      </c>
      <c r="GY190" s="59">
        <f t="shared" si="137"/>
        <v>292.36027073824965</v>
      </c>
      <c r="GZ190" s="59">
        <f ca="1">AVERAGE(OFFSET($GY$3,0,0,'Données projet'!$E$18+1,1))-AVERAGE(OFFSET($H$3,0,0,'Données projet'!$E$18+1,1))</f>
        <v>249.88816678272056</v>
      </c>
      <c r="HA190" s="59">
        <f t="shared" si="160"/>
        <v>432.10802787437319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3.7069437989297835</v>
      </c>
      <c r="HH190" s="21">
        <f>EXP(-LN(2)/25)*HH189+(1-EXP(-LN(2)/25))/(LN(2)/25)*Calculateur!HC190*Calculateur!HE190*VLOOKUP('Données projet'!$B$18,Paramètres!$A$1:$I$89,3,0)*0.475*44/12</f>
        <v>0.27685688965342092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3.9838006885832042</v>
      </c>
    </row>
    <row r="191" spans="1:218" x14ac:dyDescent="0.3">
      <c r="A191" s="10">
        <f t="shared" si="161"/>
        <v>188</v>
      </c>
      <c r="B191" s="71">
        <f>'Scénario référence'!$B$16*5+'Scénario référence'!$B$17*0+'Scénario référence'!$B$18*5</f>
        <v>1.4000000000000001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5.1333333333333337</v>
      </c>
      <c r="H191" s="65">
        <f t="shared" si="110"/>
        <v>236.13333333333335</v>
      </c>
      <c r="I191" s="6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319</v>
      </c>
      <c r="O191" s="13">
        <f>N191*VLOOKUP('Données projet'!$B$9,Paramètres!$A$1:$I$89,3,0)*VLOOKUP('Données projet'!$B$9,Paramètres!$A$1:$I$89,5,0)</f>
        <v>253.79640000000001</v>
      </c>
      <c r="P191" s="13">
        <f t="shared" si="141"/>
        <v>61.39816832228076</v>
      </c>
      <c r="Q191" s="20">
        <f t="shared" si="162"/>
        <v>548.96387316130563</v>
      </c>
      <c r="R191" s="59">
        <f t="shared" si="109"/>
        <v>841.34102436013609</v>
      </c>
      <c r="S191" s="59">
        <f ca="1">AVERAGE(OFFSET($R$3,0,0,'Données projet'!$E$9+1,1))-AVERAGE(OFFSET($H$3,0,0,'Données projet'!$E$9+1,1))</f>
        <v>360.06385535620069</v>
      </c>
      <c r="T191" s="59">
        <f t="shared" si="142"/>
        <v>350.82516032456408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6.262672582669814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6.262672582669814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277.77359999999993</v>
      </c>
      <c r="AK191" s="13">
        <f t="shared" si="164"/>
        <v>66.496288176842356</v>
      </c>
      <c r="AL191" s="20">
        <f t="shared" si="165"/>
        <v>599.60338857466706</v>
      </c>
      <c r="AM191" s="59">
        <f t="shared" si="113"/>
        <v>891.98053977349764</v>
      </c>
      <c r="AN191" s="59">
        <f ca="1">AVERAGE(OFFSET($AM$3,0,0,'Données projet'!$E$10+1,1))-AVERAGE(OFFSET($H$3,0,0,'Données projet'!$E$10+1,1))</f>
        <v>448.65237942538027</v>
      </c>
      <c r="AO191" s="59">
        <f t="shared" si="144"/>
        <v>283.56749129825107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23.580870766274302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23.580870766274302</v>
      </c>
      <c r="AY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403.99999999999989</v>
      </c>
      <c r="BE191" s="13">
        <f>BD191*VLOOKUP('Données projet'!$B$11,Paramètres!$A$1:$I$89,3,0)*VLOOKUP('Données projet'!$B$11,Paramètres!$A$1:$I$89,5,0)</f>
        <v>346.63199999999995</v>
      </c>
      <c r="BF191" s="13">
        <f t="shared" si="167"/>
        <v>80.868615263336864</v>
      </c>
      <c r="BG191" s="20">
        <f t="shared" si="168"/>
        <v>744.56357158364483</v>
      </c>
      <c r="BH191" s="59">
        <f t="shared" si="116"/>
        <v>1036.9407227824754</v>
      </c>
      <c r="BI191" s="59">
        <f ca="1">AVERAGE(OFFSET($BH$3,0,0,'Données projet'!$E$11+1,1))-AVERAGE(OFFSET($H$3,0,0,'Données projet'!$E$11+1,1))</f>
        <v>456.76871853389395</v>
      </c>
      <c r="BJ191" s="59">
        <f t="shared" si="146"/>
        <v>262.12425810289176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25.998563391824156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25.998563391824156</v>
      </c>
      <c r="BT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255.00000000000006</v>
      </c>
      <c r="BZ191" s="13">
        <f>BY191*VLOOKUP('Données projet'!$B$12,Paramètres!$A$1:$I$89,3,0)*VLOOKUP('Données projet'!$B$12,Paramètres!$A$1:$I$89,5,0)</f>
        <v>186.96600000000004</v>
      </c>
      <c r="CA191" s="13">
        <f t="shared" si="170"/>
        <v>46.868551400324648</v>
      </c>
      <c r="CB191" s="20">
        <f t="shared" si="171"/>
        <v>407.26184368889881</v>
      </c>
      <c r="CC191" s="59">
        <f t="shared" si="119"/>
        <v>699.63899488772927</v>
      </c>
      <c r="CD191" s="59">
        <f ca="1">AVERAGE(OFFSET($CC$3,0,0,'Données projet'!$E$12+1,1))-AVERAGE(OFFSET($H$3,0,0,'Données projet'!$E$12+1,1))</f>
        <v>242.65851607945316</v>
      </c>
      <c r="CE191" s="59">
        <f t="shared" si="148"/>
        <v>218.9349999985487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249.0000000000002</v>
      </c>
      <c r="CU191" s="17">
        <f>CT191*VLOOKUP('Données projet'!$B$13,Paramètres!$A$1:$I$89,3,0)*VLOOKUP('Données projet'!$B$13,Paramètres!$A$1:$I$89,5,0)</f>
        <v>217.52640000000019</v>
      </c>
      <c r="CV191" s="13">
        <f t="shared" si="173"/>
        <v>53.576907690651304</v>
      </c>
      <c r="CW191" s="20">
        <f t="shared" si="174"/>
        <v>472.17159422788467</v>
      </c>
      <c r="CX191" s="59">
        <f t="shared" si="122"/>
        <v>764.54874542671519</v>
      </c>
      <c r="CY191" s="59">
        <f ca="1">AVERAGE(OFFSET($CX$3,0,0,'Données projet'!$E$13+1,1))-AVERAGE(OFFSET($H$3,0,0,'Données projet'!$E$13+1,1))</f>
        <v>326.9460696675867</v>
      </c>
      <c r="CZ191" s="59">
        <f t="shared" si="150"/>
        <v>393.4020374592568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6.0344303168582512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6.0344303168582512</v>
      </c>
      <c r="DJ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349.00000000000017</v>
      </c>
      <c r="DP191" s="17">
        <f>DO191*VLOOKUP('Données projet'!$B$14,Paramètres!$A$1:$I$89,3,0)*VLOOKUP('Données projet'!$B$14,Paramètres!$A$1:$I$89,5,0)</f>
        <v>272.22000000000014</v>
      </c>
      <c r="DQ191" s="13">
        <f t="shared" si="176"/>
        <v>65.320184547527205</v>
      </c>
      <c r="DR191" s="20">
        <f t="shared" si="177"/>
        <v>587.88248808694345</v>
      </c>
      <c r="DS191" s="59">
        <f t="shared" si="125"/>
        <v>880.25963928577403</v>
      </c>
      <c r="DT191" s="59">
        <f ca="1">AVERAGE(OFFSET($DS$3,0,0,'Données projet'!$E$14+1,1))-AVERAGE(OFFSET($H$3,0,0,'Données projet'!$E$14+1,1))</f>
        <v>364.34528546733799</v>
      </c>
      <c r="DU191" s="59">
        <f t="shared" si="152"/>
        <v>346.5839763411152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8.3747774580926819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8.3747774580926819</v>
      </c>
      <c r="EE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213.98519999999999</v>
      </c>
      <c r="EL191" s="13">
        <f t="shared" si="179"/>
        <v>52.805497044008654</v>
      </c>
      <c r="EM191" s="20">
        <f t="shared" si="180"/>
        <v>464.66046401831505</v>
      </c>
      <c r="EN191" s="59">
        <f t="shared" si="128"/>
        <v>757.03761521714557</v>
      </c>
      <c r="EO191" s="59">
        <f ca="1">AVERAGE(OFFSET($EN$3,0,0,'Données projet'!$E$15+1,1))-AVERAGE(OFFSET($H$3,0,0,'Données projet'!$E$15+1,1))</f>
        <v>310.38232870602445</v>
      </c>
      <c r="EP191" s="59">
        <f t="shared" si="154"/>
        <v>303.45934457265537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5.2802925697019969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5.2802925697019969</v>
      </c>
      <c r="EZ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245.99999999999994</v>
      </c>
      <c r="FF191" s="17">
        <f>FE191*VLOOKUP('Données projet'!$B$16,Paramètres!$A$1:$I$89,3,0)*VLOOKUP('Données projet'!$B$16,Paramètres!$A$1:$I$89,5,0)</f>
        <v>234.09359999999998</v>
      </c>
      <c r="FG191" s="13">
        <f t="shared" si="182"/>
        <v>57.166902703920208</v>
      </c>
      <c r="FH191" s="20">
        <f t="shared" si="183"/>
        <v>507.27870887599425</v>
      </c>
      <c r="FI191" s="59">
        <f t="shared" si="131"/>
        <v>799.65586007482477</v>
      </c>
      <c r="FJ191" s="59">
        <f ca="1">AVERAGE(OFFSET($FI$3,0,0,'Données projet'!$E$16+1,1))-AVERAGE(OFFSET($H$3,0,0,'Données projet'!$E$16+1,1))</f>
        <v>457.706832425622</v>
      </c>
      <c r="FK191" s="59">
        <f t="shared" si="156"/>
        <v>474.61768219844873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18.370112433741529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18.370112433741529</v>
      </c>
      <c r="FU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319</v>
      </c>
      <c r="GA191" s="17">
        <f>FZ191*VLOOKUP('Données projet'!$B$17,Paramètres!$A$1:$I$89,3,0)*VLOOKUP('Données projet'!$B$17,Paramètres!$A$1:$I$89,5,0)</f>
        <v>308.53680000000003</v>
      </c>
      <c r="GB191" s="13">
        <f t="shared" si="185"/>
        <v>72.963171684496103</v>
      </c>
      <c r="GC191" s="20">
        <f t="shared" si="186"/>
        <v>664.4457840171641</v>
      </c>
      <c r="GD191" s="59">
        <f t="shared" si="134"/>
        <v>956.82293521599468</v>
      </c>
      <c r="GE191" s="59">
        <f ca="1">AVERAGE(OFFSET($GD$3,0,0,'Données projet'!$E$17+1,1))-AVERAGE(OFFSET($H$3,0,0,'Données projet'!$E$17+1,1))</f>
        <v>428.11167311086814</v>
      </c>
      <c r="GF191" s="59">
        <f t="shared" si="158"/>
        <v>415.69449942923609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6.1769460249344181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6.1769460249344181</v>
      </c>
      <c r="GP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1.1368683772161603E-13</v>
      </c>
      <c r="GV191" s="17">
        <f>GU191*VLOOKUP('Données projet'!$B$18,Paramètres!$A$1:$I$89,3,0)*VLOOKUP('Données projet'!$B$18,Paramètres!$A$1:$I$89,5,0)</f>
        <v>6.5087988332379613E-14</v>
      </c>
      <c r="GW191" s="13">
        <f t="shared" si="188"/>
        <v>1.0279249680474958E-12</v>
      </c>
      <c r="GX191" s="20">
        <f t="shared" si="189"/>
        <v>1.9036642323616162E-12</v>
      </c>
      <c r="GY191" s="59">
        <f t="shared" si="137"/>
        <v>292.37715119883239</v>
      </c>
      <c r="GZ191" s="59">
        <f ca="1">AVERAGE(OFFSET($GY$3,0,0,'Données projet'!$E$18+1,1))-AVERAGE(OFFSET($H$3,0,0,'Données projet'!$E$18+1,1))</f>
        <v>249.88816678272056</v>
      </c>
      <c r="HA191" s="59">
        <f t="shared" si="160"/>
        <v>432.10802787437319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3.6342528920452315</v>
      </c>
      <c r="HH191" s="21">
        <f>EXP(-LN(2)/25)*HH190+(1-EXP(-LN(2)/25))/(LN(2)/25)*Calculateur!HC191*Calculateur!HE191*VLOOKUP('Données projet'!$B$18,Paramètres!$A$1:$I$89,3,0)*0.475*44/12</f>
        <v>0.26928622344657704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3.9035391154918084</v>
      </c>
    </row>
    <row r="192" spans="1:218" x14ac:dyDescent="0.3">
      <c r="A192" s="10">
        <f t="shared" si="161"/>
        <v>189</v>
      </c>
      <c r="B192" s="71">
        <f>'Scénario référence'!$B$16*5+'Scénario référence'!$B$17*0+'Scénario référence'!$B$18*5</f>
        <v>1.4000000000000001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5.1333333333333337</v>
      </c>
      <c r="H192" s="65">
        <f t="shared" si="110"/>
        <v>236.13333333333335</v>
      </c>
      <c r="I192" s="6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319</v>
      </c>
      <c r="O192" s="13">
        <f>N192*VLOOKUP('Données projet'!$B$9,Paramètres!$A$1:$I$89,3,0)*VLOOKUP('Données projet'!$B$9,Paramètres!$A$1:$I$89,5,0)</f>
        <v>253.79640000000001</v>
      </c>
      <c r="P192" s="13">
        <f t="shared" si="141"/>
        <v>61.39816832228076</v>
      </c>
      <c r="Q192" s="20">
        <f t="shared" si="162"/>
        <v>548.96387316130563</v>
      </c>
      <c r="R192" s="59">
        <f t="shared" si="109"/>
        <v>841.35761198246678</v>
      </c>
      <c r="S192" s="59">
        <f ca="1">AVERAGE(OFFSET($R$3,0,0,'Données projet'!$E$9+1,1))-AVERAGE(OFFSET($H$3,0,0,'Données projet'!$E$9+1,1))</f>
        <v>360.06385535620069</v>
      </c>
      <c r="T192" s="59">
        <f t="shared" si="142"/>
        <v>350.82516032456408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6.1398653931767555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6.1398653931767555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277.77359999999993</v>
      </c>
      <c r="AK192" s="13">
        <f t="shared" si="164"/>
        <v>66.496288176842356</v>
      </c>
      <c r="AL192" s="20">
        <f t="shared" si="165"/>
        <v>599.60338857466706</v>
      </c>
      <c r="AM192" s="59">
        <f t="shared" si="113"/>
        <v>891.9971273958281</v>
      </c>
      <c r="AN192" s="59">
        <f ca="1">AVERAGE(OFFSET($AM$3,0,0,'Données projet'!$E$10+1,1))-AVERAGE(OFFSET($H$3,0,0,'Données projet'!$E$10+1,1))</f>
        <v>448.65237942538027</v>
      </c>
      <c r="AO192" s="59">
        <f t="shared" si="144"/>
        <v>283.56749129825107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23.118464273458635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23.118464273458635</v>
      </c>
      <c r="AY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403.99999999999989</v>
      </c>
      <c r="BE192" s="13">
        <f>BD192*VLOOKUP('Données projet'!$B$11,Paramètres!$A$1:$I$89,3,0)*VLOOKUP('Données projet'!$B$11,Paramètres!$A$1:$I$89,5,0)</f>
        <v>346.63199999999995</v>
      </c>
      <c r="BF192" s="13">
        <f t="shared" si="167"/>
        <v>80.868615263336864</v>
      </c>
      <c r="BG192" s="20">
        <f t="shared" si="168"/>
        <v>744.56357158364483</v>
      </c>
      <c r="BH192" s="59">
        <f t="shared" si="116"/>
        <v>1036.9573104048059</v>
      </c>
      <c r="BI192" s="59">
        <f ca="1">AVERAGE(OFFSET($BH$3,0,0,'Données projet'!$E$11+1,1))-AVERAGE(OFFSET($H$3,0,0,'Données projet'!$E$11+1,1))</f>
        <v>456.76871853389395</v>
      </c>
      <c r="BJ192" s="59">
        <f t="shared" si="146"/>
        <v>262.12425810289176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25.48874742126835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25.48874742126835</v>
      </c>
      <c r="BT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255.00000000000006</v>
      </c>
      <c r="BZ192" s="13">
        <f>BY192*VLOOKUP('Données projet'!$B$12,Paramètres!$A$1:$I$89,3,0)*VLOOKUP('Données projet'!$B$12,Paramètres!$A$1:$I$89,5,0)</f>
        <v>186.96600000000004</v>
      </c>
      <c r="CA192" s="13">
        <f t="shared" si="170"/>
        <v>46.868551400324648</v>
      </c>
      <c r="CB192" s="20">
        <f t="shared" si="171"/>
        <v>407.26184368889881</v>
      </c>
      <c r="CC192" s="59">
        <f t="shared" si="119"/>
        <v>699.65558251005996</v>
      </c>
      <c r="CD192" s="59">
        <f ca="1">AVERAGE(OFFSET($CC$3,0,0,'Données projet'!$E$12+1,1))-AVERAGE(OFFSET($H$3,0,0,'Données projet'!$E$12+1,1))</f>
        <v>242.65851607945316</v>
      </c>
      <c r="CE192" s="59">
        <f t="shared" si="148"/>
        <v>218.9349999985487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249.0000000000002</v>
      </c>
      <c r="CU192" s="17">
        <f>CT192*VLOOKUP('Données projet'!$B$13,Paramètres!$A$1:$I$89,3,0)*VLOOKUP('Données projet'!$B$13,Paramètres!$A$1:$I$89,5,0)</f>
        <v>217.52640000000019</v>
      </c>
      <c r="CV192" s="13">
        <f t="shared" si="173"/>
        <v>53.576907690651304</v>
      </c>
      <c r="CW192" s="20">
        <f t="shared" si="174"/>
        <v>472.17159422788467</v>
      </c>
      <c r="CX192" s="59">
        <f t="shared" si="122"/>
        <v>764.56533304904576</v>
      </c>
      <c r="CY192" s="59">
        <f ca="1">AVERAGE(OFFSET($CX$3,0,0,'Données projet'!$E$13+1,1))-AVERAGE(OFFSET($H$3,0,0,'Données projet'!$E$13+1,1))</f>
        <v>326.9460696675867</v>
      </c>
      <c r="CZ192" s="59">
        <f t="shared" si="150"/>
        <v>393.4020374592568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5.9160988189837216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5.9160988189837216</v>
      </c>
      <c r="DJ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349.00000000000017</v>
      </c>
      <c r="DP192" s="17">
        <f>DO192*VLOOKUP('Données projet'!$B$14,Paramètres!$A$1:$I$89,3,0)*VLOOKUP('Données projet'!$B$14,Paramètres!$A$1:$I$89,5,0)</f>
        <v>272.22000000000014</v>
      </c>
      <c r="DQ192" s="13">
        <f t="shared" si="176"/>
        <v>65.320184547527205</v>
      </c>
      <c r="DR192" s="20">
        <f t="shared" si="177"/>
        <v>587.88248808694345</v>
      </c>
      <c r="DS192" s="59">
        <f t="shared" si="125"/>
        <v>880.27622690810449</v>
      </c>
      <c r="DT192" s="59">
        <f ca="1">AVERAGE(OFFSET($DS$3,0,0,'Données projet'!$E$14+1,1))-AVERAGE(OFFSET($H$3,0,0,'Données projet'!$E$14+1,1))</f>
        <v>364.34528546733799</v>
      </c>
      <c r="DU192" s="59">
        <f t="shared" si="152"/>
        <v>346.5839763411152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8.2105531802493505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8.2105531802493505</v>
      </c>
      <c r="EE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213.98519999999999</v>
      </c>
      <c r="EL192" s="13">
        <f t="shared" si="179"/>
        <v>52.805497044008654</v>
      </c>
      <c r="EM192" s="20">
        <f t="shared" si="180"/>
        <v>464.66046401831505</v>
      </c>
      <c r="EN192" s="59">
        <f t="shared" si="128"/>
        <v>757.05420283947615</v>
      </c>
      <c r="EO192" s="59">
        <f ca="1">AVERAGE(OFFSET($EN$3,0,0,'Données projet'!$E$15+1,1))-AVERAGE(OFFSET($H$3,0,0,'Données projet'!$E$15+1,1))</f>
        <v>310.38232870602445</v>
      </c>
      <c r="EP192" s="59">
        <f t="shared" si="154"/>
        <v>303.45934457265537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5.1767492530705947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5.1767492530705947</v>
      </c>
      <c r="EZ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245.99999999999994</v>
      </c>
      <c r="FF192" s="17">
        <f>FE192*VLOOKUP('Données projet'!$B$16,Paramètres!$A$1:$I$89,3,0)*VLOOKUP('Données projet'!$B$16,Paramètres!$A$1:$I$89,5,0)</f>
        <v>234.09359999999998</v>
      </c>
      <c r="FG192" s="13">
        <f t="shared" si="182"/>
        <v>57.166902703920208</v>
      </c>
      <c r="FH192" s="20">
        <f t="shared" si="183"/>
        <v>507.27870887599425</v>
      </c>
      <c r="FI192" s="59">
        <f t="shared" si="131"/>
        <v>799.67244769715535</v>
      </c>
      <c r="FJ192" s="59">
        <f ca="1">AVERAGE(OFFSET($FI$3,0,0,'Données projet'!$E$16+1,1))-AVERAGE(OFFSET($H$3,0,0,'Données projet'!$E$16+1,1))</f>
        <v>457.706832425622</v>
      </c>
      <c r="FK192" s="59">
        <f t="shared" si="156"/>
        <v>474.61768219844873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18.009885733578074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18.009885733578074</v>
      </c>
      <c r="FU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319</v>
      </c>
      <c r="GA192" s="17">
        <f>FZ192*VLOOKUP('Données projet'!$B$17,Paramètres!$A$1:$I$89,3,0)*VLOOKUP('Données projet'!$B$17,Paramètres!$A$1:$I$89,5,0)</f>
        <v>308.53680000000003</v>
      </c>
      <c r="GB192" s="13">
        <f t="shared" si="185"/>
        <v>72.963171684496103</v>
      </c>
      <c r="GC192" s="20">
        <f t="shared" si="186"/>
        <v>664.4457840171641</v>
      </c>
      <c r="GD192" s="59">
        <f t="shared" si="134"/>
        <v>956.83952283832514</v>
      </c>
      <c r="GE192" s="59">
        <f ca="1">AVERAGE(OFFSET($GD$3,0,0,'Données projet'!$E$17+1,1))-AVERAGE(OFFSET($H$3,0,0,'Données projet'!$E$17+1,1))</f>
        <v>428.11167311086814</v>
      </c>
      <c r="GF192" s="59">
        <f t="shared" si="158"/>
        <v>415.69449942923609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6.055819880950513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6.055819880950513</v>
      </c>
      <c r="GP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1.1368683772161603E-13</v>
      </c>
      <c r="GV192" s="17">
        <f>GU192*VLOOKUP('Données projet'!$B$18,Paramètres!$A$1:$I$89,3,0)*VLOOKUP('Données projet'!$B$18,Paramètres!$A$1:$I$89,5,0)</f>
        <v>6.5087988332379613E-14</v>
      </c>
      <c r="GW192" s="13">
        <f t="shared" si="188"/>
        <v>1.0279249680474958E-12</v>
      </c>
      <c r="GX192" s="20">
        <f t="shared" si="189"/>
        <v>1.9036642323616162E-12</v>
      </c>
      <c r="GY192" s="59">
        <f t="shared" si="137"/>
        <v>292.39373882116297</v>
      </c>
      <c r="GZ192" s="59">
        <f ca="1">AVERAGE(OFFSET($GY$3,0,0,'Données projet'!$E$18+1,1))-AVERAGE(OFFSET($H$3,0,0,'Données projet'!$E$18+1,1))</f>
        <v>249.88816678272056</v>
      </c>
      <c r="HA192" s="59">
        <f t="shared" si="160"/>
        <v>432.10802787437319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3.5629874095076102</v>
      </c>
      <c r="HH192" s="21">
        <f>EXP(-LN(2)/25)*HH191+(1-EXP(-LN(2)/25))/(LN(2)/25)*Calculateur!HC192*Calculateur!HE192*VLOOKUP('Données projet'!$B$18,Paramètres!$A$1:$I$89,3,0)*0.475*44/12</f>
        <v>0.26192257750528336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3.8249099870128935</v>
      </c>
    </row>
    <row r="193" spans="1:218" x14ac:dyDescent="0.3">
      <c r="A193" s="10">
        <f t="shared" si="161"/>
        <v>190</v>
      </c>
      <c r="B193" s="71">
        <f>'Scénario référence'!$B$16*5+'Scénario référence'!$B$17*0+'Scénario référence'!$B$18*5</f>
        <v>1.4000000000000001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5.1333333333333337</v>
      </c>
      <c r="H193" s="65">
        <f t="shared" si="110"/>
        <v>236.13333333333335</v>
      </c>
      <c r="I193" s="6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319</v>
      </c>
      <c r="O193" s="13">
        <f>N193*VLOOKUP('Données projet'!$B$9,Paramètres!$A$1:$I$89,3,0)*VLOOKUP('Données projet'!$B$9,Paramètres!$A$1:$I$89,5,0)</f>
        <v>253.79640000000001</v>
      </c>
      <c r="P193" s="13">
        <f t="shared" si="141"/>
        <v>61.39816832228076</v>
      </c>
      <c r="Q193" s="20">
        <f t="shared" si="162"/>
        <v>548.96387316130563</v>
      </c>
      <c r="R193" s="59">
        <f t="shared" si="109"/>
        <v>841.3739118466342</v>
      </c>
      <c r="S193" s="59">
        <f ca="1">AVERAGE(OFFSET($R$3,0,0,'Données projet'!$E$9+1,1))-AVERAGE(OFFSET($H$3,0,0,'Données projet'!$E$9+1,1))</f>
        <v>360.06385535620069</v>
      </c>
      <c r="T193" s="59">
        <f t="shared" si="142"/>
        <v>350.82516032456408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6.0194663777646662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6.0194663777646662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277.77359999999993</v>
      </c>
      <c r="AK193" s="13">
        <f t="shared" si="164"/>
        <v>66.496288176842356</v>
      </c>
      <c r="AL193" s="20">
        <f t="shared" si="165"/>
        <v>599.60338857466706</v>
      </c>
      <c r="AM193" s="59">
        <f t="shared" si="113"/>
        <v>892.01342725999575</v>
      </c>
      <c r="AN193" s="59">
        <f ca="1">AVERAGE(OFFSET($AM$3,0,0,'Données projet'!$E$10+1,1))-AVERAGE(OFFSET($H$3,0,0,'Données projet'!$E$10+1,1))</f>
        <v>448.65237942538027</v>
      </c>
      <c r="AO193" s="59">
        <f t="shared" si="144"/>
        <v>283.56749129825107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22.665125289926973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22.665125289926973</v>
      </c>
      <c r="AY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403.99999999999989</v>
      </c>
      <c r="BE193" s="13">
        <f>BD193*VLOOKUP('Données projet'!$B$11,Paramètres!$A$1:$I$89,3,0)*VLOOKUP('Données projet'!$B$11,Paramètres!$A$1:$I$89,5,0)</f>
        <v>346.63199999999995</v>
      </c>
      <c r="BF193" s="13">
        <f t="shared" si="167"/>
        <v>80.868615263336864</v>
      </c>
      <c r="BG193" s="20">
        <f t="shared" si="168"/>
        <v>744.56357158364483</v>
      </c>
      <c r="BH193" s="59">
        <f t="shared" si="116"/>
        <v>1036.9736102689735</v>
      </c>
      <c r="BI193" s="59">
        <f ca="1">AVERAGE(OFFSET($BH$3,0,0,'Données projet'!$E$11+1,1))-AVERAGE(OFFSET($H$3,0,0,'Données projet'!$E$11+1,1))</f>
        <v>456.76871853389395</v>
      </c>
      <c r="BJ193" s="59">
        <f t="shared" si="146"/>
        <v>262.12425810289176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24.988928630938105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24.988928630938105</v>
      </c>
      <c r="BT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255.00000000000006</v>
      </c>
      <c r="BZ193" s="13">
        <f>BY193*VLOOKUP('Données projet'!$B$12,Paramètres!$A$1:$I$89,3,0)*VLOOKUP('Données projet'!$B$12,Paramètres!$A$1:$I$89,5,0)</f>
        <v>186.96600000000004</v>
      </c>
      <c r="CA193" s="13">
        <f t="shared" si="170"/>
        <v>46.868551400324648</v>
      </c>
      <c r="CB193" s="20">
        <f t="shared" si="171"/>
        <v>407.26184368889881</v>
      </c>
      <c r="CC193" s="59">
        <f t="shared" si="119"/>
        <v>699.67188237422738</v>
      </c>
      <c r="CD193" s="59">
        <f ca="1">AVERAGE(OFFSET($CC$3,0,0,'Données projet'!$E$12+1,1))-AVERAGE(OFFSET($H$3,0,0,'Données projet'!$E$12+1,1))</f>
        <v>242.65851607945316</v>
      </c>
      <c r="CE193" s="59">
        <f t="shared" si="148"/>
        <v>218.9349999985487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249.0000000000002</v>
      </c>
      <c r="CU193" s="17">
        <f>CT193*VLOOKUP('Données projet'!$B$13,Paramètres!$A$1:$I$89,3,0)*VLOOKUP('Données projet'!$B$13,Paramètres!$A$1:$I$89,5,0)</f>
        <v>217.52640000000019</v>
      </c>
      <c r="CV193" s="13">
        <f t="shared" si="173"/>
        <v>53.576907690651304</v>
      </c>
      <c r="CW193" s="20">
        <f t="shared" si="174"/>
        <v>472.17159422788467</v>
      </c>
      <c r="CX193" s="59">
        <f t="shared" si="122"/>
        <v>764.5816329132133</v>
      </c>
      <c r="CY193" s="59">
        <f ca="1">AVERAGE(OFFSET($CX$3,0,0,'Données projet'!$E$13+1,1))-AVERAGE(OFFSET($H$3,0,0,'Données projet'!$E$13+1,1))</f>
        <v>326.9460696675867</v>
      </c>
      <c r="CZ193" s="59">
        <f t="shared" si="150"/>
        <v>393.4020374592568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5.8000877296074238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5.8000877296074238</v>
      </c>
      <c r="DJ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349.00000000000017</v>
      </c>
      <c r="DP193" s="17">
        <f>DO193*VLOOKUP('Données projet'!$B$14,Paramètres!$A$1:$I$89,3,0)*VLOOKUP('Données projet'!$B$14,Paramètres!$A$1:$I$89,5,0)</f>
        <v>272.22000000000014</v>
      </c>
      <c r="DQ193" s="13">
        <f t="shared" si="176"/>
        <v>65.320184547527205</v>
      </c>
      <c r="DR193" s="20">
        <f t="shared" si="177"/>
        <v>587.88248808694345</v>
      </c>
      <c r="DS193" s="59">
        <f t="shared" si="125"/>
        <v>880.29252677227214</v>
      </c>
      <c r="DT193" s="59">
        <f ca="1">AVERAGE(OFFSET($DS$3,0,0,'Données projet'!$E$14+1,1))-AVERAGE(OFFSET($H$3,0,0,'Données projet'!$E$14+1,1))</f>
        <v>364.34528546733799</v>
      </c>
      <c r="DU193" s="59">
        <f t="shared" si="152"/>
        <v>346.5839763411152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8.0495492403276074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8.0495492403276074</v>
      </c>
      <c r="EE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213.98519999999999</v>
      </c>
      <c r="EL193" s="13">
        <f t="shared" si="179"/>
        <v>52.805497044008654</v>
      </c>
      <c r="EM193" s="20">
        <f t="shared" si="180"/>
        <v>464.66046401831505</v>
      </c>
      <c r="EN193" s="59">
        <f t="shared" si="128"/>
        <v>757.07050270364368</v>
      </c>
      <c r="EO193" s="59">
        <f ca="1">AVERAGE(OFFSET($EN$3,0,0,'Données projet'!$E$15+1,1))-AVERAGE(OFFSET($H$3,0,0,'Données projet'!$E$15+1,1))</f>
        <v>310.38232870602445</v>
      </c>
      <c r="EP193" s="59">
        <f t="shared" si="154"/>
        <v>303.45934457265537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5.0752363577231474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5.0752363577231474</v>
      </c>
      <c r="EZ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245.99999999999994</v>
      </c>
      <c r="FF193" s="17">
        <f>FE193*VLOOKUP('Données projet'!$B$16,Paramètres!$A$1:$I$89,3,0)*VLOOKUP('Données projet'!$B$16,Paramètres!$A$1:$I$89,5,0)</f>
        <v>234.09359999999998</v>
      </c>
      <c r="FG193" s="13">
        <f t="shared" si="182"/>
        <v>57.166902703920208</v>
      </c>
      <c r="FH193" s="20">
        <f t="shared" si="183"/>
        <v>507.27870887599425</v>
      </c>
      <c r="FI193" s="59">
        <f t="shared" si="131"/>
        <v>799.68874756132288</v>
      </c>
      <c r="FJ193" s="59">
        <f ca="1">AVERAGE(OFFSET($FI$3,0,0,'Données projet'!$E$16+1,1))-AVERAGE(OFFSET($H$3,0,0,'Données projet'!$E$16+1,1))</f>
        <v>457.706832425622</v>
      </c>
      <c r="FK193" s="59">
        <f t="shared" si="156"/>
        <v>474.61768219844873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17.65672285928823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17.65672285928823</v>
      </c>
      <c r="FU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319</v>
      </c>
      <c r="GA193" s="17">
        <f>FZ193*VLOOKUP('Données projet'!$B$17,Paramètres!$A$1:$I$89,3,0)*VLOOKUP('Données projet'!$B$17,Paramètres!$A$1:$I$89,5,0)</f>
        <v>308.53680000000003</v>
      </c>
      <c r="GB193" s="13">
        <f t="shared" si="185"/>
        <v>72.963171684496103</v>
      </c>
      <c r="GC193" s="20">
        <f t="shared" si="186"/>
        <v>664.4457840171641</v>
      </c>
      <c r="GD193" s="59">
        <f t="shared" si="134"/>
        <v>956.85582270249279</v>
      </c>
      <c r="GE193" s="59">
        <f ca="1">AVERAGE(OFFSET($GD$3,0,0,'Données projet'!$E$17+1,1))-AVERAGE(OFFSET($H$3,0,0,'Données projet'!$E$17+1,1))</f>
        <v>428.11167311086814</v>
      </c>
      <c r="GF193" s="59">
        <f t="shared" si="158"/>
        <v>415.69449942923609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5.9370689467704798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5.9370689467704798</v>
      </c>
      <c r="GP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1.1368683772161603E-13</v>
      </c>
      <c r="GV193" s="17">
        <f>GU193*VLOOKUP('Données projet'!$B$18,Paramètres!$A$1:$I$89,3,0)*VLOOKUP('Données projet'!$B$18,Paramètres!$A$1:$I$89,5,0)</f>
        <v>6.5087988332379613E-14</v>
      </c>
      <c r="GW193" s="13">
        <f t="shared" si="188"/>
        <v>1.0279249680474958E-12</v>
      </c>
      <c r="GX193" s="20">
        <f t="shared" si="189"/>
        <v>1.9036642323616162E-12</v>
      </c>
      <c r="GY193" s="59">
        <f t="shared" si="137"/>
        <v>292.41003868533051</v>
      </c>
      <c r="GZ193" s="59">
        <f ca="1">AVERAGE(OFFSET($GY$3,0,0,'Données projet'!$E$18+1,1))-AVERAGE(OFFSET($H$3,0,0,'Données projet'!$E$18+1,1))</f>
        <v>249.88816678272056</v>
      </c>
      <c r="HA193" s="59">
        <f t="shared" si="160"/>
        <v>432.10802787437319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3.4931193996148995</v>
      </c>
      <c r="HH193" s="21">
        <f>EXP(-LN(2)/25)*HH192+(1-EXP(-LN(2)/25))/(LN(2)/25)*Calculateur!HC193*Calculateur!HE193*VLOOKUP('Données projet'!$B$18,Paramètres!$A$1:$I$89,3,0)*0.475*44/12</f>
        <v>0.25476029084949164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3.7478796904643912</v>
      </c>
    </row>
    <row r="194" spans="1:218" x14ac:dyDescent="0.3">
      <c r="A194" s="10">
        <f t="shared" si="161"/>
        <v>191</v>
      </c>
      <c r="B194" s="71">
        <f>'Scénario référence'!$B$16*5+'Scénario référence'!$B$17*0+'Scénario référence'!$B$18*5</f>
        <v>1.4000000000000001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5.1333333333333337</v>
      </c>
      <c r="H194" s="65">
        <f t="shared" si="110"/>
        <v>236.13333333333335</v>
      </c>
      <c r="I194" s="6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319</v>
      </c>
      <c r="O194" s="13">
        <f>N194*VLOOKUP('Données projet'!$B$9,Paramètres!$A$1:$I$89,3,0)*VLOOKUP('Données projet'!$B$9,Paramètres!$A$1:$I$89,5,0)</f>
        <v>253.79640000000001</v>
      </c>
      <c r="P194" s="13">
        <f t="shared" si="141"/>
        <v>61.39816832228076</v>
      </c>
      <c r="Q194" s="20">
        <f t="shared" si="162"/>
        <v>548.96387316130563</v>
      </c>
      <c r="R194" s="59">
        <f t="shared" si="109"/>
        <v>841.38992894459955</v>
      </c>
      <c r="S194" s="59">
        <f ca="1">AVERAGE(OFFSET($R$3,0,0,'Données projet'!$E$9+1,1))-AVERAGE(OFFSET($H$3,0,0,'Données projet'!$E$9+1,1))</f>
        <v>360.06385535620069</v>
      </c>
      <c r="T194" s="59">
        <f t="shared" si="142"/>
        <v>350.82516032456408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5.90142831360866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5.90142831360866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277.77359999999993</v>
      </c>
      <c r="AK194" s="13">
        <f t="shared" si="164"/>
        <v>66.496288176842356</v>
      </c>
      <c r="AL194" s="20">
        <f t="shared" si="165"/>
        <v>599.60338857466706</v>
      </c>
      <c r="AM194" s="59">
        <f t="shared" si="113"/>
        <v>892.02944435796098</v>
      </c>
      <c r="AN194" s="59">
        <f ca="1">AVERAGE(OFFSET($AM$3,0,0,'Données projet'!$E$10+1,1))-AVERAGE(OFFSET($H$3,0,0,'Données projet'!$E$10+1,1))</f>
        <v>448.65237942538027</v>
      </c>
      <c r="AO194" s="59">
        <f t="shared" si="144"/>
        <v>283.56749129825107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22.220676007352889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22.220676007352889</v>
      </c>
      <c r="AY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403.99999999999989</v>
      </c>
      <c r="BE194" s="13">
        <f>BD194*VLOOKUP('Données projet'!$B$11,Paramètres!$A$1:$I$89,3,0)*VLOOKUP('Données projet'!$B$11,Paramètres!$A$1:$I$89,5,0)</f>
        <v>346.63199999999995</v>
      </c>
      <c r="BF194" s="13">
        <f t="shared" si="167"/>
        <v>80.868615263336864</v>
      </c>
      <c r="BG194" s="20">
        <f t="shared" si="168"/>
        <v>744.56357158364483</v>
      </c>
      <c r="BH194" s="59">
        <f t="shared" si="116"/>
        <v>1036.9896273669387</v>
      </c>
      <c r="BI194" s="59">
        <f ca="1">AVERAGE(OFFSET($BH$3,0,0,'Données projet'!$E$11+1,1))-AVERAGE(OFFSET($H$3,0,0,'Données projet'!$E$11+1,1))</f>
        <v>456.76871853389395</v>
      </c>
      <c r="BJ194" s="59">
        <f t="shared" si="146"/>
        <v>262.12425810289176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24.498910982226878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24.498910982226878</v>
      </c>
      <c r="BT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255.00000000000006</v>
      </c>
      <c r="BZ194" s="13">
        <f>BY194*VLOOKUP('Données projet'!$B$12,Paramètres!$A$1:$I$89,3,0)*VLOOKUP('Données projet'!$B$12,Paramètres!$A$1:$I$89,5,0)</f>
        <v>186.96600000000004</v>
      </c>
      <c r="CA194" s="13">
        <f t="shared" si="170"/>
        <v>46.868551400324648</v>
      </c>
      <c r="CB194" s="20">
        <f t="shared" si="171"/>
        <v>407.26184368889881</v>
      </c>
      <c r="CC194" s="59">
        <f t="shared" si="119"/>
        <v>699.68789947219273</v>
      </c>
      <c r="CD194" s="59">
        <f ca="1">AVERAGE(OFFSET($CC$3,0,0,'Données projet'!$E$12+1,1))-AVERAGE(OFFSET($H$3,0,0,'Données projet'!$E$12+1,1))</f>
        <v>242.65851607945316</v>
      </c>
      <c r="CE194" s="59">
        <f t="shared" si="148"/>
        <v>218.9349999985487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249.0000000000002</v>
      </c>
      <c r="CU194" s="17">
        <f>CT194*VLOOKUP('Données projet'!$B$13,Paramètres!$A$1:$I$89,3,0)*VLOOKUP('Données projet'!$B$13,Paramètres!$A$1:$I$89,5,0)</f>
        <v>217.52640000000019</v>
      </c>
      <c r="CV194" s="13">
        <f t="shared" si="173"/>
        <v>53.576907690651304</v>
      </c>
      <c r="CW194" s="20">
        <f t="shared" si="174"/>
        <v>472.17159422788467</v>
      </c>
      <c r="CX194" s="59">
        <f t="shared" si="122"/>
        <v>764.59765001117853</v>
      </c>
      <c r="CY194" s="59">
        <f ca="1">AVERAGE(OFFSET($CX$3,0,0,'Données projet'!$E$13+1,1))-AVERAGE(OFFSET($H$3,0,0,'Données projet'!$E$13+1,1))</f>
        <v>326.9460696675867</v>
      </c>
      <c r="CZ194" s="59">
        <f t="shared" si="150"/>
        <v>393.4020374592568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5.6863515469340182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5.6863515469340182</v>
      </c>
      <c r="DJ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349.00000000000017</v>
      </c>
      <c r="DP194" s="17">
        <f>DO194*VLOOKUP('Données projet'!$B$14,Paramètres!$A$1:$I$89,3,0)*VLOOKUP('Données projet'!$B$14,Paramètres!$A$1:$I$89,5,0)</f>
        <v>272.22000000000014</v>
      </c>
      <c r="DQ194" s="13">
        <f t="shared" si="176"/>
        <v>65.320184547527205</v>
      </c>
      <c r="DR194" s="20">
        <f t="shared" si="177"/>
        <v>587.88248808694345</v>
      </c>
      <c r="DS194" s="59">
        <f t="shared" si="125"/>
        <v>880.30854387023737</v>
      </c>
      <c r="DT194" s="59">
        <f ca="1">AVERAGE(OFFSET($DS$3,0,0,'Données projet'!$E$14+1,1))-AVERAGE(OFFSET($H$3,0,0,'Données projet'!$E$14+1,1))</f>
        <v>364.34528546733799</v>
      </c>
      <c r="DU194" s="59">
        <f t="shared" si="152"/>
        <v>346.5839763411152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7.8917024894650227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7.8917024894650227</v>
      </c>
      <c r="EE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213.98519999999999</v>
      </c>
      <c r="EL194" s="13">
        <f t="shared" si="179"/>
        <v>52.805497044008654</v>
      </c>
      <c r="EM194" s="20">
        <f t="shared" si="180"/>
        <v>464.66046401831505</v>
      </c>
      <c r="EN194" s="59">
        <f t="shared" si="128"/>
        <v>757.08651980160903</v>
      </c>
      <c r="EO194" s="59">
        <f ca="1">AVERAGE(OFFSET($EN$3,0,0,'Données projet'!$E$15+1,1))-AVERAGE(OFFSET($H$3,0,0,'Données projet'!$E$15+1,1))</f>
        <v>310.38232870602445</v>
      </c>
      <c r="EP194" s="59">
        <f t="shared" si="154"/>
        <v>303.45934457265537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4.9757140683367105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4.9757140683367105</v>
      </c>
      <c r="EZ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245.99999999999994</v>
      </c>
      <c r="FF194" s="17">
        <f>FE194*VLOOKUP('Données projet'!$B$16,Paramètres!$A$1:$I$89,3,0)*VLOOKUP('Données projet'!$B$16,Paramètres!$A$1:$I$89,5,0)</f>
        <v>234.09359999999998</v>
      </c>
      <c r="FG194" s="13">
        <f t="shared" si="182"/>
        <v>57.166902703920208</v>
      </c>
      <c r="FH194" s="20">
        <f t="shared" si="183"/>
        <v>507.27870887599425</v>
      </c>
      <c r="FI194" s="59">
        <f t="shared" si="131"/>
        <v>799.70476465928823</v>
      </c>
      <c r="FJ194" s="59">
        <f ca="1">AVERAGE(OFFSET($FI$3,0,0,'Données projet'!$E$16+1,1))-AVERAGE(OFFSET($H$3,0,0,'Données projet'!$E$16+1,1))</f>
        <v>457.706832425622</v>
      </c>
      <c r="FK194" s="59">
        <f t="shared" si="156"/>
        <v>474.61768219844873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17.310485293555129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17.310485293555129</v>
      </c>
      <c r="FU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319</v>
      </c>
      <c r="GA194" s="17">
        <f>FZ194*VLOOKUP('Données projet'!$B$17,Paramètres!$A$1:$I$89,3,0)*VLOOKUP('Données projet'!$B$17,Paramètres!$A$1:$I$89,5,0)</f>
        <v>308.53680000000003</v>
      </c>
      <c r="GB194" s="13">
        <f t="shared" si="185"/>
        <v>72.963171684496103</v>
      </c>
      <c r="GC194" s="20">
        <f t="shared" si="186"/>
        <v>664.4457840171641</v>
      </c>
      <c r="GD194" s="59">
        <f t="shared" si="134"/>
        <v>956.87183980045802</v>
      </c>
      <c r="GE194" s="59">
        <f ca="1">AVERAGE(OFFSET($GD$3,0,0,'Données projet'!$E$17+1,1))-AVERAGE(OFFSET($H$3,0,0,'Données projet'!$E$17+1,1))</f>
        <v>428.11167311086814</v>
      </c>
      <c r="GF194" s="59">
        <f t="shared" si="158"/>
        <v>415.69449942923609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5.8206466459787993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5.8206466459787993</v>
      </c>
      <c r="GP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1.1368683772161603E-13</v>
      </c>
      <c r="GV194" s="17">
        <f>GU194*VLOOKUP('Données projet'!$B$18,Paramètres!$A$1:$I$89,3,0)*VLOOKUP('Données projet'!$B$18,Paramètres!$A$1:$I$89,5,0)</f>
        <v>6.5087988332379613E-14</v>
      </c>
      <c r="GW194" s="13">
        <f t="shared" si="188"/>
        <v>1.0279249680474958E-12</v>
      </c>
      <c r="GX194" s="20">
        <f t="shared" si="189"/>
        <v>1.9036642323616162E-12</v>
      </c>
      <c r="GY194" s="59">
        <f t="shared" si="137"/>
        <v>292.42605578329579</v>
      </c>
      <c r="GZ194" s="59">
        <f ca="1">AVERAGE(OFFSET($GY$3,0,0,'Données projet'!$E$18+1,1))-AVERAGE(OFFSET($H$3,0,0,'Données projet'!$E$18+1,1))</f>
        <v>249.88816678272056</v>
      </c>
      <c r="HA194" s="59">
        <f t="shared" si="160"/>
        <v>432.10802787437319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3.4246214587809067</v>
      </c>
      <c r="HH194" s="21">
        <f>EXP(-LN(2)/25)*HH193+(1-EXP(-LN(2)/25))/(LN(2)/25)*Calculateur!HC194*Calculateur!HE194*VLOOKUP('Données projet'!$B$18,Paramètres!$A$1:$I$89,3,0)*0.475*44/12</f>
        <v>0.24779385729895087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3.6724153160798574</v>
      </c>
    </row>
    <row r="195" spans="1:218" x14ac:dyDescent="0.3">
      <c r="A195" s="10">
        <f t="shared" si="161"/>
        <v>192</v>
      </c>
      <c r="B195" s="71">
        <f>'Scénario référence'!$B$16*5+'Scénario référence'!$B$17*0+'Scénario référence'!$B$18*5</f>
        <v>1.4000000000000001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5.1333333333333337</v>
      </c>
      <c r="H195" s="65">
        <f t="shared" si="110"/>
        <v>236.13333333333335</v>
      </c>
      <c r="I195" s="6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319</v>
      </c>
      <c r="O195" s="13">
        <f>N195*VLOOKUP('Données projet'!$B$9,Paramètres!$A$1:$I$89,3,0)*VLOOKUP('Données projet'!$B$9,Paramètres!$A$1:$I$89,5,0)</f>
        <v>253.79640000000001</v>
      </c>
      <c r="P195" s="13">
        <f t="shared" si="141"/>
        <v>61.39816832228076</v>
      </c>
      <c r="Q195" s="20">
        <f t="shared" si="162"/>
        <v>548.96387316130563</v>
      </c>
      <c r="R195" s="59">
        <f t="shared" ref="R195:R203" si="191">Q195+(I195+J195)*44/12</f>
        <v>841.40566818172397</v>
      </c>
      <c r="S195" s="59">
        <f ca="1">AVERAGE(OFFSET($R$3,0,0,'Données projet'!$E$9+1,1))-AVERAGE(OFFSET($H$3,0,0,'Données projet'!$E$9+1,1))</f>
        <v>360.06385535620069</v>
      </c>
      <c r="T195" s="59">
        <f t="shared" si="142"/>
        <v>350.82516032456408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5.7857049038946426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5.7857049038946426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277.77359999999993</v>
      </c>
      <c r="AK195" s="13">
        <f t="shared" si="164"/>
        <v>66.496288176842356</v>
      </c>
      <c r="AL195" s="20">
        <f t="shared" si="165"/>
        <v>599.60338857466706</v>
      </c>
      <c r="AM195" s="59">
        <f t="shared" si="113"/>
        <v>892.04518359508552</v>
      </c>
      <c r="AN195" s="59">
        <f ca="1">AVERAGE(OFFSET($AM$3,0,0,'Données projet'!$E$10+1,1))-AVERAGE(OFFSET($H$3,0,0,'Données projet'!$E$10+1,1))</f>
        <v>448.65237942538027</v>
      </c>
      <c r="AO195" s="59">
        <f t="shared" si="144"/>
        <v>283.56749129825107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21.784942104122788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21.784942104122788</v>
      </c>
      <c r="AY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403.99999999999989</v>
      </c>
      <c r="BE195" s="13">
        <f>BD195*VLOOKUP('Données projet'!$B$11,Paramètres!$A$1:$I$89,3,0)*VLOOKUP('Données projet'!$B$11,Paramètres!$A$1:$I$89,5,0)</f>
        <v>346.63199999999995</v>
      </c>
      <c r="BF195" s="13">
        <f t="shared" si="167"/>
        <v>80.868615263336864</v>
      </c>
      <c r="BG195" s="20">
        <f t="shared" si="168"/>
        <v>744.56357158364483</v>
      </c>
      <c r="BH195" s="59">
        <f t="shared" si="116"/>
        <v>1037.0053666040633</v>
      </c>
      <c r="BI195" s="59">
        <f ca="1">AVERAGE(OFFSET($BH$3,0,0,'Données projet'!$E$11+1,1))-AVERAGE(OFFSET($H$3,0,0,'Données projet'!$E$11+1,1))</f>
        <v>456.76871853389395</v>
      </c>
      <c r="BJ195" s="59">
        <f t="shared" si="146"/>
        <v>262.12425810289176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24.018502280725624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24.018502280725624</v>
      </c>
      <c r="BT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255.00000000000006</v>
      </c>
      <c r="BZ195" s="13">
        <f>BY195*VLOOKUP('Données projet'!$B$12,Paramètres!$A$1:$I$89,3,0)*VLOOKUP('Données projet'!$B$12,Paramètres!$A$1:$I$89,5,0)</f>
        <v>186.96600000000004</v>
      </c>
      <c r="CA195" s="13">
        <f t="shared" si="170"/>
        <v>46.868551400324648</v>
      </c>
      <c r="CB195" s="20">
        <f t="shared" si="171"/>
        <v>407.26184368889881</v>
      </c>
      <c r="CC195" s="59">
        <f t="shared" si="119"/>
        <v>699.70363870931715</v>
      </c>
      <c r="CD195" s="59">
        <f ca="1">AVERAGE(OFFSET($CC$3,0,0,'Données projet'!$E$12+1,1))-AVERAGE(OFFSET($H$3,0,0,'Données projet'!$E$12+1,1))</f>
        <v>242.65851607945316</v>
      </c>
      <c r="CE195" s="59">
        <f t="shared" si="148"/>
        <v>218.9349999985487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249.0000000000002</v>
      </c>
      <c r="CU195" s="17">
        <f>CT195*VLOOKUP('Données projet'!$B$13,Paramètres!$A$1:$I$89,3,0)*VLOOKUP('Données projet'!$B$13,Paramètres!$A$1:$I$89,5,0)</f>
        <v>217.52640000000019</v>
      </c>
      <c r="CV195" s="13">
        <f t="shared" si="173"/>
        <v>53.576907690651304</v>
      </c>
      <c r="CW195" s="20">
        <f t="shared" si="174"/>
        <v>472.17159422788467</v>
      </c>
      <c r="CX195" s="59">
        <f t="shared" si="122"/>
        <v>764.61338924830306</v>
      </c>
      <c r="CY195" s="59">
        <f ca="1">AVERAGE(OFFSET($CX$3,0,0,'Données projet'!$E$13+1,1))-AVERAGE(OFFSET($H$3,0,0,'Données projet'!$E$13+1,1))</f>
        <v>326.9460696675867</v>
      </c>
      <c r="CZ195" s="59">
        <f t="shared" si="150"/>
        <v>393.4020374592568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5.5748456614306168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5.5748456614306168</v>
      </c>
      <c r="DJ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349.00000000000017</v>
      </c>
      <c r="DP195" s="17">
        <f>DO195*VLOOKUP('Données projet'!$B$14,Paramètres!$A$1:$I$89,3,0)*VLOOKUP('Données projet'!$B$14,Paramètres!$A$1:$I$89,5,0)</f>
        <v>272.22000000000014</v>
      </c>
      <c r="DQ195" s="13">
        <f t="shared" si="176"/>
        <v>65.320184547527205</v>
      </c>
      <c r="DR195" s="20">
        <f t="shared" si="177"/>
        <v>587.88248808694345</v>
      </c>
      <c r="DS195" s="59">
        <f t="shared" si="125"/>
        <v>880.32428310736191</v>
      </c>
      <c r="DT195" s="59">
        <f ca="1">AVERAGE(OFFSET($DS$3,0,0,'Données projet'!$E$14+1,1))-AVERAGE(OFFSET($H$3,0,0,'Données projet'!$E$14+1,1))</f>
        <v>364.34528546733799</v>
      </c>
      <c r="DU195" s="59">
        <f t="shared" si="152"/>
        <v>346.5839763411152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7.7369510171098419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7.7369510171098419</v>
      </c>
      <c r="EE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213.98519999999999</v>
      </c>
      <c r="EL195" s="13">
        <f t="shared" si="179"/>
        <v>52.805497044008654</v>
      </c>
      <c r="EM195" s="20">
        <f t="shared" si="180"/>
        <v>464.66046401831505</v>
      </c>
      <c r="EN195" s="59">
        <f t="shared" si="128"/>
        <v>757.10225903873345</v>
      </c>
      <c r="EO195" s="59">
        <f ca="1">AVERAGE(OFFSET($EN$3,0,0,'Données projet'!$E$15+1,1))-AVERAGE(OFFSET($H$3,0,0,'Données projet'!$E$15+1,1))</f>
        <v>310.38232870602445</v>
      </c>
      <c r="EP195" s="59">
        <f t="shared" si="154"/>
        <v>303.45934457265537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4.8781433503425395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4.8781433503425395</v>
      </c>
      <c r="EZ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245.99999999999994</v>
      </c>
      <c r="FF195" s="17">
        <f>FE195*VLOOKUP('Données projet'!$B$16,Paramètres!$A$1:$I$89,3,0)*VLOOKUP('Données projet'!$B$16,Paramètres!$A$1:$I$89,5,0)</f>
        <v>234.09359999999998</v>
      </c>
      <c r="FG195" s="13">
        <f t="shared" si="182"/>
        <v>57.166902703920208</v>
      </c>
      <c r="FH195" s="20">
        <f t="shared" si="183"/>
        <v>507.27870887599425</v>
      </c>
      <c r="FI195" s="59">
        <f t="shared" si="131"/>
        <v>799.72050389641265</v>
      </c>
      <c r="FJ195" s="59">
        <f ca="1">AVERAGE(OFFSET($FI$3,0,0,'Données projet'!$E$16+1,1))-AVERAGE(OFFSET($H$3,0,0,'Données projet'!$E$16+1,1))</f>
        <v>457.706832425622</v>
      </c>
      <c r="FK195" s="59">
        <f t="shared" si="156"/>
        <v>474.61768219844873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16.971037235301992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16.971037235301992</v>
      </c>
      <c r="FU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319</v>
      </c>
      <c r="GA195" s="17">
        <f>FZ195*VLOOKUP('Données projet'!$B$17,Paramètres!$A$1:$I$89,3,0)*VLOOKUP('Données projet'!$B$17,Paramètres!$A$1:$I$89,5,0)</f>
        <v>308.53680000000003</v>
      </c>
      <c r="GB195" s="13">
        <f t="shared" si="185"/>
        <v>72.963171684496103</v>
      </c>
      <c r="GC195" s="20">
        <f t="shared" si="186"/>
        <v>664.4457840171641</v>
      </c>
      <c r="GD195" s="59">
        <f t="shared" si="134"/>
        <v>956.88757903758255</v>
      </c>
      <c r="GE195" s="59">
        <f ca="1">AVERAGE(OFFSET($GD$3,0,0,'Données projet'!$E$17+1,1))-AVERAGE(OFFSET($H$3,0,0,'Données projet'!$E$17+1,1))</f>
        <v>428.11167311086814</v>
      </c>
      <c r="GF195" s="59">
        <f t="shared" si="158"/>
        <v>415.69449942923609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5.7065073154950516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5.7065073154950516</v>
      </c>
      <c r="GP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1.1368683772161603E-13</v>
      </c>
      <c r="GV195" s="17">
        <f>GU195*VLOOKUP('Données projet'!$B$18,Paramètres!$A$1:$I$89,3,0)*VLOOKUP('Données projet'!$B$18,Paramètres!$A$1:$I$89,5,0)</f>
        <v>6.5087988332379613E-14</v>
      </c>
      <c r="GW195" s="13">
        <f t="shared" si="188"/>
        <v>1.0279249680474958E-12</v>
      </c>
      <c r="GX195" s="20">
        <f t="shared" si="189"/>
        <v>1.9036642323616162E-12</v>
      </c>
      <c r="GY195" s="59">
        <f t="shared" si="137"/>
        <v>292.44179502042027</v>
      </c>
      <c r="GZ195" s="59">
        <f ca="1">AVERAGE(OFFSET($GY$3,0,0,'Données projet'!$E$18+1,1))-AVERAGE(OFFSET($H$3,0,0,'Données projet'!$E$18+1,1))</f>
        <v>249.88816678272056</v>
      </c>
      <c r="HA195" s="59">
        <f t="shared" si="160"/>
        <v>432.10802787437319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3.3574667207870497</v>
      </c>
      <c r="HH195" s="21">
        <f>EXP(-LN(2)/25)*HH194+(1-EXP(-LN(2)/25))/(LN(2)/25)*Calculateur!HC195*Calculateur!HE195*VLOOKUP('Données projet'!$B$18,Paramètres!$A$1:$I$89,3,0)*0.475*44/12</f>
        <v>0.24101792124019844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3.5984846420272483</v>
      </c>
    </row>
    <row r="196" spans="1:218" x14ac:dyDescent="0.3">
      <c r="A196" s="10">
        <f t="shared" si="161"/>
        <v>193</v>
      </c>
      <c r="B196" s="71">
        <f>'Scénario référence'!$B$16*5+'Scénario référence'!$B$17*0+'Scénario référence'!$B$18*5</f>
        <v>1.4000000000000001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5.1333333333333337</v>
      </c>
      <c r="H196" s="65">
        <f t="shared" ref="H196:H203" si="192">(B196+E196+F196)*44/12+(C196+D196)*0.475*44/12</f>
        <v>236.13333333333335</v>
      </c>
      <c r="I196" s="6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319</v>
      </c>
      <c r="O196" s="13">
        <f>N196*VLOOKUP('Données projet'!$B$9,Paramètres!$A$1:$I$89,3,0)*VLOOKUP('Données projet'!$B$9,Paramètres!$A$1:$I$89,5,0)</f>
        <v>253.79640000000001</v>
      </c>
      <c r="P196" s="13">
        <f t="shared" si="141"/>
        <v>61.39816832228076</v>
      </c>
      <c r="Q196" s="20">
        <f t="shared" si="162"/>
        <v>548.96387316130563</v>
      </c>
      <c r="R196" s="59">
        <f t="shared" si="191"/>
        <v>841.42113437827197</v>
      </c>
      <c r="S196" s="59">
        <f ca="1">AVERAGE(OFFSET($R$3,0,0,'Données projet'!$E$9+1,1))-AVERAGE(OFFSET($H$3,0,0,'Données projet'!$E$9+1,1))</f>
        <v>360.06385535620069</v>
      </c>
      <c r="T196" s="59">
        <f t="shared" si="142"/>
        <v>350.82516032456408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5.6722507596608072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5.6722507596608072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277.77359999999993</v>
      </c>
      <c r="AK196" s="13">
        <f t="shared" si="164"/>
        <v>66.496288176842356</v>
      </c>
      <c r="AL196" s="20">
        <f t="shared" si="165"/>
        <v>599.60338857466706</v>
      </c>
      <c r="AM196" s="59">
        <f t="shared" ref="AM196:AM203" si="193">AL196+(AD196+AE196)*44/12</f>
        <v>892.06064979163352</v>
      </c>
      <c r="AN196" s="59">
        <f ca="1">AVERAGE(OFFSET($AM$3,0,0,'Données projet'!$E$10+1,1))-AVERAGE(OFFSET($H$3,0,0,'Données projet'!$E$10+1,1))</f>
        <v>448.65237942538027</v>
      </c>
      <c r="AO196" s="59">
        <f t="shared" si="144"/>
        <v>283.56749129825107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21.357752676963592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21.357752676963592</v>
      </c>
      <c r="AY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403.99999999999989</v>
      </c>
      <c r="BE196" s="13">
        <f>BD196*VLOOKUP('Données projet'!$B$11,Paramètres!$A$1:$I$89,3,0)*VLOOKUP('Données projet'!$B$11,Paramètres!$A$1:$I$89,5,0)</f>
        <v>346.63199999999995</v>
      </c>
      <c r="BF196" s="13">
        <f t="shared" si="167"/>
        <v>80.868615263336864</v>
      </c>
      <c r="BG196" s="20">
        <f t="shared" si="168"/>
        <v>744.56357158364483</v>
      </c>
      <c r="BH196" s="59">
        <f t="shared" ref="BH196:BH203" si="194">BG196+(AY196+AZ196)*44/12</f>
        <v>1037.0208328006113</v>
      </c>
      <c r="BI196" s="59">
        <f ca="1">AVERAGE(OFFSET($BH$3,0,0,'Données projet'!$E$11+1,1))-AVERAGE(OFFSET($H$3,0,0,'Données projet'!$E$11+1,1))</f>
        <v>456.76871853389395</v>
      </c>
      <c r="BJ196" s="59">
        <f t="shared" si="146"/>
        <v>262.12425810289176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23.547514100840434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23.547514100840434</v>
      </c>
      <c r="BT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255.00000000000006</v>
      </c>
      <c r="BZ196" s="13">
        <f>BY196*VLOOKUP('Données projet'!$B$12,Paramètres!$A$1:$I$89,3,0)*VLOOKUP('Données projet'!$B$12,Paramètres!$A$1:$I$89,5,0)</f>
        <v>186.96600000000004</v>
      </c>
      <c r="CA196" s="13">
        <f t="shared" si="170"/>
        <v>46.868551400324648</v>
      </c>
      <c r="CB196" s="20">
        <f t="shared" si="171"/>
        <v>407.26184368889881</v>
      </c>
      <c r="CC196" s="59">
        <f t="shared" ref="CC196:CC203" si="195">CB196+(BT196+BU196)*44/12</f>
        <v>699.71910490586515</v>
      </c>
      <c r="CD196" s="59">
        <f ca="1">AVERAGE(OFFSET($CC$3,0,0,'Données projet'!$E$12+1,1))-AVERAGE(OFFSET($H$3,0,0,'Données projet'!$E$12+1,1))</f>
        <v>242.65851607945316</v>
      </c>
      <c r="CE196" s="59">
        <f t="shared" si="148"/>
        <v>218.9349999985487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249.0000000000002</v>
      </c>
      <c r="CU196" s="17">
        <f>CT196*VLOOKUP('Données projet'!$B$13,Paramètres!$A$1:$I$89,3,0)*VLOOKUP('Données projet'!$B$13,Paramètres!$A$1:$I$89,5,0)</f>
        <v>217.52640000000019</v>
      </c>
      <c r="CV196" s="13">
        <f t="shared" si="173"/>
        <v>53.576907690651304</v>
      </c>
      <c r="CW196" s="20">
        <f t="shared" si="174"/>
        <v>472.17159422788467</v>
      </c>
      <c r="CX196" s="59">
        <f t="shared" ref="CX196:CX203" si="196">CW196+(CO196+CP196)*44/12</f>
        <v>764.62885544485107</v>
      </c>
      <c r="CY196" s="59">
        <f ca="1">AVERAGE(OFFSET($CX$3,0,0,'Données projet'!$E$13+1,1))-AVERAGE(OFFSET($H$3,0,0,'Données projet'!$E$13+1,1))</f>
        <v>326.9460696675867</v>
      </c>
      <c r="CZ196" s="59">
        <f t="shared" si="150"/>
        <v>393.4020374592568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5.4655263383300623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5.4655263383300623</v>
      </c>
      <c r="DJ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349.00000000000017</v>
      </c>
      <c r="DP196" s="17">
        <f>DO196*VLOOKUP('Données projet'!$B$14,Paramètres!$A$1:$I$89,3,0)*VLOOKUP('Données projet'!$B$14,Paramètres!$A$1:$I$89,5,0)</f>
        <v>272.22000000000014</v>
      </c>
      <c r="DQ196" s="13">
        <f t="shared" si="176"/>
        <v>65.320184547527205</v>
      </c>
      <c r="DR196" s="20">
        <f t="shared" si="177"/>
        <v>587.88248808694345</v>
      </c>
      <c r="DS196" s="59">
        <f t="shared" ref="DS196:DS203" si="197">DR196+(DJ196+DK196)*44/12</f>
        <v>880.33974930390991</v>
      </c>
      <c r="DT196" s="59">
        <f ca="1">AVERAGE(OFFSET($DS$3,0,0,'Données projet'!$E$14+1,1))-AVERAGE(OFFSET($H$3,0,0,'Données projet'!$E$14+1,1))</f>
        <v>364.34528546733799</v>
      </c>
      <c r="DU196" s="59">
        <f t="shared" si="152"/>
        <v>346.5839763411152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7.5852341267384684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7.5852341267384684</v>
      </c>
      <c r="EE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213.98519999999999</v>
      </c>
      <c r="EL196" s="13">
        <f t="shared" si="179"/>
        <v>52.805497044008654</v>
      </c>
      <c r="EM196" s="20">
        <f t="shared" si="180"/>
        <v>464.66046401831505</v>
      </c>
      <c r="EN196" s="59">
        <f t="shared" ref="EN196:EN203" si="198">EM196+(EE196+EF196)*44/12</f>
        <v>757.11772523528145</v>
      </c>
      <c r="EO196" s="59">
        <f ca="1">AVERAGE(OFFSET($EN$3,0,0,'Données projet'!$E$15+1,1))-AVERAGE(OFFSET($H$3,0,0,'Données projet'!$E$15+1,1))</f>
        <v>310.38232870602445</v>
      </c>
      <c r="EP196" s="59">
        <f t="shared" si="154"/>
        <v>303.45934457265537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4.7824859346159725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4.7824859346159725</v>
      </c>
      <c r="EZ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245.99999999999994</v>
      </c>
      <c r="FF196" s="17">
        <f>FE196*VLOOKUP('Données projet'!$B$16,Paramètres!$A$1:$I$89,3,0)*VLOOKUP('Données projet'!$B$16,Paramètres!$A$1:$I$89,5,0)</f>
        <v>234.09359999999998</v>
      </c>
      <c r="FG196" s="13">
        <f t="shared" si="182"/>
        <v>57.166902703920208</v>
      </c>
      <c r="FH196" s="20">
        <f t="shared" si="183"/>
        <v>507.27870887599425</v>
      </c>
      <c r="FI196" s="59">
        <f t="shared" ref="FI196:FI203" si="199">FH196+(EZ196+FA196)*44/12</f>
        <v>799.73597009296066</v>
      </c>
      <c r="FJ196" s="59">
        <f ca="1">AVERAGE(OFFSET($FI$3,0,0,'Données projet'!$E$16+1,1))-AVERAGE(OFFSET($H$3,0,0,'Données projet'!$E$16+1,1))</f>
        <v>457.706832425622</v>
      </c>
      <c r="FK196" s="59">
        <f t="shared" si="156"/>
        <v>474.61768219844873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16.638245546428326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16.638245546428326</v>
      </c>
      <c r="FU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319</v>
      </c>
      <c r="GA196" s="17">
        <f>FZ196*VLOOKUP('Données projet'!$B$17,Paramètres!$A$1:$I$89,3,0)*VLOOKUP('Données projet'!$B$17,Paramètres!$A$1:$I$89,5,0)</f>
        <v>308.53680000000003</v>
      </c>
      <c r="GB196" s="13">
        <f t="shared" si="185"/>
        <v>72.963171684496103</v>
      </c>
      <c r="GC196" s="20">
        <f t="shared" si="186"/>
        <v>664.4457840171641</v>
      </c>
      <c r="GD196" s="59">
        <f t="shared" ref="GD196:GD203" si="200">GC196+(FU196+FV196)*44/12</f>
        <v>956.90304523413056</v>
      </c>
      <c r="GE196" s="59">
        <f ca="1">AVERAGE(OFFSET($GD$3,0,0,'Données projet'!$E$17+1,1))-AVERAGE(OFFSET($H$3,0,0,'Données projet'!$E$17+1,1))</f>
        <v>428.11167311086814</v>
      </c>
      <c r="GF196" s="59">
        <f t="shared" si="158"/>
        <v>415.69449942923609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5.594606187663973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5.594606187663973</v>
      </c>
      <c r="GP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1.1368683772161603E-13</v>
      </c>
      <c r="GV196" s="17">
        <f>GU196*VLOOKUP('Données projet'!$B$18,Paramètres!$A$1:$I$89,3,0)*VLOOKUP('Données projet'!$B$18,Paramètres!$A$1:$I$89,5,0)</f>
        <v>6.5087988332379613E-14</v>
      </c>
      <c r="GW196" s="13">
        <f t="shared" si="188"/>
        <v>1.0279249680474958E-12</v>
      </c>
      <c r="GX196" s="20">
        <f t="shared" si="189"/>
        <v>1.9036642323616162E-12</v>
      </c>
      <c r="GY196" s="59">
        <f t="shared" ref="GY196:GY203" si="201">GX196+(GP196+GQ196)*44/12</f>
        <v>292.45726121696828</v>
      </c>
      <c r="GZ196" s="59">
        <f ca="1">AVERAGE(OFFSET($GY$3,0,0,'Données projet'!$E$18+1,1))-AVERAGE(OFFSET($H$3,0,0,'Données projet'!$E$18+1,1))</f>
        <v>249.88816678272056</v>
      </c>
      <c r="HA196" s="59">
        <f t="shared" si="160"/>
        <v>432.10802787437319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3.2916288462449068</v>
      </c>
      <c r="HH196" s="21">
        <f>EXP(-LN(2)/25)*HH195+(1-EXP(-LN(2)/25))/(LN(2)/25)*Calculateur!HC196*Calculateur!HE196*VLOOKUP('Données projet'!$B$18,Paramètres!$A$1:$I$89,3,0)*0.475*44/12</f>
        <v>0.23442727350930359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3.5260561197542106</v>
      </c>
    </row>
    <row r="197" spans="1:218" x14ac:dyDescent="0.3">
      <c r="A197" s="10">
        <f t="shared" si="161"/>
        <v>194</v>
      </c>
      <c r="B197" s="71">
        <f>'Scénario référence'!$B$16*5+'Scénario référence'!$B$17*0+'Scénario référence'!$B$18*5</f>
        <v>1.4000000000000001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5.1333333333333337</v>
      </c>
      <c r="H197" s="65">
        <f t="shared" si="192"/>
        <v>236.13333333333335</v>
      </c>
      <c r="I197" s="6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319</v>
      </c>
      <c r="O197" s="13">
        <f>N197*VLOOKUP('Données projet'!$B$9,Paramètres!$A$1:$I$89,3,0)*VLOOKUP('Données projet'!$B$9,Paramètres!$A$1:$I$89,5,0)</f>
        <v>253.79640000000001</v>
      </c>
      <c r="P197" s="13">
        <f t="shared" ref="P197:P203" si="203">EXP(-1.0587+0.8836*LN(O197)+0.284)</f>
        <v>61.39816832228076</v>
      </c>
      <c r="Q197" s="20">
        <f t="shared" si="162"/>
        <v>548.96387316130563</v>
      </c>
      <c r="R197" s="59">
        <f t="shared" si="191"/>
        <v>841.43633227088708</v>
      </c>
      <c r="S197" s="59">
        <f ca="1">AVERAGE(OFFSET($R$3,0,0,'Données projet'!$E$9+1,1))-AVERAGE(OFFSET($H$3,0,0,'Données projet'!$E$9+1,1))</f>
        <v>360.06385535620069</v>
      </c>
      <c r="T197" s="59">
        <f t="shared" ref="T197:T203" si="204">$T$3</f>
        <v>350.82516032456408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5.5610213819952019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5.5610213819952019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277.77359999999993</v>
      </c>
      <c r="AK197" s="13">
        <f t="shared" si="164"/>
        <v>66.496288176842356</v>
      </c>
      <c r="AL197" s="20">
        <f t="shared" si="165"/>
        <v>599.60338857466706</v>
      </c>
      <c r="AM197" s="59">
        <f t="shared" si="193"/>
        <v>892.07584768424863</v>
      </c>
      <c r="AN197" s="59">
        <f ca="1">AVERAGE(OFFSET($AM$3,0,0,'Données projet'!$E$10+1,1))-AVERAGE(OFFSET($H$3,0,0,'Données projet'!$E$10+1,1))</f>
        <v>448.65237942538027</v>
      </c>
      <c r="AO197" s="59">
        <f t="shared" ref="AO197:AO203" si="205">$AO$3</f>
        <v>283.56749129825107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20.938940173911167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20.938940173911167</v>
      </c>
      <c r="AY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403.99999999999989</v>
      </c>
      <c r="BE197" s="13">
        <f>BD197*VLOOKUP('Données projet'!$B$11,Paramètres!$A$1:$I$89,3,0)*VLOOKUP('Données projet'!$B$11,Paramètres!$A$1:$I$89,5,0)</f>
        <v>346.63199999999995</v>
      </c>
      <c r="BF197" s="13">
        <f t="shared" si="167"/>
        <v>80.868615263336864</v>
      </c>
      <c r="BG197" s="20">
        <f t="shared" si="168"/>
        <v>744.56357158364483</v>
      </c>
      <c r="BH197" s="59">
        <f t="shared" si="194"/>
        <v>1037.0360306932264</v>
      </c>
      <c r="BI197" s="59">
        <f ca="1">AVERAGE(OFFSET($BH$3,0,0,'Données projet'!$E$11+1,1))-AVERAGE(OFFSET($H$3,0,0,'Données projet'!$E$11+1,1))</f>
        <v>456.76871853389395</v>
      </c>
      <c r="BJ197" s="59">
        <f t="shared" ref="BJ197:BJ203" si="206">$BJ$3</f>
        <v>262.12425810289176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23.08576171188837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23.08576171188837</v>
      </c>
      <c r="BT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255.00000000000006</v>
      </c>
      <c r="BZ197" s="13">
        <f>BY197*VLOOKUP('Données projet'!$B$12,Paramètres!$A$1:$I$89,3,0)*VLOOKUP('Données projet'!$B$12,Paramètres!$A$1:$I$89,5,0)</f>
        <v>186.96600000000004</v>
      </c>
      <c r="CA197" s="13">
        <f t="shared" si="170"/>
        <v>46.868551400324648</v>
      </c>
      <c r="CB197" s="20">
        <f t="shared" si="171"/>
        <v>407.26184368889881</v>
      </c>
      <c r="CC197" s="59">
        <f t="shared" si="195"/>
        <v>699.73430279848026</v>
      </c>
      <c r="CD197" s="59">
        <f ca="1">AVERAGE(OFFSET($CC$3,0,0,'Données projet'!$E$12+1,1))-AVERAGE(OFFSET($H$3,0,0,'Données projet'!$E$12+1,1))</f>
        <v>242.65851607945316</v>
      </c>
      <c r="CE197" s="59">
        <f t="shared" ref="CE197:CE203" si="207">$CE$3</f>
        <v>218.9349999985487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249.0000000000002</v>
      </c>
      <c r="CU197" s="17">
        <f>CT197*VLOOKUP('Données projet'!$B$13,Paramètres!$A$1:$I$89,3,0)*VLOOKUP('Données projet'!$B$13,Paramètres!$A$1:$I$89,5,0)</f>
        <v>217.52640000000019</v>
      </c>
      <c r="CV197" s="13">
        <f t="shared" si="173"/>
        <v>53.576907690651304</v>
      </c>
      <c r="CW197" s="20">
        <f t="shared" si="174"/>
        <v>472.17159422788467</v>
      </c>
      <c r="CX197" s="59">
        <f t="shared" si="196"/>
        <v>764.64405333746618</v>
      </c>
      <c r="CY197" s="59">
        <f ca="1">AVERAGE(OFFSET($CX$3,0,0,'Données projet'!$E$13+1,1))-AVERAGE(OFFSET($H$3,0,0,'Données projet'!$E$13+1,1))</f>
        <v>326.9460696675867</v>
      </c>
      <c r="CZ197" s="59">
        <f t="shared" ref="CZ197:CZ203" si="208">$CZ$3</f>
        <v>393.4020374592568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5.3583507004773061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5.3583507004773061</v>
      </c>
      <c r="DJ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349.00000000000017</v>
      </c>
      <c r="DP197" s="17">
        <f>DO197*VLOOKUP('Données projet'!$B$14,Paramètres!$A$1:$I$89,3,0)*VLOOKUP('Données projet'!$B$14,Paramètres!$A$1:$I$89,5,0)</f>
        <v>272.22000000000014</v>
      </c>
      <c r="DQ197" s="13">
        <f t="shared" si="176"/>
        <v>65.320184547527205</v>
      </c>
      <c r="DR197" s="20">
        <f t="shared" si="177"/>
        <v>587.88248808694345</v>
      </c>
      <c r="DS197" s="59">
        <f t="shared" si="197"/>
        <v>880.35494719652502</v>
      </c>
      <c r="DT197" s="59">
        <f ca="1">AVERAGE(OFFSET($DS$3,0,0,'Données projet'!$E$14+1,1))-AVERAGE(OFFSET($H$3,0,0,'Données projet'!$E$14+1,1))</f>
        <v>364.34528546733799</v>
      </c>
      <c r="DU197" s="59">
        <f t="shared" ref="DU197:DU203" si="209">$DU$3</f>
        <v>346.5839763411152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7.4364923120491122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7.4364923120491122</v>
      </c>
      <c r="EE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213.98519999999999</v>
      </c>
      <c r="EL197" s="13">
        <f t="shared" si="179"/>
        <v>52.805497044008654</v>
      </c>
      <c r="EM197" s="20">
        <f t="shared" si="180"/>
        <v>464.66046401831505</v>
      </c>
      <c r="EN197" s="59">
        <f t="shared" si="198"/>
        <v>757.13292312789656</v>
      </c>
      <c r="EO197" s="59">
        <f ca="1">AVERAGE(OFFSET($EN$3,0,0,'Données projet'!$E$15+1,1))-AVERAGE(OFFSET($H$3,0,0,'Données projet'!$E$15+1,1))</f>
        <v>310.38232870602445</v>
      </c>
      <c r="EP197" s="59">
        <f t="shared" ref="EP197:EP203" si="210">$EP$3</f>
        <v>303.45934457265537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4.6887043024665411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4.6887043024665411</v>
      </c>
      <c r="EZ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245.99999999999994</v>
      </c>
      <c r="FF197" s="17">
        <f>FE197*VLOOKUP('Données projet'!$B$16,Paramètres!$A$1:$I$89,3,0)*VLOOKUP('Données projet'!$B$16,Paramètres!$A$1:$I$89,5,0)</f>
        <v>234.09359999999998</v>
      </c>
      <c r="FG197" s="13">
        <f t="shared" si="182"/>
        <v>57.166902703920208</v>
      </c>
      <c r="FH197" s="20">
        <f t="shared" si="183"/>
        <v>507.27870887599425</v>
      </c>
      <c r="FI197" s="59">
        <f t="shared" si="199"/>
        <v>799.75116798557576</v>
      </c>
      <c r="FJ197" s="59">
        <f ca="1">AVERAGE(OFFSET($FI$3,0,0,'Données projet'!$E$16+1,1))-AVERAGE(OFFSET($H$3,0,0,'Données projet'!$E$16+1,1))</f>
        <v>457.706832425622</v>
      </c>
      <c r="FK197" s="59">
        <f t="shared" ref="FK197:FK203" si="211">$FK$3</f>
        <v>474.61768219844873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16.311979699590587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16.311979699590587</v>
      </c>
      <c r="FU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319</v>
      </c>
      <c r="GA197" s="17">
        <f>FZ197*VLOOKUP('Données projet'!$B$17,Paramètres!$A$1:$I$89,3,0)*VLOOKUP('Données projet'!$B$17,Paramètres!$A$1:$I$89,5,0)</f>
        <v>308.53680000000003</v>
      </c>
      <c r="GB197" s="13">
        <f t="shared" si="185"/>
        <v>72.963171684496103</v>
      </c>
      <c r="GC197" s="20">
        <f t="shared" si="186"/>
        <v>664.4457840171641</v>
      </c>
      <c r="GD197" s="59">
        <f t="shared" si="200"/>
        <v>956.91824312674566</v>
      </c>
      <c r="GE197" s="59">
        <f ca="1">AVERAGE(OFFSET($GD$3,0,0,'Données projet'!$E$17+1,1))-AVERAGE(OFFSET($H$3,0,0,'Données projet'!$E$17+1,1))</f>
        <v>428.11167311086814</v>
      </c>
      <c r="GF197" s="59">
        <f t="shared" ref="GF197:GF203" si="212">$GF$3</f>
        <v>415.69449942923609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5.484899372696713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5.484899372696713</v>
      </c>
      <c r="GP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1.1368683772161603E-13</v>
      </c>
      <c r="GV197" s="17">
        <f>GU197*VLOOKUP('Données projet'!$B$18,Paramètres!$A$1:$I$89,3,0)*VLOOKUP('Données projet'!$B$18,Paramètres!$A$1:$I$89,5,0)</f>
        <v>6.5087988332379613E-14</v>
      </c>
      <c r="GW197" s="13">
        <f t="shared" si="188"/>
        <v>1.0279249680474958E-12</v>
      </c>
      <c r="GX197" s="20">
        <f t="shared" si="189"/>
        <v>1.9036642323616162E-12</v>
      </c>
      <c r="GY197" s="59">
        <f t="shared" si="201"/>
        <v>292.47245910958338</v>
      </c>
      <c r="GZ197" s="59">
        <f ca="1">AVERAGE(OFFSET($GY$3,0,0,'Données projet'!$E$18+1,1))-AVERAGE(OFFSET($H$3,0,0,'Données projet'!$E$18+1,1))</f>
        <v>249.88816678272056</v>
      </c>
      <c r="HA197" s="59">
        <f t="shared" ref="HA197:HA203" si="213">$HA$3</f>
        <v>432.10802787437319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3.2270820122653969</v>
      </c>
      <c r="HH197" s="21">
        <f>EXP(-LN(2)/25)*HH196+(1-EXP(-LN(2)/25))/(LN(2)/25)*Calculateur!HC197*Calculateur!HE197*VLOOKUP('Données projet'!$B$18,Paramètres!$A$1:$I$89,3,0)*0.475*44/12</f>
        <v>0.22801684738719716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3.455098859652594</v>
      </c>
    </row>
    <row r="198" spans="1:218" x14ac:dyDescent="0.3">
      <c r="A198" s="10">
        <f t="shared" si="161"/>
        <v>195</v>
      </c>
      <c r="B198" s="71">
        <f>'Scénario référence'!$B$16*5+'Scénario référence'!$B$17*0+'Scénario référence'!$B$18*5</f>
        <v>1.4000000000000001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5.1333333333333337</v>
      </c>
      <c r="H198" s="65">
        <f t="shared" si="192"/>
        <v>236.13333333333335</v>
      </c>
      <c r="I198" s="6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319</v>
      </c>
      <c r="O198" s="13">
        <f>N198*VLOOKUP('Données projet'!$B$9,Paramètres!$A$1:$I$89,3,0)*VLOOKUP('Données projet'!$B$9,Paramètres!$A$1:$I$89,5,0)</f>
        <v>253.79640000000001</v>
      </c>
      <c r="P198" s="13">
        <f t="shared" si="203"/>
        <v>61.39816832228076</v>
      </c>
      <c r="Q198" s="20">
        <f t="shared" si="162"/>
        <v>548.96387316130563</v>
      </c>
      <c r="R198" s="59">
        <f t="shared" si="191"/>
        <v>841.4512665140428</v>
      </c>
      <c r="S198" s="59">
        <f ca="1">AVERAGE(OFFSET($R$3,0,0,'Données projet'!$E$9+1,1))-AVERAGE(OFFSET($H$3,0,0,'Données projet'!$E$9+1,1))</f>
        <v>360.06385535620069</v>
      </c>
      <c r="T198" s="59">
        <f t="shared" si="204"/>
        <v>350.82516032456408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5.4519731445823982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5.4519731445823982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277.77359999999993</v>
      </c>
      <c r="AK198" s="13">
        <f t="shared" si="164"/>
        <v>66.496288176842356</v>
      </c>
      <c r="AL198" s="20">
        <f t="shared" si="165"/>
        <v>599.60338857466706</v>
      </c>
      <c r="AM198" s="59">
        <f t="shared" si="193"/>
        <v>892.09078192740424</v>
      </c>
      <c r="AN198" s="59">
        <f ca="1">AVERAGE(OFFSET($AM$3,0,0,'Données projet'!$E$10+1,1))-AVERAGE(OFFSET($H$3,0,0,'Données projet'!$E$10+1,1))</f>
        <v>448.65237942538027</v>
      </c>
      <c r="AO198" s="59">
        <f t="shared" si="205"/>
        <v>283.56749129825107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20.528340328593195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20.528340328593195</v>
      </c>
      <c r="AY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403.99999999999989</v>
      </c>
      <c r="BE198" s="13">
        <f>BD198*VLOOKUP('Données projet'!$B$11,Paramètres!$A$1:$I$89,3,0)*VLOOKUP('Données projet'!$B$11,Paramètres!$A$1:$I$89,5,0)</f>
        <v>346.63199999999995</v>
      </c>
      <c r="BF198" s="13">
        <f t="shared" si="167"/>
        <v>80.868615263336864</v>
      </c>
      <c r="BG198" s="20">
        <f t="shared" si="168"/>
        <v>744.56357158364483</v>
      </c>
      <c r="BH198" s="59">
        <f t="shared" si="194"/>
        <v>1037.0509649363821</v>
      </c>
      <c r="BI198" s="59">
        <f ca="1">AVERAGE(OFFSET($BH$3,0,0,'Données projet'!$E$11+1,1))-AVERAGE(OFFSET($H$3,0,0,'Données projet'!$E$11+1,1))</f>
        <v>456.76871853389395</v>
      </c>
      <c r="BJ198" s="59">
        <f t="shared" si="206"/>
        <v>262.12425810289176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22.633064005642506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22.633064005642506</v>
      </c>
      <c r="BT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255.00000000000006</v>
      </c>
      <c r="BZ198" s="13">
        <f>BY198*VLOOKUP('Données projet'!$B$12,Paramètres!$A$1:$I$89,3,0)*VLOOKUP('Données projet'!$B$12,Paramètres!$A$1:$I$89,5,0)</f>
        <v>186.96600000000004</v>
      </c>
      <c r="CA198" s="13">
        <f t="shared" si="170"/>
        <v>46.868551400324648</v>
      </c>
      <c r="CB198" s="20">
        <f t="shared" si="171"/>
        <v>407.26184368889881</v>
      </c>
      <c r="CC198" s="59">
        <f t="shared" si="195"/>
        <v>699.74923704163598</v>
      </c>
      <c r="CD198" s="59">
        <f ca="1">AVERAGE(OFFSET($CC$3,0,0,'Données projet'!$E$12+1,1))-AVERAGE(OFFSET($H$3,0,0,'Données projet'!$E$12+1,1))</f>
        <v>242.65851607945316</v>
      </c>
      <c r="CE198" s="59">
        <f t="shared" si="207"/>
        <v>218.9349999985487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249.0000000000002</v>
      </c>
      <c r="CU198" s="17">
        <f>CT198*VLOOKUP('Données projet'!$B$13,Paramètres!$A$1:$I$89,3,0)*VLOOKUP('Données projet'!$B$13,Paramètres!$A$1:$I$89,5,0)</f>
        <v>217.52640000000019</v>
      </c>
      <c r="CV198" s="13">
        <f t="shared" si="173"/>
        <v>53.576907690651304</v>
      </c>
      <c r="CW198" s="20">
        <f t="shared" si="174"/>
        <v>472.17159422788467</v>
      </c>
      <c r="CX198" s="59">
        <f t="shared" si="196"/>
        <v>764.6589875806219</v>
      </c>
      <c r="CY198" s="59">
        <f ca="1">AVERAGE(OFFSET($CX$3,0,0,'Données projet'!$E$13+1,1))-AVERAGE(OFFSET($H$3,0,0,'Données projet'!$E$13+1,1))</f>
        <v>326.9460696675867</v>
      </c>
      <c r="CZ198" s="59">
        <f t="shared" si="208"/>
        <v>393.4020374592568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5.2532767115121581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5.2532767115121581</v>
      </c>
      <c r="DJ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349.00000000000017</v>
      </c>
      <c r="DP198" s="17">
        <f>DO198*VLOOKUP('Données projet'!$B$14,Paramètres!$A$1:$I$89,3,0)*VLOOKUP('Données projet'!$B$14,Paramètres!$A$1:$I$89,5,0)</f>
        <v>272.22000000000014</v>
      </c>
      <c r="DQ198" s="13">
        <f t="shared" si="176"/>
        <v>65.320184547527205</v>
      </c>
      <c r="DR198" s="20">
        <f t="shared" si="177"/>
        <v>587.88248808694345</v>
      </c>
      <c r="DS198" s="59">
        <f t="shared" si="197"/>
        <v>880.36988143968063</v>
      </c>
      <c r="DT198" s="59">
        <f ca="1">AVERAGE(OFFSET($DS$3,0,0,'Données projet'!$E$14+1,1))-AVERAGE(OFFSET($H$3,0,0,'Données projet'!$E$14+1,1))</f>
        <v>364.34528546733799</v>
      </c>
      <c r="DU198" s="59">
        <f t="shared" si="209"/>
        <v>346.5839763411152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7.2906672336222655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7.2906672336222655</v>
      </c>
      <c r="EE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213.98519999999999</v>
      </c>
      <c r="EL198" s="13">
        <f t="shared" si="179"/>
        <v>52.805497044008654</v>
      </c>
      <c r="EM198" s="20">
        <f t="shared" si="180"/>
        <v>464.66046401831505</v>
      </c>
      <c r="EN198" s="59">
        <f t="shared" si="198"/>
        <v>757.14785737105217</v>
      </c>
      <c r="EO198" s="59">
        <f ca="1">AVERAGE(OFFSET($EN$3,0,0,'Données projet'!$E$15+1,1))-AVERAGE(OFFSET($H$3,0,0,'Données projet'!$E$15+1,1))</f>
        <v>310.38232870602445</v>
      </c>
      <c r="EP198" s="59">
        <f t="shared" si="210"/>
        <v>303.45934457265537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4.5967616709224126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4.5967616709224126</v>
      </c>
      <c r="EZ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245.99999999999994</v>
      </c>
      <c r="FF198" s="17">
        <f>FE198*VLOOKUP('Données projet'!$B$16,Paramètres!$A$1:$I$89,3,0)*VLOOKUP('Données projet'!$B$16,Paramètres!$A$1:$I$89,5,0)</f>
        <v>234.09359999999998</v>
      </c>
      <c r="FG198" s="13">
        <f t="shared" si="182"/>
        <v>57.166902703920208</v>
      </c>
      <c r="FH198" s="20">
        <f t="shared" si="183"/>
        <v>507.27870887599425</v>
      </c>
      <c r="FI198" s="59">
        <f t="shared" si="199"/>
        <v>799.76610222873137</v>
      </c>
      <c r="FJ198" s="59">
        <f ca="1">AVERAGE(OFFSET($FI$3,0,0,'Données projet'!$E$16+1,1))-AVERAGE(OFFSET($H$3,0,0,'Données projet'!$E$16+1,1))</f>
        <v>457.706832425622</v>
      </c>
      <c r="FK198" s="59">
        <f t="shared" si="211"/>
        <v>474.61768219844873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15.992111727006819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15.992111727006819</v>
      </c>
      <c r="FU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319</v>
      </c>
      <c r="GA198" s="17">
        <f>FZ198*VLOOKUP('Données projet'!$B$17,Paramètres!$A$1:$I$89,3,0)*VLOOKUP('Données projet'!$B$17,Paramètres!$A$1:$I$89,5,0)</f>
        <v>308.53680000000003</v>
      </c>
      <c r="GB198" s="13">
        <f t="shared" si="185"/>
        <v>72.963171684496103</v>
      </c>
      <c r="GC198" s="20">
        <f t="shared" si="186"/>
        <v>664.4457840171641</v>
      </c>
      <c r="GD198" s="59">
        <f t="shared" si="200"/>
        <v>956.93317736990127</v>
      </c>
      <c r="GE198" s="59">
        <f ca="1">AVERAGE(OFFSET($GD$3,0,0,'Données projet'!$E$17+1,1))-AVERAGE(OFFSET($H$3,0,0,'Données projet'!$E$17+1,1))</f>
        <v>428.11167311086814</v>
      </c>
      <c r="GF198" s="59">
        <f t="shared" si="212"/>
        <v>415.69449942923609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5.377343841456411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5.377343841456411</v>
      </c>
      <c r="GP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1.1368683772161603E-13</v>
      </c>
      <c r="GV198" s="17">
        <f>GU198*VLOOKUP('Données projet'!$B$18,Paramètres!$A$1:$I$89,3,0)*VLOOKUP('Données projet'!$B$18,Paramètres!$A$1:$I$89,5,0)</f>
        <v>6.5087988332379613E-14</v>
      </c>
      <c r="GW198" s="13">
        <f t="shared" si="188"/>
        <v>1.0279249680474958E-12</v>
      </c>
      <c r="GX198" s="20">
        <f t="shared" si="189"/>
        <v>1.9036642323616162E-12</v>
      </c>
      <c r="GY198" s="59">
        <f t="shared" si="201"/>
        <v>292.48739335273905</v>
      </c>
      <c r="GZ198" s="59">
        <f ca="1">AVERAGE(OFFSET($GY$3,0,0,'Données projet'!$E$18+1,1))-AVERAGE(OFFSET($H$3,0,0,'Données projet'!$E$18+1,1))</f>
        <v>249.88816678272056</v>
      </c>
      <c r="HA198" s="59">
        <f t="shared" si="213"/>
        <v>432.10802787437319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3.1638009023305438</v>
      </c>
      <c r="HH198" s="21">
        <f>EXP(-LN(2)/25)*HH197+(1-EXP(-LN(2)/25))/(LN(2)/25)*Calculateur!HC198*Calculateur!HE198*VLOOKUP('Données projet'!$B$18,Paramètres!$A$1:$I$89,3,0)*0.475*44/12</f>
        <v>0.22178171470450939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3.3855826170350531</v>
      </c>
    </row>
    <row r="199" spans="1:218" x14ac:dyDescent="0.3">
      <c r="A199" s="10">
        <f t="shared" si="161"/>
        <v>196</v>
      </c>
      <c r="B199" s="71">
        <f>'Scénario référence'!$B$16*5+'Scénario référence'!$B$17*0+'Scénario référence'!$B$18*5</f>
        <v>1.4000000000000001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5.1333333333333337</v>
      </c>
      <c r="H199" s="65">
        <f t="shared" si="192"/>
        <v>236.13333333333335</v>
      </c>
      <c r="I199" s="6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319</v>
      </c>
      <c r="O199" s="13">
        <f>N199*VLOOKUP('Données projet'!$B$9,Paramètres!$A$1:$I$89,3,0)*VLOOKUP('Données projet'!$B$9,Paramètres!$A$1:$I$89,5,0)</f>
        <v>253.79640000000001</v>
      </c>
      <c r="P199" s="13">
        <f t="shared" si="203"/>
        <v>61.39816832228076</v>
      </c>
      <c r="Q199" s="20">
        <f t="shared" si="162"/>
        <v>548.96387316130563</v>
      </c>
      <c r="R199" s="59">
        <f t="shared" si="191"/>
        <v>841.46594168146771</v>
      </c>
      <c r="S199" s="59">
        <f ca="1">AVERAGE(OFFSET($R$3,0,0,'Données projet'!$E$9+1,1))-AVERAGE(OFFSET($H$3,0,0,'Données projet'!$E$9+1,1))</f>
        <v>360.06385535620069</v>
      </c>
      <c r="T199" s="59">
        <f t="shared" si="204"/>
        <v>350.82516032456408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5.345063276592402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5.345063276592402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277.77359999999993</v>
      </c>
      <c r="AK199" s="13">
        <f t="shared" si="164"/>
        <v>66.496288176842356</v>
      </c>
      <c r="AL199" s="20">
        <f t="shared" si="165"/>
        <v>599.60338857466706</v>
      </c>
      <c r="AM199" s="59">
        <f t="shared" si="193"/>
        <v>892.10545709482903</v>
      </c>
      <c r="AN199" s="59">
        <f ca="1">AVERAGE(OFFSET($AM$3,0,0,'Données projet'!$E$10+1,1))-AVERAGE(OFFSET($H$3,0,0,'Données projet'!$E$10+1,1))</f>
        <v>448.65237942538027</v>
      </c>
      <c r="AO199" s="59">
        <f t="shared" si="205"/>
        <v>283.56749129825107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20.125792095800733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20.125792095800733</v>
      </c>
      <c r="AY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403.99999999999989</v>
      </c>
      <c r="BE199" s="13">
        <f>BD199*VLOOKUP('Données projet'!$B$11,Paramètres!$A$1:$I$89,3,0)*VLOOKUP('Données projet'!$B$11,Paramètres!$A$1:$I$89,5,0)</f>
        <v>346.63199999999995</v>
      </c>
      <c r="BF199" s="13">
        <f t="shared" si="167"/>
        <v>80.868615263336864</v>
      </c>
      <c r="BG199" s="20">
        <f t="shared" si="168"/>
        <v>744.56357158364483</v>
      </c>
      <c r="BH199" s="59">
        <f t="shared" si="194"/>
        <v>1037.0656401038068</v>
      </c>
      <c r="BI199" s="59">
        <f ca="1">AVERAGE(OFFSET($BH$3,0,0,'Données projet'!$E$11+1,1))-AVERAGE(OFFSET($H$3,0,0,'Données projet'!$E$11+1,1))</f>
        <v>456.76871853389395</v>
      </c>
      <c r="BJ199" s="59">
        <f t="shared" si="206"/>
        <v>262.12425810289176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22.189243425297789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22.189243425297789</v>
      </c>
      <c r="BT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255.00000000000006</v>
      </c>
      <c r="BZ199" s="13">
        <f>BY199*VLOOKUP('Données projet'!$B$12,Paramètres!$A$1:$I$89,3,0)*VLOOKUP('Données projet'!$B$12,Paramètres!$A$1:$I$89,5,0)</f>
        <v>186.96600000000004</v>
      </c>
      <c r="CA199" s="13">
        <f t="shared" si="170"/>
        <v>46.868551400324648</v>
      </c>
      <c r="CB199" s="20">
        <f t="shared" si="171"/>
        <v>407.26184368889881</v>
      </c>
      <c r="CC199" s="59">
        <f t="shared" si="195"/>
        <v>699.76391220906089</v>
      </c>
      <c r="CD199" s="59">
        <f ca="1">AVERAGE(OFFSET($CC$3,0,0,'Données projet'!$E$12+1,1))-AVERAGE(OFFSET($H$3,0,0,'Données projet'!$E$12+1,1))</f>
        <v>242.65851607945316</v>
      </c>
      <c r="CE199" s="59">
        <f t="shared" si="207"/>
        <v>218.9349999985487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249.0000000000002</v>
      </c>
      <c r="CU199" s="17">
        <f>CT199*VLOOKUP('Données projet'!$B$13,Paramètres!$A$1:$I$89,3,0)*VLOOKUP('Données projet'!$B$13,Paramètres!$A$1:$I$89,5,0)</f>
        <v>217.52640000000019</v>
      </c>
      <c r="CV199" s="13">
        <f t="shared" si="173"/>
        <v>53.576907690651304</v>
      </c>
      <c r="CW199" s="20">
        <f t="shared" si="174"/>
        <v>472.17159422788467</v>
      </c>
      <c r="CX199" s="59">
        <f t="shared" si="196"/>
        <v>764.6736627480467</v>
      </c>
      <c r="CY199" s="59">
        <f ca="1">AVERAGE(OFFSET($CX$3,0,0,'Données projet'!$E$13+1,1))-AVERAGE(OFFSET($H$3,0,0,'Données projet'!$E$13+1,1))</f>
        <v>326.9460696675867</v>
      </c>
      <c r="CZ199" s="59">
        <f t="shared" si="208"/>
        <v>393.4020374592568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5.1502631593818116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5.1502631593818116</v>
      </c>
      <c r="DJ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349.00000000000017</v>
      </c>
      <c r="DP199" s="17">
        <f>DO199*VLOOKUP('Données projet'!$B$14,Paramètres!$A$1:$I$89,3,0)*VLOOKUP('Données projet'!$B$14,Paramètres!$A$1:$I$89,5,0)</f>
        <v>272.22000000000014</v>
      </c>
      <c r="DQ199" s="13">
        <f t="shared" si="176"/>
        <v>65.320184547527205</v>
      </c>
      <c r="DR199" s="20">
        <f t="shared" si="177"/>
        <v>587.88248808694345</v>
      </c>
      <c r="DS199" s="59">
        <f t="shared" si="197"/>
        <v>880.38455660710542</v>
      </c>
      <c r="DT199" s="59">
        <f ca="1">AVERAGE(OFFSET($DS$3,0,0,'Données projet'!$E$14+1,1))-AVERAGE(OFFSET($H$3,0,0,'Données projet'!$E$14+1,1))</f>
        <v>364.34528546733799</v>
      </c>
      <c r="DU199" s="59">
        <f t="shared" si="209"/>
        <v>346.5839763411152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7.1477016960388537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7.1477016960388537</v>
      </c>
      <c r="EE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213.98519999999999</v>
      </c>
      <c r="EL199" s="13">
        <f t="shared" si="179"/>
        <v>52.805497044008654</v>
      </c>
      <c r="EM199" s="20">
        <f t="shared" si="180"/>
        <v>464.66046401831505</v>
      </c>
      <c r="EN199" s="59">
        <f t="shared" si="198"/>
        <v>757.16253253847708</v>
      </c>
      <c r="EO199" s="59">
        <f ca="1">AVERAGE(OFFSET($EN$3,0,0,'Données projet'!$E$15+1,1))-AVERAGE(OFFSET($H$3,0,0,'Données projet'!$E$15+1,1))</f>
        <v>310.38232870602445</v>
      </c>
      <c r="EP199" s="59">
        <f t="shared" si="210"/>
        <v>303.45934457265537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4.5066219783033965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4.5066219783033965</v>
      </c>
      <c r="EZ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245.99999999999994</v>
      </c>
      <c r="FF199" s="17">
        <f>FE199*VLOOKUP('Données projet'!$B$16,Paramètres!$A$1:$I$89,3,0)*VLOOKUP('Données projet'!$B$16,Paramètres!$A$1:$I$89,5,0)</f>
        <v>234.09359999999998</v>
      </c>
      <c r="FG199" s="13">
        <f t="shared" si="182"/>
        <v>57.166902703920208</v>
      </c>
      <c r="FH199" s="20">
        <f t="shared" si="183"/>
        <v>507.27870887599425</v>
      </c>
      <c r="FI199" s="59">
        <f t="shared" si="199"/>
        <v>799.78077739615628</v>
      </c>
      <c r="FJ199" s="59">
        <f ca="1">AVERAGE(OFFSET($FI$3,0,0,'Données projet'!$E$16+1,1))-AVERAGE(OFFSET($H$3,0,0,'Données projet'!$E$16+1,1))</f>
        <v>457.706832425622</v>
      </c>
      <c r="FK199" s="59">
        <f t="shared" si="211"/>
        <v>474.61768219844873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15.678516170265219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15.678516170265219</v>
      </c>
      <c r="FU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319</v>
      </c>
      <c r="GA199" s="17">
        <f>FZ199*VLOOKUP('Données projet'!$B$17,Paramètres!$A$1:$I$89,3,0)*VLOOKUP('Données projet'!$B$17,Paramètres!$A$1:$I$89,5,0)</f>
        <v>308.53680000000003</v>
      </c>
      <c r="GB199" s="13">
        <f t="shared" si="185"/>
        <v>72.963171684496103</v>
      </c>
      <c r="GC199" s="20">
        <f t="shared" si="186"/>
        <v>664.4457840171641</v>
      </c>
      <c r="GD199" s="59">
        <f t="shared" si="200"/>
        <v>956.94785253732607</v>
      </c>
      <c r="GE199" s="59">
        <f ca="1">AVERAGE(OFFSET($GD$3,0,0,'Données projet'!$E$17+1,1))-AVERAGE(OFFSET($H$3,0,0,'Données projet'!$E$17+1,1))</f>
        <v>428.11167311086814</v>
      </c>
      <c r="GF199" s="59">
        <f t="shared" si="212"/>
        <v>415.69449942923609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5.271897408581335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5.271897408581335</v>
      </c>
      <c r="GP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1.1368683772161603E-13</v>
      </c>
      <c r="GV199" s="17">
        <f>GU199*VLOOKUP('Données projet'!$B$18,Paramètres!$A$1:$I$89,3,0)*VLOOKUP('Données projet'!$B$18,Paramètres!$A$1:$I$89,5,0)</f>
        <v>6.5087988332379613E-14</v>
      </c>
      <c r="GW199" s="13">
        <f t="shared" si="188"/>
        <v>1.0279249680474958E-12</v>
      </c>
      <c r="GX199" s="20">
        <f t="shared" si="189"/>
        <v>1.9036642323616162E-12</v>
      </c>
      <c r="GY199" s="59">
        <f t="shared" si="201"/>
        <v>292.5020685201639</v>
      </c>
      <c r="GZ199" s="59">
        <f ca="1">AVERAGE(OFFSET($GY$3,0,0,'Données projet'!$E$18+1,1))-AVERAGE(OFFSET($H$3,0,0,'Données projet'!$E$18+1,1))</f>
        <v>249.88816678272056</v>
      </c>
      <c r="HA199" s="59">
        <f t="shared" si="213"/>
        <v>432.10802787437319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3.1017606963638475</v>
      </c>
      <c r="HH199" s="21">
        <f>EXP(-LN(2)/25)*HH198+(1-EXP(-LN(2)/25))/(LN(2)/25)*Calculateur!HC199*Calculateur!HE199*VLOOKUP('Données projet'!$B$18,Paramètres!$A$1:$I$89,3,0)*0.475*44/12</f>
        <v>0.21571708205292109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3.3174777784167686</v>
      </c>
    </row>
    <row r="200" spans="1:218" x14ac:dyDescent="0.3">
      <c r="A200" s="10">
        <f t="shared" si="161"/>
        <v>197</v>
      </c>
      <c r="B200" s="71">
        <f>'Scénario référence'!$B$16*5+'Scénario référence'!$B$17*0+'Scénario référence'!$B$18*5</f>
        <v>1.4000000000000001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5.1333333333333337</v>
      </c>
      <c r="H200" s="65">
        <f t="shared" si="192"/>
        <v>236.13333333333335</v>
      </c>
      <c r="I200" s="6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319</v>
      </c>
      <c r="O200" s="13">
        <f>N200*VLOOKUP('Données projet'!$B$9,Paramètres!$A$1:$I$89,3,0)*VLOOKUP('Données projet'!$B$9,Paramètres!$A$1:$I$89,5,0)</f>
        <v>253.79640000000001</v>
      </c>
      <c r="P200" s="13">
        <f t="shared" si="203"/>
        <v>61.39816832228076</v>
      </c>
      <c r="Q200" s="20">
        <f t="shared" si="162"/>
        <v>548.96387316130563</v>
      </c>
      <c r="R200" s="59">
        <f t="shared" si="191"/>
        <v>841.48036226754652</v>
      </c>
      <c r="S200" s="59">
        <f ca="1">AVERAGE(OFFSET($R$3,0,0,'Données projet'!$E$9+1,1))-AVERAGE(OFFSET($H$3,0,0,'Données projet'!$E$9+1,1))</f>
        <v>360.06385535620069</v>
      </c>
      <c r="T200" s="59">
        <f t="shared" si="204"/>
        <v>350.82516032456408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5.240249845905109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5.240249845905109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277.77359999999993</v>
      </c>
      <c r="AK200" s="13">
        <f t="shared" si="164"/>
        <v>66.496288176842356</v>
      </c>
      <c r="AL200" s="20">
        <f t="shared" si="165"/>
        <v>599.60338857466706</v>
      </c>
      <c r="AM200" s="59">
        <f t="shared" si="193"/>
        <v>892.11987768090785</v>
      </c>
      <c r="AN200" s="59">
        <f ca="1">AVERAGE(OFFSET($AM$3,0,0,'Données projet'!$E$10+1,1))-AVERAGE(OFFSET($H$3,0,0,'Données projet'!$E$10+1,1))</f>
        <v>448.65237942538027</v>
      </c>
      <c r="AO200" s="59">
        <f t="shared" si="205"/>
        <v>283.56749129825107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19.731137588323151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19.731137588323151</v>
      </c>
      <c r="AY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403.99999999999989</v>
      </c>
      <c r="BE200" s="13">
        <f>BD200*VLOOKUP('Données projet'!$B$11,Paramètres!$A$1:$I$89,3,0)*VLOOKUP('Données projet'!$B$11,Paramètres!$A$1:$I$89,5,0)</f>
        <v>346.63199999999995</v>
      </c>
      <c r="BF200" s="13">
        <f t="shared" si="167"/>
        <v>80.868615263336864</v>
      </c>
      <c r="BG200" s="20">
        <f t="shared" si="168"/>
        <v>744.56357158364483</v>
      </c>
      <c r="BH200" s="59">
        <f t="shared" si="194"/>
        <v>1037.0800606898856</v>
      </c>
      <c r="BI200" s="59">
        <f ca="1">AVERAGE(OFFSET($BH$3,0,0,'Données projet'!$E$11+1,1))-AVERAGE(OFFSET($H$3,0,0,'Données projet'!$E$11+1,1))</f>
        <v>456.76871853389395</v>
      </c>
      <c r="BJ200" s="59">
        <f t="shared" si="206"/>
        <v>262.12425810289176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21.754125895829809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21.754125895829809</v>
      </c>
      <c r="BT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255.00000000000006</v>
      </c>
      <c r="BZ200" s="13">
        <f>BY200*VLOOKUP('Données projet'!$B$12,Paramètres!$A$1:$I$89,3,0)*VLOOKUP('Données projet'!$B$12,Paramètres!$A$1:$I$89,5,0)</f>
        <v>186.96600000000004</v>
      </c>
      <c r="CA200" s="13">
        <f t="shared" si="170"/>
        <v>46.868551400324648</v>
      </c>
      <c r="CB200" s="20">
        <f t="shared" si="171"/>
        <v>407.26184368889881</v>
      </c>
      <c r="CC200" s="59">
        <f t="shared" si="195"/>
        <v>699.7783327951397</v>
      </c>
      <c r="CD200" s="59">
        <f ca="1">AVERAGE(OFFSET($CC$3,0,0,'Données projet'!$E$12+1,1))-AVERAGE(OFFSET($H$3,0,0,'Données projet'!$E$12+1,1))</f>
        <v>242.65851607945316</v>
      </c>
      <c r="CE200" s="59">
        <f t="shared" si="207"/>
        <v>218.9349999985487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249.0000000000002</v>
      </c>
      <c r="CU200" s="17">
        <f>CT200*VLOOKUP('Données projet'!$B$13,Paramètres!$A$1:$I$89,3,0)*VLOOKUP('Données projet'!$B$13,Paramètres!$A$1:$I$89,5,0)</f>
        <v>217.52640000000019</v>
      </c>
      <c r="CV200" s="13">
        <f t="shared" si="173"/>
        <v>53.576907690651304</v>
      </c>
      <c r="CW200" s="20">
        <f t="shared" si="174"/>
        <v>472.17159422788467</v>
      </c>
      <c r="CX200" s="59">
        <f t="shared" si="196"/>
        <v>764.68808333412551</v>
      </c>
      <c r="CY200" s="59">
        <f ca="1">AVERAGE(OFFSET($CX$3,0,0,'Données projet'!$E$13+1,1))-AVERAGE(OFFSET($H$3,0,0,'Données projet'!$E$13+1,1))</f>
        <v>326.9460696675867</v>
      </c>
      <c r="CZ200" s="59">
        <f t="shared" si="208"/>
        <v>393.4020374592568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5.0492696401766786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5.0492696401766786</v>
      </c>
      <c r="DJ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349.00000000000017</v>
      </c>
      <c r="DP200" s="17">
        <f>DO200*VLOOKUP('Données projet'!$B$14,Paramètres!$A$1:$I$89,3,0)*VLOOKUP('Données projet'!$B$14,Paramètres!$A$1:$I$89,5,0)</f>
        <v>272.22000000000014</v>
      </c>
      <c r="DQ200" s="13">
        <f t="shared" si="176"/>
        <v>65.320184547527205</v>
      </c>
      <c r="DR200" s="20">
        <f t="shared" si="177"/>
        <v>587.88248808694345</v>
      </c>
      <c r="DS200" s="59">
        <f t="shared" si="197"/>
        <v>880.39897719318424</v>
      </c>
      <c r="DT200" s="59">
        <f ca="1">AVERAGE(OFFSET($DS$3,0,0,'Données projet'!$E$14+1,1))-AVERAGE(OFFSET($H$3,0,0,'Données projet'!$E$14+1,1))</f>
        <v>364.34528546733799</v>
      </c>
      <c r="DU200" s="59">
        <f t="shared" si="209"/>
        <v>346.5839763411152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7.0075396254470848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7.0075396254470848</v>
      </c>
      <c r="EE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213.98519999999999</v>
      </c>
      <c r="EL200" s="13">
        <f t="shared" si="179"/>
        <v>52.805497044008654</v>
      </c>
      <c r="EM200" s="20">
        <f t="shared" si="180"/>
        <v>464.66046401831505</v>
      </c>
      <c r="EN200" s="59">
        <f t="shared" si="198"/>
        <v>757.17695312455589</v>
      </c>
      <c r="EO200" s="59">
        <f ca="1">AVERAGE(OFFSET($EN$3,0,0,'Données projet'!$E$15+1,1))-AVERAGE(OFFSET($H$3,0,0,'Données projet'!$E$15+1,1))</f>
        <v>310.38232870602445</v>
      </c>
      <c r="EP200" s="59">
        <f t="shared" si="210"/>
        <v>303.45934457265537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4.4182498700768553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4.4182498700768553</v>
      </c>
      <c r="EZ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245.99999999999994</v>
      </c>
      <c r="FF200" s="17">
        <f>FE200*VLOOKUP('Données projet'!$B$16,Paramètres!$A$1:$I$89,3,0)*VLOOKUP('Données projet'!$B$16,Paramètres!$A$1:$I$89,5,0)</f>
        <v>234.09359999999998</v>
      </c>
      <c r="FG200" s="13">
        <f t="shared" si="182"/>
        <v>57.166902703920208</v>
      </c>
      <c r="FH200" s="20">
        <f t="shared" si="183"/>
        <v>507.27870887599425</v>
      </c>
      <c r="FI200" s="59">
        <f t="shared" si="199"/>
        <v>799.79519798223509</v>
      </c>
      <c r="FJ200" s="59">
        <f ca="1">AVERAGE(OFFSET($FI$3,0,0,'Données projet'!$E$16+1,1))-AVERAGE(OFFSET($H$3,0,0,'Données projet'!$E$16+1,1))</f>
        <v>457.706832425622</v>
      </c>
      <c r="FK200" s="59">
        <f t="shared" si="211"/>
        <v>474.61768219844873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15.371070031116918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15.371070031116918</v>
      </c>
      <c r="FU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319</v>
      </c>
      <c r="GA200" s="17">
        <f>FZ200*VLOOKUP('Données projet'!$B$17,Paramètres!$A$1:$I$89,3,0)*VLOOKUP('Données projet'!$B$17,Paramètres!$A$1:$I$89,5,0)</f>
        <v>308.53680000000003</v>
      </c>
      <c r="GB200" s="13">
        <f t="shared" si="185"/>
        <v>72.963171684496103</v>
      </c>
      <c r="GC200" s="20">
        <f t="shared" si="186"/>
        <v>664.4457840171641</v>
      </c>
      <c r="GD200" s="59">
        <f t="shared" si="200"/>
        <v>956.96227312340488</v>
      </c>
      <c r="GE200" s="59">
        <f ca="1">AVERAGE(OFFSET($GD$3,0,0,'Données projet'!$E$17+1,1))-AVERAGE(OFFSET($H$3,0,0,'Données projet'!$E$17+1,1))</f>
        <v>428.11167311086814</v>
      </c>
      <c r="GF200" s="59">
        <f t="shared" si="212"/>
        <v>415.69449942923609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5.1685187159389665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5.1685187159389665</v>
      </c>
      <c r="GP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1.1368683772161603E-13</v>
      </c>
      <c r="GV200" s="17">
        <f>GU200*VLOOKUP('Données projet'!$B$18,Paramètres!$A$1:$I$89,3,0)*VLOOKUP('Données projet'!$B$18,Paramètres!$A$1:$I$89,5,0)</f>
        <v>6.5087988332379613E-14</v>
      </c>
      <c r="GW200" s="13">
        <f t="shared" si="188"/>
        <v>1.0279249680474958E-12</v>
      </c>
      <c r="GX200" s="20">
        <f t="shared" si="189"/>
        <v>1.9036642323616162E-12</v>
      </c>
      <c r="GY200" s="59">
        <f t="shared" si="201"/>
        <v>292.51648910624272</v>
      </c>
      <c r="GZ200" s="59">
        <f ca="1">AVERAGE(OFFSET($GY$3,0,0,'Données projet'!$E$18+1,1))-AVERAGE(OFFSET($H$3,0,0,'Données projet'!$E$18+1,1))</f>
        <v>249.88816678272056</v>
      </c>
      <c r="HA200" s="59">
        <f t="shared" si="213"/>
        <v>432.10802787437319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3.0409370609953688</v>
      </c>
      <c r="HH200" s="21">
        <f>EXP(-LN(2)/25)*HH199+(1-EXP(-LN(2)/25))/(LN(2)/25)*Calculateur!HC200*Calculateur!HE200*VLOOKUP('Données projet'!$B$18,Paramètres!$A$1:$I$89,3,0)*0.475*44/12</f>
        <v>0.20981828710011566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3.2507553480954843</v>
      </c>
    </row>
    <row r="201" spans="1:218" x14ac:dyDescent="0.3">
      <c r="A201" s="10">
        <f>A200+1</f>
        <v>198</v>
      </c>
      <c r="B201" s="71">
        <f>'Scénario référence'!$B$16*5+'Scénario référence'!$B$17*0+'Scénario référence'!$B$18*5</f>
        <v>1.4000000000000001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5.1333333333333337</v>
      </c>
      <c r="H201" s="65">
        <f t="shared" si="192"/>
        <v>236.13333333333335</v>
      </c>
      <c r="I201" s="6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319</v>
      </c>
      <c r="O201" s="13">
        <f>N201*VLOOKUP('Données projet'!$B$9,Paramètres!$A$1:$I$89,3,0)*VLOOKUP('Données projet'!$B$9,Paramètres!$A$1:$I$89,5,0)</f>
        <v>253.79640000000001</v>
      </c>
      <c r="P201" s="13">
        <f t="shared" si="203"/>
        <v>61.39816832228076</v>
      </c>
      <c r="Q201" s="20">
        <f t="shared" si="162"/>
        <v>548.96387316130563</v>
      </c>
      <c r="R201" s="59">
        <f t="shared" si="191"/>
        <v>841.49453268869638</v>
      </c>
      <c r="S201" s="59">
        <f ca="1">AVERAGE(OFFSET($R$3,0,0,'Données projet'!$E$9+1,1))-AVERAGE(OFFSET($H$3,0,0,'Données projet'!$E$9+1,1))</f>
        <v>360.06385535620069</v>
      </c>
      <c r="T201" s="59">
        <f t="shared" si="204"/>
        <v>350.82516032456408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5.1374917426637134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5.1374917426637134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277.77359999999993</v>
      </c>
      <c r="AK201" s="13">
        <f t="shared" si="164"/>
        <v>66.496288176842356</v>
      </c>
      <c r="AL201" s="20">
        <f t="shared" si="165"/>
        <v>599.60338857466706</v>
      </c>
      <c r="AM201" s="59">
        <f t="shared" si="193"/>
        <v>892.13404810205793</v>
      </c>
      <c r="AN201" s="59">
        <f ca="1">AVERAGE(OFFSET($AM$3,0,0,'Données projet'!$E$10+1,1))-AVERAGE(OFFSET($H$3,0,0,'Données projet'!$E$10+1,1))</f>
        <v>448.65237942538027</v>
      </c>
      <c r="AO201" s="59">
        <f t="shared" si="205"/>
        <v>283.56749129825107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19.344222015021725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19.344222015021725</v>
      </c>
      <c r="AY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403.99999999999989</v>
      </c>
      <c r="BE201" s="13">
        <f>BD201*VLOOKUP('Données projet'!$B$11,Paramètres!$A$1:$I$89,3,0)*VLOOKUP('Données projet'!$B$11,Paramètres!$A$1:$I$89,5,0)</f>
        <v>346.63199999999995</v>
      </c>
      <c r="BF201" s="13">
        <f t="shared" si="167"/>
        <v>80.868615263336864</v>
      </c>
      <c r="BG201" s="20">
        <f t="shared" si="168"/>
        <v>744.56357158364483</v>
      </c>
      <c r="BH201" s="59">
        <f t="shared" si="194"/>
        <v>1037.0942311110357</v>
      </c>
      <c r="BI201" s="59">
        <f ca="1">AVERAGE(OFFSET($BH$3,0,0,'Données projet'!$E$11+1,1))-AVERAGE(OFFSET($H$3,0,0,'Données projet'!$E$11+1,1))</f>
        <v>456.76871853389395</v>
      </c>
      <c r="BJ201" s="59">
        <f t="shared" si="206"/>
        <v>262.12425810289176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21.327540755719205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21.327540755719205</v>
      </c>
      <c r="BT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255.00000000000006</v>
      </c>
      <c r="BZ201" s="13">
        <f>BY201*VLOOKUP('Données projet'!$B$12,Paramètres!$A$1:$I$89,3,0)*VLOOKUP('Données projet'!$B$12,Paramètres!$A$1:$I$89,5,0)</f>
        <v>186.96600000000004</v>
      </c>
      <c r="CA201" s="13">
        <f t="shared" si="170"/>
        <v>46.868551400324648</v>
      </c>
      <c r="CB201" s="20">
        <f t="shared" si="171"/>
        <v>407.26184368889881</v>
      </c>
      <c r="CC201" s="59">
        <f t="shared" si="195"/>
        <v>699.79250321628956</v>
      </c>
      <c r="CD201" s="59">
        <f ca="1">AVERAGE(OFFSET($CC$3,0,0,'Données projet'!$E$12+1,1))-AVERAGE(OFFSET($H$3,0,0,'Données projet'!$E$12+1,1))</f>
        <v>242.65851607945316</v>
      </c>
      <c r="CE201" s="59">
        <f t="shared" si="207"/>
        <v>218.9349999985487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249.0000000000002</v>
      </c>
      <c r="CU201" s="17">
        <f>CT201*VLOOKUP('Données projet'!$B$13,Paramètres!$A$1:$I$89,3,0)*VLOOKUP('Données projet'!$B$13,Paramètres!$A$1:$I$89,5,0)</f>
        <v>217.52640000000019</v>
      </c>
      <c r="CV201" s="13">
        <f t="shared" si="173"/>
        <v>53.576907690651304</v>
      </c>
      <c r="CW201" s="20">
        <f t="shared" si="174"/>
        <v>472.17159422788467</v>
      </c>
      <c r="CX201" s="59">
        <f t="shared" si="196"/>
        <v>764.70225375527548</v>
      </c>
      <c r="CY201" s="59">
        <f ca="1">AVERAGE(OFFSET($CX$3,0,0,'Données projet'!$E$13+1,1))-AVERAGE(OFFSET($H$3,0,0,'Données projet'!$E$13+1,1))</f>
        <v>326.9460696675867</v>
      </c>
      <c r="CZ201" s="59">
        <f t="shared" si="208"/>
        <v>393.4020374592568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4.9502565422831939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4.9502565422831939</v>
      </c>
      <c r="DJ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349.00000000000017</v>
      </c>
      <c r="DP201" s="17">
        <f>DO201*VLOOKUP('Données projet'!$B$14,Paramètres!$A$1:$I$89,3,0)*VLOOKUP('Données projet'!$B$14,Paramètres!$A$1:$I$89,5,0)</f>
        <v>272.22000000000014</v>
      </c>
      <c r="DQ201" s="13">
        <f t="shared" si="176"/>
        <v>65.320184547527205</v>
      </c>
      <c r="DR201" s="20">
        <f t="shared" si="177"/>
        <v>587.88248808694345</v>
      </c>
      <c r="DS201" s="59">
        <f t="shared" si="197"/>
        <v>880.41314761433432</v>
      </c>
      <c r="DT201" s="59">
        <f ca="1">AVERAGE(OFFSET($DS$3,0,0,'Données projet'!$E$14+1,1))-AVERAGE(OFFSET($H$3,0,0,'Données projet'!$E$14+1,1))</f>
        <v>364.34528546733799</v>
      </c>
      <c r="DU201" s="59">
        <f t="shared" si="209"/>
        <v>346.5839763411152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6.8701260475691992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6.8701260475691992</v>
      </c>
      <c r="EE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213.98519999999999</v>
      </c>
      <c r="EL201" s="13">
        <f t="shared" si="179"/>
        <v>52.805497044008654</v>
      </c>
      <c r="EM201" s="20">
        <f t="shared" si="180"/>
        <v>464.66046401831505</v>
      </c>
      <c r="EN201" s="59">
        <f t="shared" si="198"/>
        <v>757.19112354570586</v>
      </c>
      <c r="EO201" s="59">
        <f ca="1">AVERAGE(OFFSET($EN$3,0,0,'Données projet'!$E$15+1,1))-AVERAGE(OFFSET($H$3,0,0,'Données projet'!$E$15+1,1))</f>
        <v>310.38232870602445</v>
      </c>
      <c r="EP201" s="59">
        <f t="shared" si="210"/>
        <v>303.45934457265537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4.3316106849909728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4.3316106849909728</v>
      </c>
      <c r="EZ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245.99999999999994</v>
      </c>
      <c r="FF201" s="17">
        <f>FE201*VLOOKUP('Données projet'!$B$16,Paramètres!$A$1:$I$89,3,0)*VLOOKUP('Données projet'!$B$16,Paramètres!$A$1:$I$89,5,0)</f>
        <v>234.09359999999998</v>
      </c>
      <c r="FG201" s="13">
        <f t="shared" si="182"/>
        <v>57.166902703920208</v>
      </c>
      <c r="FH201" s="20">
        <f t="shared" si="183"/>
        <v>507.27870887599425</v>
      </c>
      <c r="FI201" s="59">
        <f t="shared" si="199"/>
        <v>799.80936840338506</v>
      </c>
      <c r="FJ201" s="59">
        <f ca="1">AVERAGE(OFFSET($FI$3,0,0,'Données projet'!$E$16+1,1))-AVERAGE(OFFSET($H$3,0,0,'Données projet'!$E$16+1,1))</f>
        <v>457.706832425622</v>
      </c>
      <c r="FK201" s="59">
        <f t="shared" si="211"/>
        <v>474.61768219844873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15.069652723233688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15.069652723233688</v>
      </c>
      <c r="FU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319</v>
      </c>
      <c r="GA201" s="17">
        <f>FZ201*VLOOKUP('Données projet'!$B$17,Paramètres!$A$1:$I$89,3,0)*VLOOKUP('Données projet'!$B$17,Paramètres!$A$1:$I$89,5,0)</f>
        <v>308.53680000000003</v>
      </c>
      <c r="GB201" s="13">
        <f t="shared" si="185"/>
        <v>72.963171684496103</v>
      </c>
      <c r="GC201" s="20">
        <f t="shared" si="186"/>
        <v>664.4457840171641</v>
      </c>
      <c r="GD201" s="59">
        <f t="shared" si="200"/>
        <v>956.97644354455497</v>
      </c>
      <c r="GE201" s="59">
        <f ca="1">AVERAGE(OFFSET($GD$3,0,0,'Données projet'!$E$17+1,1))-AVERAGE(OFFSET($H$3,0,0,'Données projet'!$E$17+1,1))</f>
        <v>428.11167311086814</v>
      </c>
      <c r="GF201" s="59">
        <f t="shared" si="212"/>
        <v>415.69449942923609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5.0671672164045383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5.0671672164045383</v>
      </c>
      <c r="GP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1.1368683772161603E-13</v>
      </c>
      <c r="GV201" s="17">
        <f>GU201*VLOOKUP('Données projet'!$B$18,Paramètres!$A$1:$I$89,3,0)*VLOOKUP('Données projet'!$B$18,Paramètres!$A$1:$I$89,5,0)</f>
        <v>6.5087988332379613E-14</v>
      </c>
      <c r="GW201" s="13">
        <f t="shared" si="188"/>
        <v>1.0279249680474958E-12</v>
      </c>
      <c r="GX201" s="20">
        <f t="shared" si="189"/>
        <v>1.9036642323616162E-12</v>
      </c>
      <c r="GY201" s="59">
        <f t="shared" si="201"/>
        <v>292.53065952739269</v>
      </c>
      <c r="GZ201" s="59">
        <f ca="1">AVERAGE(OFFSET($GY$3,0,0,'Données projet'!$E$18+1,1))-AVERAGE(OFFSET($H$3,0,0,'Données projet'!$E$18+1,1))</f>
        <v>249.88816678272056</v>
      </c>
      <c r="HA201" s="59">
        <f t="shared" si="213"/>
        <v>432.10802787437319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2.9813061400177117</v>
      </c>
      <c r="HH201" s="21">
        <f>EXP(-LN(2)/25)*HH200+(1-EXP(-LN(2)/25))/(LN(2)/25)*Calculateur!HC201*Calculateur!HE201*VLOOKUP('Données projet'!$B$18,Paramètres!$A$1:$I$89,3,0)*0.475*44/12</f>
        <v>0.20408079500549883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3.1853869350232107</v>
      </c>
    </row>
    <row r="202" spans="1:218" x14ac:dyDescent="0.3">
      <c r="A202" s="10">
        <f t="shared" si="161"/>
        <v>199</v>
      </c>
      <c r="B202" s="71">
        <f>'Scénario référence'!$B$16*5+'Scénario référence'!$B$17*0+'Scénario référence'!$B$18*5</f>
        <v>1.4000000000000001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5.1333333333333337</v>
      </c>
      <c r="H202" s="65">
        <f t="shared" si="192"/>
        <v>236.13333333333335</v>
      </c>
      <c r="I202" s="6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319</v>
      </c>
      <c r="O202" s="13">
        <f>N202*VLOOKUP('Données projet'!$B$9,Paramètres!$A$1:$I$89,3,0)*VLOOKUP('Données projet'!$B$9,Paramètres!$A$1:$I$89,5,0)</f>
        <v>253.79640000000001</v>
      </c>
      <c r="P202" s="13">
        <f t="shared" si="203"/>
        <v>61.39816832228076</v>
      </c>
      <c r="Q202" s="20">
        <f t="shared" si="162"/>
        <v>548.96387316130563</v>
      </c>
      <c r="R202" s="59">
        <f t="shared" si="191"/>
        <v>841.50845728471973</v>
      </c>
      <c r="S202" s="59">
        <f ca="1">AVERAGE(OFFSET($R$3,0,0,'Données projet'!$E$9+1,1))-AVERAGE(OFFSET($H$3,0,0,'Données projet'!$E$9+1,1))</f>
        <v>360.06385535620069</v>
      </c>
      <c r="T202" s="59">
        <f t="shared" si="204"/>
        <v>350.82516032456408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5.036748663150628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5.036748663150628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277.77359999999993</v>
      </c>
      <c r="AK202" s="13">
        <f t="shared" si="164"/>
        <v>66.496288176842356</v>
      </c>
      <c r="AL202" s="20">
        <f t="shared" si="165"/>
        <v>599.60338857466706</v>
      </c>
      <c r="AM202" s="59">
        <f t="shared" si="193"/>
        <v>892.14797269808116</v>
      </c>
      <c r="AN202" s="59">
        <f ca="1">AVERAGE(OFFSET($AM$3,0,0,'Données projet'!$E$10+1,1))-AVERAGE(OFFSET($H$3,0,0,'Données projet'!$E$10+1,1))</f>
        <v>448.65237942538027</v>
      </c>
      <c r="AO202" s="59">
        <f t="shared" si="205"/>
        <v>283.56749129825107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18.964893620117543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18.964893620117543</v>
      </c>
      <c r="AY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403.99999999999989</v>
      </c>
      <c r="BE202" s="13">
        <f>BD202*VLOOKUP('Données projet'!$B$11,Paramètres!$A$1:$I$89,3,0)*VLOOKUP('Données projet'!$B$11,Paramètres!$A$1:$I$89,5,0)</f>
        <v>346.63199999999995</v>
      </c>
      <c r="BF202" s="13">
        <f t="shared" si="167"/>
        <v>80.868615263336864</v>
      </c>
      <c r="BG202" s="20">
        <f t="shared" si="168"/>
        <v>744.56357158364483</v>
      </c>
      <c r="BH202" s="59">
        <f t="shared" si="194"/>
        <v>1037.1081557070588</v>
      </c>
      <c r="BI202" s="59">
        <f ca="1">AVERAGE(OFFSET($BH$3,0,0,'Données projet'!$E$11+1,1))-AVERAGE(OFFSET($H$3,0,0,'Données projet'!$E$11+1,1))</f>
        <v>456.76871853389395</v>
      </c>
      <c r="BJ202" s="59">
        <f t="shared" si="206"/>
        <v>262.12425810289176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20.90932069001493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20.90932069001493</v>
      </c>
      <c r="BT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255.00000000000006</v>
      </c>
      <c r="BZ202" s="13">
        <f>BY202*VLOOKUP('Données projet'!$B$12,Paramètres!$A$1:$I$89,3,0)*VLOOKUP('Données projet'!$B$12,Paramètres!$A$1:$I$89,5,0)</f>
        <v>186.96600000000004</v>
      </c>
      <c r="CA202" s="13">
        <f t="shared" si="170"/>
        <v>46.868551400324648</v>
      </c>
      <c r="CB202" s="20">
        <f t="shared" si="171"/>
        <v>407.26184368889881</v>
      </c>
      <c r="CC202" s="59">
        <f t="shared" si="195"/>
        <v>699.8064278123129</v>
      </c>
      <c r="CD202" s="59">
        <f ca="1">AVERAGE(OFFSET($CC$3,0,0,'Données projet'!$E$12+1,1))-AVERAGE(OFFSET($H$3,0,0,'Données projet'!$E$12+1,1))</f>
        <v>242.65851607945316</v>
      </c>
      <c r="CE202" s="59">
        <f t="shared" si="207"/>
        <v>218.9349999985487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249.0000000000002</v>
      </c>
      <c r="CU202" s="17">
        <f>CT202*VLOOKUP('Données projet'!$B$13,Paramètres!$A$1:$I$89,3,0)*VLOOKUP('Données projet'!$B$13,Paramètres!$A$1:$I$89,5,0)</f>
        <v>217.52640000000019</v>
      </c>
      <c r="CV202" s="13">
        <f t="shared" si="173"/>
        <v>53.576907690651304</v>
      </c>
      <c r="CW202" s="20">
        <f t="shared" si="174"/>
        <v>472.17159422788467</v>
      </c>
      <c r="CX202" s="59">
        <f t="shared" si="196"/>
        <v>764.71617835129882</v>
      </c>
      <c r="CY202" s="59">
        <f ca="1">AVERAGE(OFFSET($CX$3,0,0,'Données projet'!$E$13+1,1))-AVERAGE(OFFSET($H$3,0,0,'Données projet'!$E$13+1,1))</f>
        <v>326.9460696675867</v>
      </c>
      <c r="CZ202" s="59">
        <f t="shared" si="208"/>
        <v>393.4020374592568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4.8531850308473743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4.8531850308473743</v>
      </c>
      <c r="DJ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349.00000000000017</v>
      </c>
      <c r="DP202" s="17">
        <f>DO202*VLOOKUP('Données projet'!$B$14,Paramètres!$A$1:$I$89,3,0)*VLOOKUP('Données projet'!$B$14,Paramètres!$A$1:$I$89,5,0)</f>
        <v>272.22000000000014</v>
      </c>
      <c r="DQ202" s="13">
        <f t="shared" si="176"/>
        <v>65.320184547527205</v>
      </c>
      <c r="DR202" s="20">
        <f t="shared" si="177"/>
        <v>587.88248808694345</v>
      </c>
      <c r="DS202" s="59">
        <f t="shared" si="197"/>
        <v>880.42707221035755</v>
      </c>
      <c r="DT202" s="59">
        <f ca="1">AVERAGE(OFFSET($DS$3,0,0,'Données projet'!$E$14+1,1))-AVERAGE(OFFSET($H$3,0,0,'Données projet'!$E$14+1,1))</f>
        <v>364.34528546733799</v>
      </c>
      <c r="DU202" s="59">
        <f t="shared" si="209"/>
        <v>346.5839763411152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6.7354070661394925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6.7354070661394925</v>
      </c>
      <c r="EE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213.98519999999999</v>
      </c>
      <c r="EL202" s="13">
        <f t="shared" si="179"/>
        <v>52.805497044008654</v>
      </c>
      <c r="EM202" s="20">
        <f t="shared" si="180"/>
        <v>464.66046401831505</v>
      </c>
      <c r="EN202" s="59">
        <f t="shared" si="198"/>
        <v>757.20504814172909</v>
      </c>
      <c r="EO202" s="59">
        <f ca="1">AVERAGE(OFFSET($EN$3,0,0,'Données projet'!$E$15+1,1))-AVERAGE(OFFSET($H$3,0,0,'Données projet'!$E$15+1,1))</f>
        <v>310.38232870602445</v>
      </c>
      <c r="EP202" s="59">
        <f t="shared" si="210"/>
        <v>303.45934457265537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4.2466704414799397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4.2466704414799397</v>
      </c>
      <c r="EZ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245.99999999999994</v>
      </c>
      <c r="FF202" s="17">
        <f>FE202*VLOOKUP('Données projet'!$B$16,Paramètres!$A$1:$I$89,3,0)*VLOOKUP('Données projet'!$B$16,Paramètres!$A$1:$I$89,5,0)</f>
        <v>234.09359999999998</v>
      </c>
      <c r="FG202" s="13">
        <f t="shared" si="182"/>
        <v>57.166902703920208</v>
      </c>
      <c r="FH202" s="20">
        <f t="shared" si="183"/>
        <v>507.27870887599425</v>
      </c>
      <c r="FI202" s="59">
        <f t="shared" si="199"/>
        <v>799.8232929994083</v>
      </c>
      <c r="FJ202" s="59">
        <f ca="1">AVERAGE(OFFSET($FI$3,0,0,'Données projet'!$E$16+1,1))-AVERAGE(OFFSET($H$3,0,0,'Données projet'!$E$16+1,1))</f>
        <v>457.706832425622</v>
      </c>
      <c r="FK202" s="59">
        <f t="shared" si="211"/>
        <v>474.61768219844873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14.774146024911643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14.774146024911643</v>
      </c>
      <c r="FU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319</v>
      </c>
      <c r="GA202" s="17">
        <f>FZ202*VLOOKUP('Données projet'!$B$17,Paramètres!$A$1:$I$89,3,0)*VLOOKUP('Données projet'!$B$17,Paramètres!$A$1:$I$89,5,0)</f>
        <v>308.53680000000003</v>
      </c>
      <c r="GB202" s="13">
        <f t="shared" si="185"/>
        <v>72.963171684496103</v>
      </c>
      <c r="GC202" s="20">
        <f t="shared" si="186"/>
        <v>664.4457840171641</v>
      </c>
      <c r="GD202" s="59">
        <f t="shared" si="200"/>
        <v>956.9903681405782</v>
      </c>
      <c r="GE202" s="59">
        <f ca="1">AVERAGE(OFFSET($GD$3,0,0,'Données projet'!$E$17+1,1))-AVERAGE(OFFSET($H$3,0,0,'Données projet'!$E$17+1,1))</f>
        <v>428.11167311086814</v>
      </c>
      <c r="GF202" s="59">
        <f t="shared" si="212"/>
        <v>415.69449942923609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4.9678031579576691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4.9678031579576691</v>
      </c>
      <c r="GP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1.1368683772161603E-13</v>
      </c>
      <c r="GV202" s="17">
        <f>GU202*VLOOKUP('Données projet'!$B$18,Paramètres!$A$1:$I$89,3,0)*VLOOKUP('Données projet'!$B$18,Paramètres!$A$1:$I$89,5,0)</f>
        <v>6.5087988332379613E-14</v>
      </c>
      <c r="GW202" s="13">
        <f t="shared" si="188"/>
        <v>1.0279249680474958E-12</v>
      </c>
      <c r="GX202" s="20">
        <f t="shared" si="189"/>
        <v>1.9036642323616162E-12</v>
      </c>
      <c r="GY202" s="59">
        <f t="shared" si="201"/>
        <v>292.54458412341597</v>
      </c>
      <c r="GZ202" s="59">
        <f ca="1">AVERAGE(OFFSET($GY$3,0,0,'Données projet'!$E$18+1,1))-AVERAGE(OFFSET($H$3,0,0,'Données projet'!$E$18+1,1))</f>
        <v>249.88816678272056</v>
      </c>
      <c r="HA202" s="59">
        <f t="shared" si="213"/>
        <v>432.10802787437319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2.922844545029156</v>
      </c>
      <c r="HH202" s="21">
        <f>EXP(-LN(2)/25)*HH201+(1-EXP(-LN(2)/25))/(LN(2)/25)*Calculateur!HC202*Calculateur!HE202*VLOOKUP('Données projet'!$B$18,Paramètres!$A$1:$I$89,3,0)*0.475*44/12</f>
        <v>0.1985001949339309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3.1213447399630869</v>
      </c>
    </row>
    <row r="203" spans="1:218" ht="15" thickBot="1" x14ac:dyDescent="0.35">
      <c r="A203" s="10">
        <f>A202+1</f>
        <v>200</v>
      </c>
      <c r="B203" s="71">
        <f>'Scénario référence'!$B$16*5+'Scénario référence'!$B$17*0+'Scénario référence'!$B$18*5</f>
        <v>1.4000000000000001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5.1333333333333337</v>
      </c>
      <c r="H203" s="65">
        <f t="shared" si="192"/>
        <v>236.13333333333335</v>
      </c>
      <c r="I203" s="6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319</v>
      </c>
      <c r="O203" s="13">
        <f>N203*VLOOKUP('Données projet'!$B$9,Paramètres!$A$1:$I$89,3,0)*VLOOKUP('Données projet'!$B$9,Paramètres!$A$1:$I$89,5,0)</f>
        <v>253.79640000000001</v>
      </c>
      <c r="P203" s="13">
        <f t="shared" si="203"/>
        <v>61.39816832228076</v>
      </c>
      <c r="Q203" s="20">
        <f t="shared" si="162"/>
        <v>548.96387316130563</v>
      </c>
      <c r="R203" s="59">
        <f t="shared" si="191"/>
        <v>841.52214032013285</v>
      </c>
      <c r="S203" s="59">
        <f ca="1">AVERAGE(OFFSET($R$3,0,0,'Données projet'!$E$9+1,1))-AVERAGE(OFFSET($H$3,0,0,'Données projet'!$E$9+1,1))</f>
        <v>360.06385535620069</v>
      </c>
      <c r="T203" s="59">
        <f t="shared" si="204"/>
        <v>350.82516032456408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4.937981093979583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4.937981093979583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277.77359999999993</v>
      </c>
      <c r="AK203" s="13">
        <f t="shared" si="164"/>
        <v>66.496288176842356</v>
      </c>
      <c r="AL203" s="20">
        <f t="shared" si="165"/>
        <v>599.60338857466706</v>
      </c>
      <c r="AM203" s="59">
        <f t="shared" si="193"/>
        <v>892.16165573349417</v>
      </c>
      <c r="AN203" s="59">
        <f ca="1">AVERAGE(OFFSET($AM$3,0,0,'Données projet'!$E$10+1,1))-AVERAGE(OFFSET($H$3,0,0,'Données projet'!$E$10+1,1))</f>
        <v>448.65237942538027</v>
      </c>
      <c r="AO203" s="59">
        <f t="shared" si="205"/>
        <v>283.56749129825107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18.593003623669958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18.593003623669958</v>
      </c>
      <c r="AY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403.99999999999989</v>
      </c>
      <c r="BE203" s="13">
        <f>BD203*VLOOKUP('Données projet'!$B$11,Paramètres!$A$1:$I$89,3,0)*VLOOKUP('Données projet'!$B$11,Paramètres!$A$1:$I$89,5,0)</f>
        <v>346.63199999999995</v>
      </c>
      <c r="BF203" s="13">
        <f t="shared" si="167"/>
        <v>80.868615263336864</v>
      </c>
      <c r="BG203" s="20">
        <f t="shared" si="168"/>
        <v>744.56357158364483</v>
      </c>
      <c r="BH203" s="59">
        <f t="shared" si="194"/>
        <v>1037.1218387424719</v>
      </c>
      <c r="BI203" s="59">
        <f ca="1">AVERAGE(OFFSET($BH$3,0,0,'Données projet'!$E$11+1,1))-AVERAGE(OFFSET($H$3,0,0,'Données projet'!$E$11+1,1))</f>
        <v>456.76871853389395</v>
      </c>
      <c r="BJ203" s="59">
        <f t="shared" si="206"/>
        <v>262.12425810289176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20.49930166471006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20.49930166471006</v>
      </c>
      <c r="BT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255.00000000000006</v>
      </c>
      <c r="BZ203" s="13">
        <f>BY203*VLOOKUP('Données projet'!$B$12,Paramètres!$A$1:$I$89,3,0)*VLOOKUP('Données projet'!$B$12,Paramètres!$A$1:$I$89,5,0)</f>
        <v>186.96600000000004</v>
      </c>
      <c r="CA203" s="13">
        <f t="shared" si="170"/>
        <v>46.868551400324648</v>
      </c>
      <c r="CB203" s="20">
        <f t="shared" si="171"/>
        <v>407.26184368889881</v>
      </c>
      <c r="CC203" s="59">
        <f t="shared" si="195"/>
        <v>699.82011084772603</v>
      </c>
      <c r="CD203" s="59">
        <f ca="1">AVERAGE(OFFSET($CC$3,0,0,'Données projet'!$E$12+1,1))-AVERAGE(OFFSET($H$3,0,0,'Données projet'!$E$12+1,1))</f>
        <v>242.65851607945316</v>
      </c>
      <c r="CE203" s="59">
        <f t="shared" si="207"/>
        <v>218.9349999985487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249.0000000000002</v>
      </c>
      <c r="CU203" s="17">
        <f>CT203*VLOOKUP('Données projet'!$B$13,Paramètres!$A$1:$I$89,3,0)*VLOOKUP('Données projet'!$B$13,Paramètres!$A$1:$I$89,5,0)</f>
        <v>217.52640000000019</v>
      </c>
      <c r="CV203" s="13">
        <f t="shared" si="173"/>
        <v>53.576907690651304</v>
      </c>
      <c r="CW203" s="20">
        <f t="shared" si="174"/>
        <v>472.17159422788467</v>
      </c>
      <c r="CX203" s="59">
        <f t="shared" si="196"/>
        <v>764.72986138671183</v>
      </c>
      <c r="CY203" s="59">
        <f ca="1">AVERAGE(OFFSET($CX$3,0,0,'Données projet'!$E$13+1,1))-AVERAGE(OFFSET($H$3,0,0,'Données projet'!$E$13+1,1))</f>
        <v>326.9460696675867</v>
      </c>
      <c r="CZ203" s="59">
        <f t="shared" si="208"/>
        <v>393.4020374592568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4.7580170325430355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4.7580170325430355</v>
      </c>
      <c r="DJ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349.00000000000017</v>
      </c>
      <c r="DP203" s="17">
        <f>DO203*VLOOKUP('Données projet'!$B$14,Paramètres!$A$1:$I$89,3,0)*VLOOKUP('Données projet'!$B$14,Paramètres!$A$1:$I$89,5,0)</f>
        <v>272.22000000000014</v>
      </c>
      <c r="DQ203" s="13">
        <f t="shared" si="176"/>
        <v>65.320184547527205</v>
      </c>
      <c r="DR203" s="20">
        <f t="shared" si="177"/>
        <v>587.88248808694345</v>
      </c>
      <c r="DS203" s="59">
        <f t="shared" si="197"/>
        <v>880.44075524577056</v>
      </c>
      <c r="DT203" s="59">
        <f ca="1">AVERAGE(OFFSET($DS$3,0,0,'Données projet'!$E$14+1,1))-AVERAGE(OFFSET($H$3,0,0,'Données projet'!$E$14+1,1))</f>
        <v>364.34528546733799</v>
      </c>
      <c r="DU203" s="59">
        <f t="shared" si="209"/>
        <v>346.5839763411152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6.6033298417651567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6.6033298417651567</v>
      </c>
      <c r="EE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213.98519999999999</v>
      </c>
      <c r="EL203" s="13">
        <f t="shared" si="179"/>
        <v>52.805497044008654</v>
      </c>
      <c r="EM203" s="20">
        <f t="shared" si="180"/>
        <v>464.66046401831505</v>
      </c>
      <c r="EN203" s="59">
        <f t="shared" si="198"/>
        <v>757.21873117714222</v>
      </c>
      <c r="EO203" s="59">
        <f ca="1">AVERAGE(OFFSET($EN$3,0,0,'Données projet'!$E$15+1,1))-AVERAGE(OFFSET($H$3,0,0,'Données projet'!$E$15+1,1))</f>
        <v>310.38232870602445</v>
      </c>
      <c r="EP203" s="59">
        <f t="shared" si="210"/>
        <v>303.45934457265537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4.1633958243357254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4.1633958243357254</v>
      </c>
      <c r="EZ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245.99999999999994</v>
      </c>
      <c r="FF203" s="17">
        <f>FE203*VLOOKUP('Données projet'!$B$16,Paramètres!$A$1:$I$89,3,0)*VLOOKUP('Données projet'!$B$16,Paramètres!$A$1:$I$89,5,0)</f>
        <v>234.09359999999998</v>
      </c>
      <c r="FG203" s="13">
        <f t="shared" si="182"/>
        <v>57.166902703920208</v>
      </c>
      <c r="FH203" s="20">
        <f t="shared" si="183"/>
        <v>507.27870887599425</v>
      </c>
      <c r="FI203" s="59">
        <f t="shared" si="199"/>
        <v>799.83697603482142</v>
      </c>
      <c r="FJ203" s="59">
        <f ca="1">AVERAGE(OFFSET($FI$3,0,0,'Données projet'!$E$16+1,1))-AVERAGE(OFFSET($H$3,0,0,'Données projet'!$E$16+1,1))</f>
        <v>457.706832425622</v>
      </c>
      <c r="FK203" s="59">
        <f t="shared" si="211"/>
        <v>474.61768219844873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14.484434032702405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14.484434032702405</v>
      </c>
      <c r="FU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319</v>
      </c>
      <c r="GA203" s="17">
        <f>FZ203*VLOOKUP('Données projet'!$B$17,Paramètres!$A$1:$I$89,3,0)*VLOOKUP('Données projet'!$B$17,Paramètres!$A$1:$I$89,5,0)</f>
        <v>308.53680000000003</v>
      </c>
      <c r="GB203" s="13">
        <f t="shared" si="185"/>
        <v>72.963171684496103</v>
      </c>
      <c r="GC203" s="20">
        <f t="shared" si="186"/>
        <v>664.4457840171641</v>
      </c>
      <c r="GD203" s="59">
        <f t="shared" si="200"/>
        <v>957.00405117599121</v>
      </c>
      <c r="GE203" s="59">
        <f ca="1">AVERAGE(OFFSET($GD$3,0,0,'Données projet'!$E$17+1,1))-AVERAGE(OFFSET($H$3,0,0,'Données projet'!$E$17+1,1))</f>
        <v>428.11167311086814</v>
      </c>
      <c r="GF203" s="59">
        <f t="shared" si="212"/>
        <v>415.69449942923609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4.8703875680908517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4.8703875680908517</v>
      </c>
      <c r="GP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1.1368683772161603E-13</v>
      </c>
      <c r="GV203" s="17">
        <f>GU203*VLOOKUP('Données projet'!$B$18,Paramètres!$A$1:$I$89,3,0)*VLOOKUP('Données projet'!$B$18,Paramètres!$A$1:$I$89,5,0)</f>
        <v>6.5087988332379613E-14</v>
      </c>
      <c r="GW203" s="13">
        <f t="shared" si="188"/>
        <v>1.0279249680474958E-12</v>
      </c>
      <c r="GX203" s="20">
        <f t="shared" si="189"/>
        <v>1.9036642323616162E-12</v>
      </c>
      <c r="GY203" s="59">
        <f t="shared" si="201"/>
        <v>292.55826715882904</v>
      </c>
      <c r="GZ203" s="59">
        <f ca="1">AVERAGE(OFFSET($GY$3,0,0,'Données projet'!$E$18+1,1))-AVERAGE(OFFSET($H$3,0,0,'Données projet'!$E$18+1,1))</f>
        <v>249.88816678272056</v>
      </c>
      <c r="HA203" s="59">
        <f t="shared" si="213"/>
        <v>432.10802787437319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2.8655293462602738</v>
      </c>
      <c r="HH203" s="21">
        <f>EXP(-LN(2)/25)*HH202+(1-EXP(-LN(2)/25))/(LN(2)/25)*Calculateur!HC203*Calculateur!HE203*VLOOKUP('Données projet'!$B$18,Paramètres!$A$1:$I$89,3,0)*0.475*44/12</f>
        <v>0.19307219666479097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3.0586015429250648</v>
      </c>
    </row>
    <row r="204" spans="1:218" ht="15" thickBot="1" x14ac:dyDescent="0.35">
      <c r="B204" s="10"/>
      <c r="C204" s="74"/>
      <c r="D204" s="75"/>
      <c r="E204" s="75"/>
      <c r="F204" s="75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4"/>
      <c r="I204" s="74"/>
      <c r="J204" s="74"/>
      <c r="K204" s="82" t="s">
        <v>293</v>
      </c>
      <c r="L204" s="76"/>
      <c r="M204" s="76"/>
      <c r="N204" s="76"/>
      <c r="O204" s="74"/>
      <c r="P204" s="74"/>
      <c r="Q204" s="75"/>
      <c r="R204" s="77"/>
      <c r="S204" s="77"/>
      <c r="T204" s="77"/>
      <c r="U204" s="76"/>
      <c r="V204" s="76"/>
      <c r="W204" s="78"/>
      <c r="X204" s="78"/>
      <c r="Y204" s="78"/>
      <c r="Z204" s="74"/>
      <c r="AA204" s="74"/>
      <c r="AB204" s="74"/>
      <c r="AC204" s="74"/>
      <c r="AD204" s="74"/>
      <c r="AE204" s="74"/>
      <c r="AF204" s="79" t="s">
        <v>293</v>
      </c>
      <c r="BA204" s="79" t="s">
        <v>293</v>
      </c>
      <c r="BV204" s="79" t="s">
        <v>293</v>
      </c>
      <c r="CQ204" s="79" t="s">
        <v>293</v>
      </c>
      <c r="DL204" s="79" t="s">
        <v>293</v>
      </c>
      <c r="EG204" s="79" t="s">
        <v>293</v>
      </c>
      <c r="FB204" s="79" t="s">
        <v>293</v>
      </c>
      <c r="FW204" s="79" t="s">
        <v>293</v>
      </c>
      <c r="GR204" s="79" t="s">
        <v>293</v>
      </c>
    </row>
    <row r="205" spans="1:218" ht="15" thickBot="1" x14ac:dyDescent="0.35">
      <c r="B205" s="10"/>
      <c r="C205" s="74"/>
      <c r="D205" s="75"/>
      <c r="E205" s="75"/>
      <c r="F205" s="75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4"/>
      <c r="I205" s="74"/>
      <c r="J205" s="74"/>
      <c r="K205" s="80">
        <f>EXP(LN('Données projet'!B36)/'Données projet'!A36)</f>
        <v>1.2709816152101407</v>
      </c>
      <c r="L205" s="76"/>
      <c r="M205" s="76"/>
      <c r="N205" s="76"/>
      <c r="O205" s="74"/>
      <c r="P205" s="74"/>
      <c r="Q205" s="75"/>
      <c r="R205" s="77"/>
      <c r="S205" s="77"/>
      <c r="T205" s="77"/>
      <c r="U205" s="76"/>
      <c r="V205" s="76"/>
      <c r="W205" s="78"/>
      <c r="X205" s="78"/>
      <c r="Y205" s="78"/>
      <c r="Z205" s="74"/>
      <c r="AA205" s="74"/>
      <c r="AB205" s="74"/>
      <c r="AC205" s="74"/>
      <c r="AD205" s="74"/>
      <c r="AE205" s="74"/>
      <c r="AF205" s="81">
        <f>EXP(LN('Données projet'!B62)/'Données projet'!A62)</f>
        <v>1.2392705892426346</v>
      </c>
      <c r="BA205" s="80">
        <f>EXP(LN('Données projet'!B88)/'Données projet'!A88)</f>
        <v>1.189207115002721</v>
      </c>
      <c r="BV205" s="80">
        <f>EXP(LN('Données projet'!B114)/'Données projet'!A114)</f>
        <v>1.6071994829923506</v>
      </c>
      <c r="CQ205" s="80">
        <f>EXP(LN('Données projet'!B140)/'Données projet'!A140)</f>
        <v>1.3467943429205997</v>
      </c>
      <c r="DL205" s="80">
        <f>EXP(LN('Données projet'!B166)/'Données projet'!A166)</f>
        <v>1.2688471048731957</v>
      </c>
      <c r="EG205" s="80">
        <f>EXP(LN('Données projet'!B192)/'Données projet'!A192)</f>
        <v>1.2709816152101407</v>
      </c>
      <c r="FB205" s="80">
        <f>EXP(LN('Données projet'!B218)/'Données projet'!A218)</f>
        <v>1.522675921848786</v>
      </c>
      <c r="FW205" s="80">
        <f>EXP(LN('Données projet'!B244)/'Données projet'!A244)</f>
        <v>1.2709816152101407</v>
      </c>
      <c r="GR205" s="80">
        <f>EXP(LN('Données projet'!B270)/'Données projet'!A270)</f>
        <v>1.265417535065352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7" t="s">
        <v>0</v>
      </c>
      <c r="B1" s="108" t="s">
        <v>106</v>
      </c>
      <c r="C1" s="109" t="s">
        <v>144</v>
      </c>
      <c r="D1" s="108" t="s">
        <v>100</v>
      </c>
      <c r="E1" s="109" t="s">
        <v>145</v>
      </c>
      <c r="F1" s="109" t="s">
        <v>100</v>
      </c>
      <c r="G1" s="109" t="s">
        <v>146</v>
      </c>
      <c r="H1" s="109" t="s">
        <v>100</v>
      </c>
      <c r="I1" s="110" t="s">
        <v>147</v>
      </c>
      <c r="J1" s="76"/>
      <c r="K1" s="76"/>
      <c r="L1" s="76"/>
      <c r="M1" s="76"/>
      <c r="N1" s="76"/>
    </row>
    <row r="2" spans="1:16" x14ac:dyDescent="0.3">
      <c r="A2" s="111" t="s">
        <v>1</v>
      </c>
      <c r="B2" s="112" t="s">
        <v>53</v>
      </c>
      <c r="C2" s="113">
        <v>0.62</v>
      </c>
      <c r="D2" s="113" t="s">
        <v>161</v>
      </c>
      <c r="E2" s="113">
        <v>1.56</v>
      </c>
      <c r="F2" s="113" t="s">
        <v>274</v>
      </c>
      <c r="G2" s="114">
        <v>0.43</v>
      </c>
      <c r="H2" s="115" t="s">
        <v>278</v>
      </c>
      <c r="I2" s="116">
        <v>0.25</v>
      </c>
      <c r="J2" s="76"/>
      <c r="K2" s="76"/>
      <c r="L2" s="76"/>
      <c r="M2" s="76"/>
      <c r="N2" s="76"/>
      <c r="O2" s="292" t="s">
        <v>238</v>
      </c>
      <c r="P2" s="117">
        <v>0</v>
      </c>
    </row>
    <row r="3" spans="1:16" ht="15" thickBot="1" x14ac:dyDescent="0.35">
      <c r="A3" s="118" t="s">
        <v>2</v>
      </c>
      <c r="B3" s="119" t="s">
        <v>54</v>
      </c>
      <c r="C3" s="120">
        <v>0.64</v>
      </c>
      <c r="D3" s="120" t="s">
        <v>161</v>
      </c>
      <c r="E3" s="120">
        <v>1.56</v>
      </c>
      <c r="F3" s="121" t="s">
        <v>274</v>
      </c>
      <c r="G3" s="122">
        <v>0.43</v>
      </c>
      <c r="H3" s="120" t="s">
        <v>278</v>
      </c>
      <c r="I3" s="123">
        <v>0.25</v>
      </c>
      <c r="J3" s="76"/>
      <c r="K3" s="76"/>
      <c r="L3" s="76"/>
      <c r="M3" s="76"/>
      <c r="N3" s="76"/>
      <c r="O3" s="293"/>
      <c r="P3" s="124">
        <v>0.2</v>
      </c>
    </row>
    <row r="4" spans="1:16" ht="15" thickBot="1" x14ac:dyDescent="0.35">
      <c r="A4" s="118" t="s">
        <v>98</v>
      </c>
      <c r="B4" s="119" t="s">
        <v>99</v>
      </c>
      <c r="C4" s="120">
        <v>0.42</v>
      </c>
      <c r="D4" s="120" t="s">
        <v>161</v>
      </c>
      <c r="E4" s="120">
        <v>1.56</v>
      </c>
      <c r="F4" s="121" t="s">
        <v>274</v>
      </c>
      <c r="G4" s="122">
        <v>0.43</v>
      </c>
      <c r="H4" s="120" t="s">
        <v>278</v>
      </c>
      <c r="I4" s="123">
        <v>0.25</v>
      </c>
      <c r="J4" s="76"/>
      <c r="K4" s="76"/>
      <c r="L4" s="76"/>
      <c r="M4" s="76"/>
      <c r="N4" s="76"/>
    </row>
    <row r="5" spans="1:16" x14ac:dyDescent="0.3">
      <c r="A5" s="118" t="s">
        <v>4</v>
      </c>
      <c r="B5" s="119" t="s">
        <v>55</v>
      </c>
      <c r="C5" s="120">
        <v>0.42</v>
      </c>
      <c r="D5" s="120" t="s">
        <v>161</v>
      </c>
      <c r="E5" s="120">
        <v>1.56</v>
      </c>
      <c r="F5" s="121" t="s">
        <v>274</v>
      </c>
      <c r="G5" s="122">
        <v>0.43</v>
      </c>
      <c r="H5" s="120" t="s">
        <v>278</v>
      </c>
      <c r="I5" s="123">
        <v>0.25</v>
      </c>
      <c r="J5" s="76"/>
      <c r="K5" s="76"/>
      <c r="L5" s="76"/>
      <c r="M5" s="76"/>
      <c r="N5" s="76"/>
      <c r="O5" s="292" t="s">
        <v>237</v>
      </c>
      <c r="P5" s="117">
        <v>0</v>
      </c>
    </row>
    <row r="6" spans="1:16" x14ac:dyDescent="0.3">
      <c r="A6" s="118" t="s">
        <v>3</v>
      </c>
      <c r="B6" s="119" t="s">
        <v>97</v>
      </c>
      <c r="C6" s="120">
        <v>0.42</v>
      </c>
      <c r="D6" s="120" t="s">
        <v>161</v>
      </c>
      <c r="E6" s="120">
        <v>1.56</v>
      </c>
      <c r="F6" s="121" t="s">
        <v>274</v>
      </c>
      <c r="G6" s="122">
        <v>0.43</v>
      </c>
      <c r="H6" s="120" t="s">
        <v>278</v>
      </c>
      <c r="I6" s="123">
        <v>0.25</v>
      </c>
      <c r="J6" s="76"/>
      <c r="K6" s="76"/>
      <c r="L6" s="76"/>
      <c r="M6" s="76"/>
      <c r="N6" s="76"/>
      <c r="O6" s="294"/>
      <c r="P6" s="125">
        <v>0.05</v>
      </c>
    </row>
    <row r="7" spans="1:16" x14ac:dyDescent="0.3">
      <c r="A7" s="118" t="s">
        <v>5</v>
      </c>
      <c r="B7" s="119" t="s">
        <v>56</v>
      </c>
      <c r="C7" s="120">
        <v>0.52</v>
      </c>
      <c r="D7" s="120" t="s">
        <v>161</v>
      </c>
      <c r="E7" s="120">
        <v>1.56</v>
      </c>
      <c r="F7" s="121" t="s">
        <v>274</v>
      </c>
      <c r="G7" s="122">
        <v>0.43</v>
      </c>
      <c r="H7" s="120" t="s">
        <v>278</v>
      </c>
      <c r="I7" s="123">
        <v>0.25</v>
      </c>
      <c r="J7" s="76"/>
      <c r="K7" s="76"/>
      <c r="L7" s="76"/>
      <c r="M7" s="76"/>
      <c r="N7" s="76"/>
      <c r="O7" s="294"/>
      <c r="P7" s="125">
        <v>0.1</v>
      </c>
    </row>
    <row r="8" spans="1:16" ht="15" thickBot="1" x14ac:dyDescent="0.35">
      <c r="A8" s="118" t="s">
        <v>164</v>
      </c>
      <c r="B8" s="119" t="s">
        <v>57</v>
      </c>
      <c r="C8" s="120">
        <v>0.36</v>
      </c>
      <c r="D8" s="120" t="s">
        <v>161</v>
      </c>
      <c r="E8" s="120">
        <v>1.3</v>
      </c>
      <c r="F8" s="121" t="s">
        <v>274</v>
      </c>
      <c r="G8" s="122">
        <v>0.55000000000000004</v>
      </c>
      <c r="H8" s="120" t="s">
        <v>153</v>
      </c>
      <c r="I8" s="123">
        <v>0.43</v>
      </c>
      <c r="J8" s="76"/>
      <c r="K8" s="76"/>
      <c r="L8" s="76"/>
      <c r="M8" s="76"/>
      <c r="N8" s="76"/>
      <c r="O8" s="293"/>
      <c r="P8" s="124">
        <v>0.15</v>
      </c>
    </row>
    <row r="9" spans="1:16" ht="15" thickBot="1" x14ac:dyDescent="0.35">
      <c r="A9" s="118" t="s">
        <v>6</v>
      </c>
      <c r="B9" s="119" t="s">
        <v>58</v>
      </c>
      <c r="C9" s="120">
        <v>0.61</v>
      </c>
      <c r="D9" s="120" t="s">
        <v>161</v>
      </c>
      <c r="E9" s="120">
        <v>1.56</v>
      </c>
      <c r="F9" s="121" t="s">
        <v>274</v>
      </c>
      <c r="G9" s="122">
        <v>0.43</v>
      </c>
      <c r="H9" s="120" t="s">
        <v>278</v>
      </c>
      <c r="I9" s="123">
        <v>0.25</v>
      </c>
      <c r="J9" s="76"/>
      <c r="K9" s="76"/>
      <c r="L9" s="76"/>
      <c r="M9" s="76"/>
      <c r="N9" s="76"/>
    </row>
    <row r="10" spans="1:16" x14ac:dyDescent="0.3">
      <c r="A10" s="118" t="s">
        <v>7</v>
      </c>
      <c r="B10" s="119" t="s">
        <v>59</v>
      </c>
      <c r="C10" s="120">
        <v>0.66</v>
      </c>
      <c r="D10" s="120" t="s">
        <v>161</v>
      </c>
      <c r="E10" s="120">
        <v>1.56</v>
      </c>
      <c r="F10" s="121" t="s">
        <v>274</v>
      </c>
      <c r="G10" s="122">
        <v>0.43</v>
      </c>
      <c r="H10" s="120" t="s">
        <v>278</v>
      </c>
      <c r="I10" s="123">
        <v>0.25</v>
      </c>
      <c r="J10" s="76"/>
      <c r="K10" s="76"/>
      <c r="L10" s="76"/>
      <c r="M10" s="76"/>
      <c r="N10" s="76"/>
      <c r="O10" s="292" t="s">
        <v>236</v>
      </c>
      <c r="P10" s="117">
        <v>0</v>
      </c>
    </row>
    <row r="11" spans="1:16" ht="15" thickBot="1" x14ac:dyDescent="0.35">
      <c r="A11" s="118" t="s">
        <v>8</v>
      </c>
      <c r="B11" s="119" t="s">
        <v>60</v>
      </c>
      <c r="C11" s="120">
        <v>0.47</v>
      </c>
      <c r="D11" s="120" t="s">
        <v>161</v>
      </c>
      <c r="E11" s="120">
        <v>1.56</v>
      </c>
      <c r="F11" s="121" t="s">
        <v>274</v>
      </c>
      <c r="G11" s="122">
        <v>0.43</v>
      </c>
      <c r="H11" s="120" t="s">
        <v>278</v>
      </c>
      <c r="I11" s="123">
        <v>0.25</v>
      </c>
      <c r="J11" s="76"/>
      <c r="K11" s="76"/>
      <c r="L11" s="76"/>
      <c r="M11" s="76"/>
      <c r="N11" s="76"/>
      <c r="O11" s="293"/>
      <c r="P11" s="124">
        <v>0.1</v>
      </c>
    </row>
    <row r="12" spans="1:16" x14ac:dyDescent="0.3">
      <c r="A12" s="118" t="s">
        <v>9</v>
      </c>
      <c r="B12" s="119" t="s">
        <v>61</v>
      </c>
      <c r="C12" s="120">
        <v>0.67</v>
      </c>
      <c r="D12" s="120" t="s">
        <v>161</v>
      </c>
      <c r="E12" s="120">
        <v>1.56</v>
      </c>
      <c r="F12" s="121" t="s">
        <v>274</v>
      </c>
      <c r="G12" s="122">
        <v>0.43</v>
      </c>
      <c r="H12" s="120" t="s">
        <v>152</v>
      </c>
      <c r="I12" s="123">
        <v>0.25</v>
      </c>
      <c r="J12" s="76"/>
      <c r="K12" s="76"/>
      <c r="L12" s="76"/>
      <c r="M12" s="76"/>
      <c r="N12" s="76"/>
    </row>
    <row r="13" spans="1:16" x14ac:dyDescent="0.3">
      <c r="A13" s="118" t="s">
        <v>10</v>
      </c>
      <c r="B13" s="119" t="s">
        <v>62</v>
      </c>
      <c r="C13" s="120">
        <v>0.7</v>
      </c>
      <c r="D13" s="120" t="s">
        <v>161</v>
      </c>
      <c r="E13" s="120">
        <v>1.56</v>
      </c>
      <c r="F13" s="121" t="s">
        <v>274</v>
      </c>
      <c r="G13" s="122">
        <v>0.43</v>
      </c>
      <c r="H13" s="120" t="s">
        <v>152</v>
      </c>
      <c r="I13" s="123">
        <v>0.25</v>
      </c>
      <c r="J13" s="76"/>
      <c r="K13" s="76"/>
      <c r="L13" s="76"/>
      <c r="M13" s="76"/>
      <c r="N13" s="76"/>
    </row>
    <row r="14" spans="1:16" x14ac:dyDescent="0.3">
      <c r="A14" s="118" t="s">
        <v>11</v>
      </c>
      <c r="B14" s="119" t="s">
        <v>63</v>
      </c>
      <c r="C14" s="120">
        <v>0.54</v>
      </c>
      <c r="D14" s="120" t="s">
        <v>161</v>
      </c>
      <c r="E14" s="120">
        <v>1.56</v>
      </c>
      <c r="F14" s="121" t="s">
        <v>274</v>
      </c>
      <c r="G14" s="122">
        <v>0.43</v>
      </c>
      <c r="H14" s="120" t="s">
        <v>152</v>
      </c>
      <c r="I14" s="123">
        <v>0.25</v>
      </c>
      <c r="J14" s="76"/>
      <c r="K14" s="76"/>
      <c r="L14" s="76"/>
      <c r="M14" s="76"/>
      <c r="N14" s="76"/>
    </row>
    <row r="15" spans="1:16" x14ac:dyDescent="0.3">
      <c r="A15" s="118" t="s">
        <v>12</v>
      </c>
      <c r="B15" s="119" t="s">
        <v>64</v>
      </c>
      <c r="C15" s="120">
        <v>0.65</v>
      </c>
      <c r="D15" s="120" t="s">
        <v>161</v>
      </c>
      <c r="E15" s="120">
        <v>1.56</v>
      </c>
      <c r="F15" s="121" t="s">
        <v>274</v>
      </c>
      <c r="G15" s="122">
        <v>0.43</v>
      </c>
      <c r="H15" s="120" t="s">
        <v>152</v>
      </c>
      <c r="I15" s="123">
        <v>0.25</v>
      </c>
      <c r="J15" s="76"/>
      <c r="K15" s="76"/>
      <c r="L15" s="76"/>
      <c r="M15" s="76"/>
      <c r="N15" s="76"/>
    </row>
    <row r="16" spans="1:16" x14ac:dyDescent="0.3">
      <c r="A16" s="118" t="s">
        <v>13</v>
      </c>
      <c r="B16" s="119" t="s">
        <v>65</v>
      </c>
      <c r="C16" s="120">
        <v>0.56000000000000005</v>
      </c>
      <c r="D16" s="120" t="s">
        <v>161</v>
      </c>
      <c r="E16" s="120">
        <v>1.56</v>
      </c>
      <c r="F16" s="121" t="s">
        <v>274</v>
      </c>
      <c r="G16" s="122">
        <v>0.43</v>
      </c>
      <c r="H16" s="120" t="s">
        <v>152</v>
      </c>
      <c r="I16" s="123">
        <v>0.25</v>
      </c>
      <c r="J16" s="76"/>
      <c r="K16" s="76"/>
      <c r="L16" s="76"/>
      <c r="M16" s="76"/>
      <c r="N16" s="76"/>
    </row>
    <row r="17" spans="1:14" x14ac:dyDescent="0.3">
      <c r="A17" s="118" t="s">
        <v>14</v>
      </c>
      <c r="B17" s="119" t="s">
        <v>66</v>
      </c>
      <c r="C17" s="120">
        <v>0.57999999999999996</v>
      </c>
      <c r="D17" s="120" t="s">
        <v>161</v>
      </c>
      <c r="E17" s="120">
        <v>1.56</v>
      </c>
      <c r="F17" s="121" t="s">
        <v>274</v>
      </c>
      <c r="G17" s="122">
        <v>0.43</v>
      </c>
      <c r="H17" s="120" t="s">
        <v>152</v>
      </c>
      <c r="I17" s="123">
        <v>0.25</v>
      </c>
      <c r="J17" s="76"/>
      <c r="K17" s="76"/>
      <c r="L17" s="76"/>
      <c r="M17" s="76"/>
      <c r="N17" s="76"/>
    </row>
    <row r="18" spans="1:14" x14ac:dyDescent="0.3">
      <c r="A18" s="118" t="s">
        <v>15</v>
      </c>
      <c r="B18" s="119" t="s">
        <v>67</v>
      </c>
      <c r="C18" s="120">
        <v>0.64</v>
      </c>
      <c r="D18" s="120" t="s">
        <v>161</v>
      </c>
      <c r="E18" s="120">
        <v>1.56</v>
      </c>
      <c r="F18" s="121" t="s">
        <v>274</v>
      </c>
      <c r="G18" s="122">
        <v>0.43</v>
      </c>
      <c r="H18" s="120" t="s">
        <v>152</v>
      </c>
      <c r="I18" s="123">
        <v>0.25</v>
      </c>
      <c r="J18" s="76"/>
      <c r="K18" s="76"/>
      <c r="L18" s="76"/>
      <c r="M18" s="76"/>
      <c r="N18" s="76"/>
    </row>
    <row r="19" spans="1:14" x14ac:dyDescent="0.3">
      <c r="A19" s="118" t="s">
        <v>16</v>
      </c>
      <c r="B19" s="119" t="s">
        <v>68</v>
      </c>
      <c r="C19" s="120">
        <v>0.73</v>
      </c>
      <c r="D19" s="120" t="s">
        <v>161</v>
      </c>
      <c r="E19" s="120">
        <v>1.56</v>
      </c>
      <c r="F19" s="121" t="s">
        <v>274</v>
      </c>
      <c r="G19" s="122">
        <v>0.43</v>
      </c>
      <c r="H19" s="120" t="s">
        <v>152</v>
      </c>
      <c r="I19" s="123">
        <v>0.25</v>
      </c>
      <c r="J19" s="76"/>
      <c r="K19" s="76"/>
      <c r="L19" s="76"/>
      <c r="M19" s="76"/>
      <c r="N19" s="76"/>
    </row>
    <row r="20" spans="1:14" x14ac:dyDescent="0.3">
      <c r="A20" s="118" t="s">
        <v>52</v>
      </c>
      <c r="B20" s="119" t="s">
        <v>69</v>
      </c>
      <c r="C20" s="120">
        <v>0.69</v>
      </c>
      <c r="D20" s="120" t="s">
        <v>131</v>
      </c>
      <c r="E20" s="120">
        <v>1.56</v>
      </c>
      <c r="F20" s="121" t="s">
        <v>274</v>
      </c>
      <c r="G20" s="122">
        <v>0.43</v>
      </c>
      <c r="H20" s="120" t="s">
        <v>282</v>
      </c>
      <c r="I20" s="123">
        <v>0.25</v>
      </c>
      <c r="J20" s="76"/>
      <c r="K20" s="76"/>
      <c r="L20" s="76"/>
      <c r="M20" s="76"/>
      <c r="N20" s="76"/>
    </row>
    <row r="21" spans="1:14" x14ac:dyDescent="0.3">
      <c r="A21" s="118" t="s">
        <v>154</v>
      </c>
      <c r="B21" s="119" t="s">
        <v>155</v>
      </c>
      <c r="C21" s="120">
        <v>0.36</v>
      </c>
      <c r="D21" s="120" t="s">
        <v>161</v>
      </c>
      <c r="E21" s="120">
        <v>1.3</v>
      </c>
      <c r="F21" s="121" t="s">
        <v>274</v>
      </c>
      <c r="G21" s="122">
        <v>0.55000000000000004</v>
      </c>
      <c r="H21" s="120" t="s">
        <v>153</v>
      </c>
      <c r="I21" s="123">
        <v>0.43</v>
      </c>
      <c r="J21" s="76"/>
      <c r="K21" s="76"/>
      <c r="L21" s="76"/>
      <c r="M21" s="76"/>
      <c r="N21" s="76"/>
    </row>
    <row r="22" spans="1:14" x14ac:dyDescent="0.3">
      <c r="A22" s="118" t="s">
        <v>17</v>
      </c>
      <c r="B22" s="119" t="s">
        <v>70</v>
      </c>
      <c r="C22" s="120">
        <v>0.4</v>
      </c>
      <c r="D22" s="120" t="s">
        <v>161</v>
      </c>
      <c r="E22" s="120">
        <v>1.3</v>
      </c>
      <c r="F22" s="121" t="s">
        <v>274</v>
      </c>
      <c r="G22" s="122">
        <v>0.55000000000000004</v>
      </c>
      <c r="H22" s="120" t="s">
        <v>153</v>
      </c>
      <c r="I22" s="123">
        <v>0.43</v>
      </c>
      <c r="J22" s="76"/>
      <c r="K22" s="76"/>
      <c r="L22" s="76"/>
      <c r="M22" s="76"/>
      <c r="N22" s="76"/>
    </row>
    <row r="23" spans="1:14" x14ac:dyDescent="0.3">
      <c r="A23" s="118" t="s">
        <v>18</v>
      </c>
      <c r="B23" s="119" t="s">
        <v>71</v>
      </c>
      <c r="C23" s="120">
        <v>0.43</v>
      </c>
      <c r="D23" s="120" t="s">
        <v>161</v>
      </c>
      <c r="E23" s="120">
        <v>1.3</v>
      </c>
      <c r="F23" s="121" t="s">
        <v>274</v>
      </c>
      <c r="G23" s="122">
        <v>0.55000000000000004</v>
      </c>
      <c r="H23" s="120" t="s">
        <v>153</v>
      </c>
      <c r="I23" s="123">
        <v>0.43</v>
      </c>
      <c r="J23" s="76"/>
      <c r="K23" s="76"/>
      <c r="L23" s="76"/>
      <c r="M23" s="76"/>
      <c r="N23" s="76"/>
    </row>
    <row r="24" spans="1:14" x14ac:dyDescent="0.3">
      <c r="A24" s="118" t="s">
        <v>19</v>
      </c>
      <c r="B24" s="119" t="s">
        <v>72</v>
      </c>
      <c r="C24" s="120">
        <v>0.37</v>
      </c>
      <c r="D24" s="120" t="s">
        <v>161</v>
      </c>
      <c r="E24" s="120">
        <v>1.3</v>
      </c>
      <c r="F24" s="121" t="s">
        <v>274</v>
      </c>
      <c r="G24" s="122">
        <v>0.55000000000000004</v>
      </c>
      <c r="H24" s="120" t="s">
        <v>152</v>
      </c>
      <c r="I24" s="123">
        <v>0.43</v>
      </c>
      <c r="J24" s="76"/>
      <c r="K24" s="76"/>
      <c r="L24" s="76"/>
      <c r="M24" s="76"/>
      <c r="N24" s="76"/>
    </row>
    <row r="25" spans="1:14" x14ac:dyDescent="0.3">
      <c r="A25" s="118" t="s">
        <v>20</v>
      </c>
      <c r="B25" s="119" t="s">
        <v>73</v>
      </c>
      <c r="C25" s="120">
        <v>0.36</v>
      </c>
      <c r="D25" s="120" t="s">
        <v>161</v>
      </c>
      <c r="E25" s="120">
        <v>1.3</v>
      </c>
      <c r="F25" s="121" t="s">
        <v>274</v>
      </c>
      <c r="G25" s="122">
        <v>0.55000000000000004</v>
      </c>
      <c r="H25" s="120" t="s">
        <v>152</v>
      </c>
      <c r="I25" s="123">
        <v>0.43</v>
      </c>
      <c r="J25" s="76"/>
      <c r="K25" s="76"/>
      <c r="L25" s="76"/>
      <c r="M25" s="76"/>
      <c r="N25" s="76"/>
    </row>
    <row r="26" spans="1:14" x14ac:dyDescent="0.3">
      <c r="A26" s="118" t="s">
        <v>21</v>
      </c>
      <c r="B26" s="119" t="s">
        <v>74</v>
      </c>
      <c r="C26" s="120">
        <v>0.56000000000000005</v>
      </c>
      <c r="D26" s="120" t="s">
        <v>161</v>
      </c>
      <c r="E26" s="120">
        <v>1.56</v>
      </c>
      <c r="F26" s="121" t="s">
        <v>274</v>
      </c>
      <c r="G26" s="122">
        <v>0.53</v>
      </c>
      <c r="H26" s="120" t="s">
        <v>275</v>
      </c>
      <c r="I26" s="123">
        <v>0.25</v>
      </c>
      <c r="J26" s="76"/>
      <c r="K26" s="76"/>
      <c r="L26" s="76"/>
      <c r="M26" s="76"/>
      <c r="N26" s="76"/>
    </row>
    <row r="27" spans="1:14" x14ac:dyDescent="0.3">
      <c r="A27" s="118" t="s">
        <v>22</v>
      </c>
      <c r="B27" s="119" t="s">
        <v>75</v>
      </c>
      <c r="C27" s="120">
        <v>0.51</v>
      </c>
      <c r="D27" s="120" t="s">
        <v>161</v>
      </c>
      <c r="E27" s="120">
        <v>1.56</v>
      </c>
      <c r="F27" s="121" t="s">
        <v>274</v>
      </c>
      <c r="G27" s="122">
        <v>0.53</v>
      </c>
      <c r="H27" s="120" t="s">
        <v>275</v>
      </c>
      <c r="I27" s="123">
        <v>0.25</v>
      </c>
      <c r="J27" s="76"/>
      <c r="K27" s="76"/>
      <c r="L27" s="76"/>
      <c r="M27" s="76"/>
      <c r="N27" s="76"/>
    </row>
    <row r="28" spans="1:14" x14ac:dyDescent="0.3">
      <c r="A28" s="118" t="s">
        <v>23</v>
      </c>
      <c r="B28" s="119" t="s">
        <v>76</v>
      </c>
      <c r="C28" s="120">
        <v>0.51</v>
      </c>
      <c r="D28" s="120" t="s">
        <v>161</v>
      </c>
      <c r="E28" s="120">
        <v>1.56</v>
      </c>
      <c r="F28" s="121" t="s">
        <v>274</v>
      </c>
      <c r="G28" s="122">
        <v>0.53</v>
      </c>
      <c r="H28" s="120" t="s">
        <v>275</v>
      </c>
      <c r="I28" s="123">
        <v>0.25</v>
      </c>
      <c r="J28" s="76"/>
      <c r="K28" s="76"/>
      <c r="L28" s="76"/>
      <c r="M28" s="76"/>
      <c r="N28" s="76"/>
    </row>
    <row r="29" spans="1:14" x14ac:dyDescent="0.3">
      <c r="A29" s="118" t="s">
        <v>24</v>
      </c>
      <c r="B29" s="119" t="s">
        <v>24</v>
      </c>
      <c r="C29" s="120">
        <v>0.56000000000000005</v>
      </c>
      <c r="D29" s="120" t="s">
        <v>161</v>
      </c>
      <c r="E29" s="120">
        <v>1.56</v>
      </c>
      <c r="F29" s="121" t="s">
        <v>274</v>
      </c>
      <c r="G29" s="122">
        <v>0.53</v>
      </c>
      <c r="H29" s="120" t="s">
        <v>275</v>
      </c>
      <c r="I29" s="123">
        <v>0.25</v>
      </c>
      <c r="J29" s="76"/>
      <c r="K29" s="76"/>
      <c r="L29" s="76"/>
      <c r="M29" s="76"/>
      <c r="N29" s="76"/>
    </row>
    <row r="30" spans="1:14" x14ac:dyDescent="0.3">
      <c r="A30" s="118" t="s">
        <v>25</v>
      </c>
      <c r="B30" s="119" t="s">
        <v>77</v>
      </c>
      <c r="C30" s="120">
        <v>0.55000000000000004</v>
      </c>
      <c r="D30" s="120" t="s">
        <v>161</v>
      </c>
      <c r="E30" s="120">
        <v>1.56</v>
      </c>
      <c r="F30" s="121" t="s">
        <v>274</v>
      </c>
      <c r="G30" s="122">
        <v>0.53</v>
      </c>
      <c r="H30" s="120" t="s">
        <v>152</v>
      </c>
      <c r="I30" s="123">
        <v>0.25</v>
      </c>
      <c r="J30" s="76"/>
      <c r="K30" s="76"/>
      <c r="L30" s="76"/>
      <c r="M30" s="76"/>
      <c r="N30" s="76"/>
    </row>
    <row r="31" spans="1:14" x14ac:dyDescent="0.3">
      <c r="A31" s="118" t="s">
        <v>26</v>
      </c>
      <c r="B31" s="119" t="s">
        <v>78</v>
      </c>
      <c r="C31" s="120">
        <v>0.56000000000000005</v>
      </c>
      <c r="D31" s="120" t="s">
        <v>161</v>
      </c>
      <c r="E31" s="120">
        <v>1.56</v>
      </c>
      <c r="F31" s="121" t="s">
        <v>274</v>
      </c>
      <c r="G31" s="122">
        <v>0.43</v>
      </c>
      <c r="H31" s="120" t="s">
        <v>278</v>
      </c>
      <c r="I31" s="123">
        <v>0.25</v>
      </c>
      <c r="J31" s="76"/>
      <c r="K31" s="76"/>
      <c r="L31" s="76"/>
      <c r="M31" s="76"/>
      <c r="N31" s="76"/>
    </row>
    <row r="32" spans="1:14" x14ac:dyDescent="0.3">
      <c r="A32" s="118" t="s">
        <v>27</v>
      </c>
      <c r="B32" s="119" t="s">
        <v>79</v>
      </c>
      <c r="C32" s="120">
        <v>0.48</v>
      </c>
      <c r="D32" s="120" t="s">
        <v>161</v>
      </c>
      <c r="E32" s="120">
        <v>1.3</v>
      </c>
      <c r="F32" s="121" t="s">
        <v>274</v>
      </c>
      <c r="G32" s="122">
        <v>0.6</v>
      </c>
      <c r="H32" s="120" t="s">
        <v>281</v>
      </c>
      <c r="I32" s="123">
        <v>0.43</v>
      </c>
      <c r="J32" s="76"/>
      <c r="K32" s="76"/>
      <c r="L32" s="76"/>
      <c r="M32" s="76"/>
      <c r="N32" s="76"/>
    </row>
    <row r="33" spans="1:14" x14ac:dyDescent="0.3">
      <c r="A33" s="118" t="s">
        <v>28</v>
      </c>
      <c r="B33" s="119" t="s">
        <v>80</v>
      </c>
      <c r="C33" s="120">
        <v>0.42</v>
      </c>
      <c r="D33" s="120" t="s">
        <v>161</v>
      </c>
      <c r="E33" s="120">
        <v>1.3</v>
      </c>
      <c r="F33" s="121" t="s">
        <v>274</v>
      </c>
      <c r="G33" s="122">
        <v>0.6</v>
      </c>
      <c r="H33" s="120" t="s">
        <v>281</v>
      </c>
      <c r="I33" s="123">
        <v>0.43</v>
      </c>
      <c r="J33" s="76"/>
      <c r="K33" s="76"/>
      <c r="L33" s="76"/>
      <c r="M33" s="76"/>
      <c r="N33" s="76"/>
    </row>
    <row r="34" spans="1:14" x14ac:dyDescent="0.3">
      <c r="A34" s="118" t="s">
        <v>81</v>
      </c>
      <c r="B34" s="119" t="s">
        <v>163</v>
      </c>
      <c r="C34" s="120">
        <v>0.42</v>
      </c>
      <c r="D34" s="120" t="s">
        <v>103</v>
      </c>
      <c r="E34" s="120">
        <v>1.3</v>
      </c>
      <c r="F34" s="121" t="s">
        <v>274</v>
      </c>
      <c r="G34" s="122">
        <v>0.6</v>
      </c>
      <c r="H34" s="119" t="s">
        <v>280</v>
      </c>
      <c r="I34" s="123">
        <v>0.43</v>
      </c>
      <c r="J34" s="76"/>
      <c r="K34" s="76"/>
      <c r="L34" s="76"/>
      <c r="M34" s="76"/>
      <c r="N34" s="76"/>
    </row>
    <row r="35" spans="1:14" x14ac:dyDescent="0.3">
      <c r="A35" s="118" t="s">
        <v>29</v>
      </c>
      <c r="B35" s="119" t="s">
        <v>82</v>
      </c>
      <c r="C35" s="120">
        <v>0.5</v>
      </c>
      <c r="D35" s="120" t="s">
        <v>161</v>
      </c>
      <c r="E35" s="120">
        <v>1.56</v>
      </c>
      <c r="F35" s="121" t="s">
        <v>274</v>
      </c>
      <c r="G35" s="122">
        <v>0.43</v>
      </c>
      <c r="H35" s="120" t="s">
        <v>278</v>
      </c>
      <c r="I35" s="123">
        <v>0.25</v>
      </c>
      <c r="J35" s="76"/>
      <c r="K35" s="76"/>
      <c r="L35" s="76"/>
      <c r="M35" s="76"/>
      <c r="N35" s="76"/>
    </row>
    <row r="36" spans="1:14" x14ac:dyDescent="0.3">
      <c r="A36" s="118" t="s">
        <v>102</v>
      </c>
      <c r="B36" s="119" t="s">
        <v>101</v>
      </c>
      <c r="C36" s="120">
        <v>0.55000000000000004</v>
      </c>
      <c r="D36" s="120" t="s">
        <v>161</v>
      </c>
      <c r="E36" s="120">
        <v>1.56</v>
      </c>
      <c r="F36" s="121" t="s">
        <v>274</v>
      </c>
      <c r="G36" s="122">
        <v>0.53</v>
      </c>
      <c r="H36" s="120" t="s">
        <v>275</v>
      </c>
      <c r="I36" s="123">
        <v>0.25</v>
      </c>
      <c r="J36" s="76"/>
      <c r="K36" s="76"/>
      <c r="L36" s="76"/>
      <c r="M36" s="76"/>
      <c r="N36" s="76"/>
    </row>
    <row r="37" spans="1:14" x14ac:dyDescent="0.3">
      <c r="A37" s="118" t="s">
        <v>30</v>
      </c>
      <c r="B37" s="119" t="s">
        <v>104</v>
      </c>
      <c r="C37" s="120">
        <v>0.52</v>
      </c>
      <c r="D37" s="120" t="s">
        <v>161</v>
      </c>
      <c r="E37" s="120">
        <v>1.56</v>
      </c>
      <c r="F37" s="121" t="s">
        <v>274</v>
      </c>
      <c r="G37" s="122">
        <v>0.53</v>
      </c>
      <c r="H37" s="120" t="s">
        <v>275</v>
      </c>
      <c r="I37" s="123">
        <v>0.25</v>
      </c>
      <c r="J37" s="76"/>
      <c r="K37" s="76"/>
      <c r="L37" s="76"/>
      <c r="M37" s="76"/>
      <c r="N37" s="76"/>
    </row>
    <row r="38" spans="1:14" x14ac:dyDescent="0.3">
      <c r="A38" s="118" t="s">
        <v>31</v>
      </c>
      <c r="B38" s="119" t="s">
        <v>105</v>
      </c>
      <c r="C38" s="120">
        <v>0.52</v>
      </c>
      <c r="D38" s="120" t="s">
        <v>161</v>
      </c>
      <c r="E38" s="120">
        <v>1.56</v>
      </c>
      <c r="F38" s="121" t="s">
        <v>274</v>
      </c>
      <c r="G38" s="122">
        <v>0.43</v>
      </c>
      <c r="H38" s="120" t="s">
        <v>278</v>
      </c>
      <c r="I38" s="123">
        <v>0.25</v>
      </c>
      <c r="J38" s="76"/>
      <c r="K38" s="76"/>
      <c r="L38" s="76"/>
      <c r="M38" s="76"/>
      <c r="N38" s="76"/>
    </row>
    <row r="39" spans="1:14" x14ac:dyDescent="0.3">
      <c r="A39" s="118" t="s">
        <v>107</v>
      </c>
      <c r="B39" s="119" t="s">
        <v>132</v>
      </c>
      <c r="C39" s="120">
        <v>0.313</v>
      </c>
      <c r="D39" s="120" t="s">
        <v>130</v>
      </c>
      <c r="E39" s="120">
        <v>1.56</v>
      </c>
      <c r="F39" s="121" t="s">
        <v>274</v>
      </c>
      <c r="G39" s="122">
        <v>0.6</v>
      </c>
      <c r="H39" s="120" t="s">
        <v>283</v>
      </c>
      <c r="I39" s="123">
        <v>1.03</v>
      </c>
      <c r="J39" s="76"/>
      <c r="K39" s="76"/>
      <c r="L39" s="76"/>
      <c r="M39" s="76"/>
      <c r="N39" s="76"/>
    </row>
    <row r="40" spans="1:14" x14ac:dyDescent="0.3">
      <c r="A40" s="118" t="s">
        <v>108</v>
      </c>
      <c r="B40" s="119" t="s">
        <v>132</v>
      </c>
      <c r="C40" s="120">
        <v>0.35199999999999998</v>
      </c>
      <c r="D40" s="120" t="s">
        <v>130</v>
      </c>
      <c r="E40" s="120">
        <v>1.56</v>
      </c>
      <c r="F40" s="121" t="s">
        <v>274</v>
      </c>
      <c r="G40" s="122">
        <v>0.6</v>
      </c>
      <c r="H40" s="120" t="s">
        <v>283</v>
      </c>
      <c r="I40" s="123">
        <v>1.03</v>
      </c>
      <c r="J40" s="76"/>
      <c r="K40" s="76"/>
      <c r="L40" s="76"/>
      <c r="M40" s="76"/>
      <c r="N40" s="76"/>
    </row>
    <row r="41" spans="1:14" x14ac:dyDescent="0.3">
      <c r="A41" s="118" t="s">
        <v>121</v>
      </c>
      <c r="B41" s="119" t="s">
        <v>132</v>
      </c>
      <c r="C41" s="120">
        <v>0.32200000000000001</v>
      </c>
      <c r="D41" s="120" t="s">
        <v>130</v>
      </c>
      <c r="E41" s="120">
        <v>1.56</v>
      </c>
      <c r="F41" s="121" t="s">
        <v>274</v>
      </c>
      <c r="G41" s="122">
        <v>0.6</v>
      </c>
      <c r="H41" s="120" t="s">
        <v>283</v>
      </c>
      <c r="I41" s="123">
        <v>1.03</v>
      </c>
      <c r="J41" s="76"/>
      <c r="K41" s="76"/>
      <c r="L41" s="76"/>
      <c r="M41" s="76"/>
      <c r="N41" s="76"/>
    </row>
    <row r="42" spans="1:14" x14ac:dyDescent="0.3">
      <c r="A42" s="118" t="s">
        <v>122</v>
      </c>
      <c r="B42" s="119" t="s">
        <v>132</v>
      </c>
      <c r="C42" s="120">
        <v>0.311</v>
      </c>
      <c r="D42" s="120" t="s">
        <v>130</v>
      </c>
      <c r="E42" s="120">
        <v>1.56</v>
      </c>
      <c r="F42" s="121" t="s">
        <v>274</v>
      </c>
      <c r="G42" s="122">
        <v>0.6</v>
      </c>
      <c r="H42" s="120" t="s">
        <v>283</v>
      </c>
      <c r="I42" s="123">
        <v>1.03</v>
      </c>
      <c r="J42" s="76"/>
      <c r="K42" s="76"/>
      <c r="L42" s="76"/>
      <c r="M42" s="76"/>
      <c r="N42" s="76"/>
    </row>
    <row r="43" spans="1:14" x14ac:dyDescent="0.3">
      <c r="A43" s="118" t="s">
        <v>109</v>
      </c>
      <c r="B43" s="119" t="s">
        <v>132</v>
      </c>
      <c r="C43" s="120">
        <v>0.33900000000000002</v>
      </c>
      <c r="D43" s="120" t="s">
        <v>130</v>
      </c>
      <c r="E43" s="120">
        <v>1.56</v>
      </c>
      <c r="F43" s="121" t="s">
        <v>274</v>
      </c>
      <c r="G43" s="122">
        <v>0.6</v>
      </c>
      <c r="H43" s="120" t="s">
        <v>283</v>
      </c>
      <c r="I43" s="123">
        <v>1.03</v>
      </c>
      <c r="J43" s="76"/>
      <c r="K43" s="76"/>
      <c r="L43" s="76"/>
      <c r="M43" s="76"/>
      <c r="N43" s="76"/>
    </row>
    <row r="44" spans="1:14" x14ac:dyDescent="0.3">
      <c r="A44" s="118" t="s">
        <v>123</v>
      </c>
      <c r="B44" s="119" t="s">
        <v>132</v>
      </c>
      <c r="C44" s="120">
        <v>0.33600000000000002</v>
      </c>
      <c r="D44" s="120" t="s">
        <v>130</v>
      </c>
      <c r="E44" s="120">
        <v>1.56</v>
      </c>
      <c r="F44" s="121" t="s">
        <v>274</v>
      </c>
      <c r="G44" s="122">
        <v>0.6</v>
      </c>
      <c r="H44" s="120" t="s">
        <v>283</v>
      </c>
      <c r="I44" s="123">
        <v>1.03</v>
      </c>
      <c r="J44" s="76"/>
      <c r="K44" s="76"/>
      <c r="L44" s="76"/>
      <c r="M44" s="76"/>
      <c r="N44" s="76"/>
    </row>
    <row r="45" spans="1:14" x14ac:dyDescent="0.3">
      <c r="A45" s="118" t="s">
        <v>110</v>
      </c>
      <c r="B45" s="119" t="s">
        <v>132</v>
      </c>
      <c r="C45" s="120">
        <v>0.32900000000000001</v>
      </c>
      <c r="D45" s="120" t="s">
        <v>130</v>
      </c>
      <c r="E45" s="120">
        <v>1.56</v>
      </c>
      <c r="F45" s="121" t="s">
        <v>274</v>
      </c>
      <c r="G45" s="122">
        <v>0.6</v>
      </c>
      <c r="H45" s="120" t="s">
        <v>283</v>
      </c>
      <c r="I45" s="123">
        <v>1.03</v>
      </c>
      <c r="J45" s="76"/>
      <c r="K45" s="76"/>
      <c r="L45" s="76"/>
      <c r="M45" s="76"/>
      <c r="N45" s="76"/>
    </row>
    <row r="46" spans="1:14" x14ac:dyDescent="0.3">
      <c r="A46" s="118" t="s">
        <v>124</v>
      </c>
      <c r="B46" s="119" t="s">
        <v>132</v>
      </c>
      <c r="C46" s="120">
        <v>0.34300000000000003</v>
      </c>
      <c r="D46" s="120" t="s">
        <v>130</v>
      </c>
      <c r="E46" s="120">
        <v>1.56</v>
      </c>
      <c r="F46" s="121" t="s">
        <v>274</v>
      </c>
      <c r="G46" s="122">
        <v>0.6</v>
      </c>
      <c r="H46" s="120" t="s">
        <v>283</v>
      </c>
      <c r="I46" s="123">
        <v>1.03</v>
      </c>
      <c r="J46" s="76"/>
      <c r="K46" s="76"/>
      <c r="L46" s="76"/>
      <c r="M46" s="76"/>
      <c r="N46" s="76"/>
    </row>
    <row r="47" spans="1:14" x14ac:dyDescent="0.3">
      <c r="A47" s="118" t="s">
        <v>125</v>
      </c>
      <c r="B47" s="119" t="s">
        <v>132</v>
      </c>
      <c r="C47" s="120">
        <v>0.32500000000000001</v>
      </c>
      <c r="D47" s="120" t="s">
        <v>130</v>
      </c>
      <c r="E47" s="120">
        <v>1.56</v>
      </c>
      <c r="F47" s="121" t="s">
        <v>274</v>
      </c>
      <c r="G47" s="122">
        <v>0.6</v>
      </c>
      <c r="H47" s="120" t="s">
        <v>283</v>
      </c>
      <c r="I47" s="123">
        <v>1.03</v>
      </c>
      <c r="J47" s="76"/>
      <c r="K47" s="76"/>
      <c r="L47" s="76"/>
      <c r="M47" s="76"/>
      <c r="N47" s="76"/>
    </row>
    <row r="48" spans="1:14" x14ac:dyDescent="0.3">
      <c r="A48" s="118" t="s">
        <v>126</v>
      </c>
      <c r="B48" s="119" t="s">
        <v>132</v>
      </c>
      <c r="C48" s="120">
        <v>0.32</v>
      </c>
      <c r="D48" s="120" t="s">
        <v>130</v>
      </c>
      <c r="E48" s="120">
        <v>1.56</v>
      </c>
      <c r="F48" s="121" t="s">
        <v>274</v>
      </c>
      <c r="G48" s="122">
        <v>0.6</v>
      </c>
      <c r="H48" s="120" t="s">
        <v>283</v>
      </c>
      <c r="I48" s="123">
        <v>1.03</v>
      </c>
      <c r="J48" s="76"/>
      <c r="K48" s="76"/>
      <c r="L48" s="76"/>
      <c r="M48" s="76"/>
      <c r="N48" s="76"/>
    </row>
    <row r="49" spans="1:14" x14ac:dyDescent="0.3">
      <c r="A49" s="118" t="s">
        <v>111</v>
      </c>
      <c r="B49" s="119" t="s">
        <v>132</v>
      </c>
      <c r="C49" s="120">
        <v>0.28199999999999997</v>
      </c>
      <c r="D49" s="120" t="s">
        <v>130</v>
      </c>
      <c r="E49" s="120">
        <v>1.56</v>
      </c>
      <c r="F49" s="121" t="s">
        <v>274</v>
      </c>
      <c r="G49" s="122">
        <v>0.6</v>
      </c>
      <c r="H49" s="120" t="s">
        <v>283</v>
      </c>
      <c r="I49" s="123">
        <v>1.03</v>
      </c>
      <c r="J49" s="76"/>
      <c r="K49" s="76"/>
      <c r="L49" s="76"/>
      <c r="M49" s="76"/>
      <c r="N49" s="76"/>
    </row>
    <row r="50" spans="1:14" x14ac:dyDescent="0.3">
      <c r="A50" s="118" t="s">
        <v>127</v>
      </c>
      <c r="B50" s="119" t="s">
        <v>132</v>
      </c>
      <c r="C50" s="120">
        <v>0.32800000000000001</v>
      </c>
      <c r="D50" s="120" t="s">
        <v>130</v>
      </c>
      <c r="E50" s="120">
        <v>1.56</v>
      </c>
      <c r="F50" s="121" t="s">
        <v>274</v>
      </c>
      <c r="G50" s="122">
        <v>0.6</v>
      </c>
      <c r="H50" s="120" t="s">
        <v>283</v>
      </c>
      <c r="I50" s="123">
        <v>1.03</v>
      </c>
      <c r="J50" s="76"/>
      <c r="K50" s="76"/>
      <c r="L50" s="76"/>
      <c r="M50" s="76"/>
      <c r="N50" s="76"/>
    </row>
    <row r="51" spans="1:14" x14ac:dyDescent="0.3">
      <c r="A51" s="118" t="s">
        <v>112</v>
      </c>
      <c r="B51" s="119" t="s">
        <v>132</v>
      </c>
      <c r="C51" s="120">
        <v>0.32600000000000001</v>
      </c>
      <c r="D51" s="120" t="s">
        <v>130</v>
      </c>
      <c r="E51" s="120">
        <v>1.56</v>
      </c>
      <c r="F51" s="121" t="s">
        <v>274</v>
      </c>
      <c r="G51" s="122">
        <v>0.6</v>
      </c>
      <c r="H51" s="120" t="s">
        <v>283</v>
      </c>
      <c r="I51" s="123">
        <v>1.03</v>
      </c>
      <c r="J51" s="76"/>
      <c r="K51" s="76"/>
      <c r="L51" s="76"/>
      <c r="M51" s="76"/>
      <c r="N51" s="76"/>
    </row>
    <row r="52" spans="1:14" x14ac:dyDescent="0.3">
      <c r="A52" s="118" t="s">
        <v>113</v>
      </c>
      <c r="B52" s="119" t="s">
        <v>132</v>
      </c>
      <c r="C52" s="120">
        <v>0.35899999999999999</v>
      </c>
      <c r="D52" s="120" t="s">
        <v>130</v>
      </c>
      <c r="E52" s="120">
        <v>1.56</v>
      </c>
      <c r="F52" s="121" t="s">
        <v>274</v>
      </c>
      <c r="G52" s="122">
        <v>0.6</v>
      </c>
      <c r="H52" s="120" t="s">
        <v>283</v>
      </c>
      <c r="I52" s="123">
        <v>1.03</v>
      </c>
      <c r="J52" s="76"/>
      <c r="K52" s="76"/>
      <c r="L52" s="76"/>
      <c r="M52" s="76"/>
      <c r="N52" s="76"/>
    </row>
    <row r="53" spans="1:14" x14ac:dyDescent="0.3">
      <c r="A53" s="118" t="s">
        <v>114</v>
      </c>
      <c r="B53" s="119" t="s">
        <v>132</v>
      </c>
      <c r="C53" s="120">
        <v>0.34599999999999997</v>
      </c>
      <c r="D53" s="120" t="s">
        <v>130</v>
      </c>
      <c r="E53" s="120">
        <v>1.56</v>
      </c>
      <c r="F53" s="121" t="s">
        <v>274</v>
      </c>
      <c r="G53" s="122">
        <v>0.6</v>
      </c>
      <c r="H53" s="120" t="s">
        <v>283</v>
      </c>
      <c r="I53" s="123">
        <v>1.03</v>
      </c>
      <c r="J53" s="76"/>
      <c r="K53" s="76"/>
      <c r="L53" s="76"/>
      <c r="M53" s="76"/>
      <c r="N53" s="76"/>
    </row>
    <row r="54" spans="1:14" x14ac:dyDescent="0.3">
      <c r="A54" s="118" t="s">
        <v>115</v>
      </c>
      <c r="B54" s="119" t="s">
        <v>132</v>
      </c>
      <c r="C54" s="120">
        <v>0.32600000000000001</v>
      </c>
      <c r="D54" s="120" t="s">
        <v>130</v>
      </c>
      <c r="E54" s="120">
        <v>1.56</v>
      </c>
      <c r="F54" s="121" t="s">
        <v>274</v>
      </c>
      <c r="G54" s="122">
        <v>0.6</v>
      </c>
      <c r="H54" s="120" t="s">
        <v>283</v>
      </c>
      <c r="I54" s="123">
        <v>1.03</v>
      </c>
      <c r="J54" s="76"/>
      <c r="K54" s="76"/>
      <c r="L54" s="76"/>
      <c r="M54" s="76"/>
      <c r="N54" s="76"/>
    </row>
    <row r="55" spans="1:14" x14ac:dyDescent="0.3">
      <c r="A55" s="118" t="s">
        <v>116</v>
      </c>
      <c r="B55" s="119" t="s">
        <v>132</v>
      </c>
      <c r="C55" s="120">
        <v>0.30499999999999999</v>
      </c>
      <c r="D55" s="120" t="s">
        <v>130</v>
      </c>
      <c r="E55" s="120">
        <v>1.56</v>
      </c>
      <c r="F55" s="121" t="s">
        <v>274</v>
      </c>
      <c r="G55" s="122">
        <v>0.6</v>
      </c>
      <c r="H55" s="120" t="s">
        <v>283</v>
      </c>
      <c r="I55" s="123">
        <v>1.03</v>
      </c>
      <c r="J55" s="76"/>
      <c r="K55" s="76"/>
      <c r="L55" s="76"/>
      <c r="M55" s="76"/>
      <c r="N55" s="76"/>
    </row>
    <row r="56" spans="1:14" x14ac:dyDescent="0.3">
      <c r="A56" s="118" t="s">
        <v>128</v>
      </c>
      <c r="B56" s="119" t="s">
        <v>132</v>
      </c>
      <c r="C56" s="120">
        <v>0.32300000000000001</v>
      </c>
      <c r="D56" s="120" t="s">
        <v>130</v>
      </c>
      <c r="E56" s="120">
        <v>1.56</v>
      </c>
      <c r="F56" s="121" t="s">
        <v>274</v>
      </c>
      <c r="G56" s="122">
        <v>0.6</v>
      </c>
      <c r="H56" s="120" t="s">
        <v>283</v>
      </c>
      <c r="I56" s="123">
        <v>1.03</v>
      </c>
      <c r="J56" s="76"/>
      <c r="K56" s="76"/>
      <c r="L56" s="76"/>
      <c r="M56" s="76"/>
      <c r="N56" s="76"/>
    </row>
    <row r="57" spans="1:14" x14ac:dyDescent="0.3">
      <c r="A57" s="118" t="s">
        <v>129</v>
      </c>
      <c r="B57" s="119" t="s">
        <v>132</v>
      </c>
      <c r="C57" s="120">
        <v>0.36699999999999999</v>
      </c>
      <c r="D57" s="120" t="s">
        <v>130</v>
      </c>
      <c r="E57" s="120">
        <v>1.56</v>
      </c>
      <c r="F57" s="121" t="s">
        <v>274</v>
      </c>
      <c r="G57" s="122">
        <v>0.6</v>
      </c>
      <c r="H57" s="120" t="s">
        <v>283</v>
      </c>
      <c r="I57" s="123">
        <v>1.03</v>
      </c>
      <c r="J57" s="76"/>
      <c r="K57" s="76"/>
      <c r="L57" s="76"/>
      <c r="M57" s="76"/>
      <c r="N57" s="76"/>
    </row>
    <row r="58" spans="1:14" x14ac:dyDescent="0.3">
      <c r="A58" s="118" t="s">
        <v>117</v>
      </c>
      <c r="B58" s="119" t="s">
        <v>132</v>
      </c>
      <c r="C58" s="120">
        <v>0.36</v>
      </c>
      <c r="D58" s="120" t="s">
        <v>130</v>
      </c>
      <c r="E58" s="120">
        <v>1.56</v>
      </c>
      <c r="F58" s="121" t="s">
        <v>274</v>
      </c>
      <c r="G58" s="122">
        <v>0.6</v>
      </c>
      <c r="H58" s="120" t="s">
        <v>283</v>
      </c>
      <c r="I58" s="123">
        <v>1.03</v>
      </c>
      <c r="J58" s="76"/>
      <c r="K58" s="76"/>
      <c r="L58" s="76"/>
      <c r="M58" s="76"/>
      <c r="N58" s="76"/>
    </row>
    <row r="59" spans="1:14" x14ac:dyDescent="0.3">
      <c r="A59" s="118" t="s">
        <v>118</v>
      </c>
      <c r="B59" s="119" t="s">
        <v>132</v>
      </c>
      <c r="C59" s="120">
        <v>0.36799999999999999</v>
      </c>
      <c r="D59" s="120" t="s">
        <v>130</v>
      </c>
      <c r="E59" s="120">
        <v>1.56</v>
      </c>
      <c r="F59" s="121" t="s">
        <v>274</v>
      </c>
      <c r="G59" s="122">
        <v>0.6</v>
      </c>
      <c r="H59" s="120" t="s">
        <v>283</v>
      </c>
      <c r="I59" s="123">
        <v>1.03</v>
      </c>
      <c r="J59" s="76"/>
      <c r="K59" s="76"/>
      <c r="L59" s="76"/>
      <c r="M59" s="76"/>
      <c r="N59" s="76"/>
    </row>
    <row r="60" spans="1:14" x14ac:dyDescent="0.3">
      <c r="A60" s="118" t="s">
        <v>119</v>
      </c>
      <c r="B60" s="119" t="s">
        <v>132</v>
      </c>
      <c r="C60" s="120">
        <v>0.30599999999999999</v>
      </c>
      <c r="D60" s="120" t="s">
        <v>130</v>
      </c>
      <c r="E60" s="120">
        <v>1.56</v>
      </c>
      <c r="F60" s="121" t="s">
        <v>274</v>
      </c>
      <c r="G60" s="122">
        <v>0.6</v>
      </c>
      <c r="H60" s="120" t="s">
        <v>283</v>
      </c>
      <c r="I60" s="123">
        <v>1.03</v>
      </c>
      <c r="J60" s="76"/>
      <c r="K60" s="76"/>
      <c r="L60" s="76"/>
      <c r="M60" s="76"/>
      <c r="N60" s="76"/>
    </row>
    <row r="61" spans="1:14" x14ac:dyDescent="0.3">
      <c r="A61" s="118" t="s">
        <v>120</v>
      </c>
      <c r="B61" s="119" t="s">
        <v>132</v>
      </c>
      <c r="C61" s="120">
        <v>0.313</v>
      </c>
      <c r="D61" s="120" t="s">
        <v>130</v>
      </c>
      <c r="E61" s="120">
        <v>1.56</v>
      </c>
      <c r="F61" s="121" t="s">
        <v>274</v>
      </c>
      <c r="G61" s="122">
        <v>0.6</v>
      </c>
      <c r="H61" s="120" t="s">
        <v>283</v>
      </c>
      <c r="I61" s="123">
        <v>1.03</v>
      </c>
      <c r="J61" s="76"/>
      <c r="K61" s="76"/>
      <c r="L61" s="76"/>
      <c r="M61" s="76"/>
      <c r="N61" s="76"/>
    </row>
    <row r="62" spans="1:14" x14ac:dyDescent="0.3">
      <c r="A62" s="118" t="s">
        <v>32</v>
      </c>
      <c r="B62" s="119" t="s">
        <v>133</v>
      </c>
      <c r="C62" s="120">
        <v>0.37</v>
      </c>
      <c r="D62" s="120" t="s">
        <v>161</v>
      </c>
      <c r="E62" s="120">
        <v>1.56</v>
      </c>
      <c r="F62" s="121" t="s">
        <v>274</v>
      </c>
      <c r="G62" s="122">
        <v>0.6</v>
      </c>
      <c r="H62" s="120" t="s">
        <v>283</v>
      </c>
      <c r="I62" s="123">
        <v>1.03</v>
      </c>
      <c r="J62" s="76"/>
      <c r="K62" s="76"/>
      <c r="L62" s="76"/>
      <c r="M62" s="76"/>
      <c r="N62" s="76"/>
    </row>
    <row r="63" spans="1:14" x14ac:dyDescent="0.3">
      <c r="A63" s="118" t="s">
        <v>90</v>
      </c>
      <c r="B63" s="119" t="s">
        <v>83</v>
      </c>
      <c r="C63" s="120">
        <v>0.45</v>
      </c>
      <c r="D63" s="120" t="s">
        <v>161</v>
      </c>
      <c r="E63" s="120">
        <v>1.3</v>
      </c>
      <c r="F63" s="121" t="s">
        <v>274</v>
      </c>
      <c r="G63" s="122">
        <v>0.45</v>
      </c>
      <c r="H63" s="120" t="s">
        <v>276</v>
      </c>
      <c r="I63" s="123">
        <v>0.43</v>
      </c>
      <c r="J63" s="76"/>
      <c r="K63" s="76"/>
      <c r="L63" s="76"/>
      <c r="M63" s="76"/>
      <c r="N63" s="76"/>
    </row>
    <row r="64" spans="1:14" x14ac:dyDescent="0.3">
      <c r="A64" s="118" t="s">
        <v>33</v>
      </c>
      <c r="B64" s="119" t="s">
        <v>134</v>
      </c>
      <c r="C64" s="120">
        <v>0.39</v>
      </c>
      <c r="D64" s="120" t="s">
        <v>161</v>
      </c>
      <c r="E64" s="120">
        <v>1.3</v>
      </c>
      <c r="F64" s="121" t="s">
        <v>274</v>
      </c>
      <c r="G64" s="122">
        <v>0.45</v>
      </c>
      <c r="H64" s="120" t="s">
        <v>276</v>
      </c>
      <c r="I64" s="123">
        <v>0.43</v>
      </c>
      <c r="J64" s="76"/>
      <c r="K64" s="76"/>
      <c r="L64" s="76"/>
      <c r="M64" s="76"/>
      <c r="N64" s="76"/>
    </row>
    <row r="65" spans="1:14" x14ac:dyDescent="0.3">
      <c r="A65" s="118" t="s">
        <v>34</v>
      </c>
      <c r="B65" s="119" t="s">
        <v>135</v>
      </c>
      <c r="C65" s="120">
        <v>0.44</v>
      </c>
      <c r="D65" s="120" t="s">
        <v>161</v>
      </c>
      <c r="E65" s="120">
        <v>1.3</v>
      </c>
      <c r="F65" s="121" t="s">
        <v>274</v>
      </c>
      <c r="G65" s="122">
        <v>0.45</v>
      </c>
      <c r="H65" s="120" t="s">
        <v>276</v>
      </c>
      <c r="I65" s="123">
        <v>0.43</v>
      </c>
      <c r="J65" s="76"/>
      <c r="K65" s="76"/>
      <c r="L65" s="76"/>
      <c r="M65" s="76"/>
      <c r="N65" s="76"/>
    </row>
    <row r="66" spans="1:14" x14ac:dyDescent="0.3">
      <c r="A66" s="118" t="s">
        <v>35</v>
      </c>
      <c r="B66" s="119" t="s">
        <v>84</v>
      </c>
      <c r="C66" s="120">
        <v>0.46</v>
      </c>
      <c r="D66" s="120" t="s">
        <v>161</v>
      </c>
      <c r="E66" s="120">
        <v>1.3</v>
      </c>
      <c r="F66" s="121" t="s">
        <v>274</v>
      </c>
      <c r="G66" s="122">
        <v>0.45</v>
      </c>
      <c r="H66" s="120" t="s">
        <v>276</v>
      </c>
      <c r="I66" s="123">
        <v>0.43</v>
      </c>
      <c r="J66" s="76"/>
      <c r="K66" s="76"/>
      <c r="L66" s="76"/>
      <c r="M66" s="76"/>
      <c r="N66" s="76"/>
    </row>
    <row r="67" spans="1:14" x14ac:dyDescent="0.3">
      <c r="A67" s="118" t="s">
        <v>36</v>
      </c>
      <c r="B67" s="119" t="s">
        <v>85</v>
      </c>
      <c r="C67" s="120">
        <v>0.46</v>
      </c>
      <c r="D67" s="120" t="s">
        <v>161</v>
      </c>
      <c r="E67" s="120">
        <v>1.3</v>
      </c>
      <c r="F67" s="121" t="s">
        <v>274</v>
      </c>
      <c r="G67" s="122">
        <v>0.45</v>
      </c>
      <c r="H67" s="120" t="s">
        <v>152</v>
      </c>
      <c r="I67" s="123">
        <v>0.59</v>
      </c>
      <c r="J67" s="76"/>
      <c r="K67" s="76"/>
      <c r="L67" s="76"/>
      <c r="M67" s="76"/>
      <c r="N67" s="76"/>
    </row>
    <row r="68" spans="1:14" x14ac:dyDescent="0.3">
      <c r="A68" s="118" t="s">
        <v>37</v>
      </c>
      <c r="B68" s="119" t="s">
        <v>136</v>
      </c>
      <c r="C68" s="120">
        <v>0.44</v>
      </c>
      <c r="D68" s="120" t="s">
        <v>161</v>
      </c>
      <c r="E68" s="120">
        <v>1.3</v>
      </c>
      <c r="F68" s="121" t="s">
        <v>274</v>
      </c>
      <c r="G68" s="122">
        <v>0.45</v>
      </c>
      <c r="H68" s="120" t="s">
        <v>276</v>
      </c>
      <c r="I68" s="123">
        <v>0.43</v>
      </c>
      <c r="J68" s="76"/>
      <c r="K68" s="76"/>
      <c r="L68" s="76"/>
      <c r="M68" s="76"/>
      <c r="N68" s="76"/>
    </row>
    <row r="69" spans="1:14" x14ac:dyDescent="0.3">
      <c r="A69" s="118" t="s">
        <v>38</v>
      </c>
      <c r="B69" s="119" t="s">
        <v>86</v>
      </c>
      <c r="C69" s="120">
        <v>0.46</v>
      </c>
      <c r="D69" s="120" t="s">
        <v>161</v>
      </c>
      <c r="E69" s="120">
        <v>1.3</v>
      </c>
      <c r="F69" s="121" t="s">
        <v>274</v>
      </c>
      <c r="G69" s="122">
        <v>0.45</v>
      </c>
      <c r="H69" s="120" t="s">
        <v>276</v>
      </c>
      <c r="I69" s="123">
        <v>0.43</v>
      </c>
      <c r="J69" s="76"/>
      <c r="K69" s="76"/>
      <c r="L69" s="76"/>
      <c r="M69" s="76"/>
      <c r="N69" s="76"/>
    </row>
    <row r="70" spans="1:14" x14ac:dyDescent="0.3">
      <c r="A70" s="118" t="s">
        <v>39</v>
      </c>
      <c r="B70" s="119" t="s">
        <v>137</v>
      </c>
      <c r="C70" s="120">
        <v>0.48</v>
      </c>
      <c r="D70" s="120" t="s">
        <v>161</v>
      </c>
      <c r="E70" s="120">
        <v>2.4</v>
      </c>
      <c r="F70" s="120" t="s">
        <v>284</v>
      </c>
      <c r="G70" s="122">
        <v>0.45</v>
      </c>
      <c r="H70" s="120" t="s">
        <v>276</v>
      </c>
      <c r="I70" s="123">
        <v>0.43</v>
      </c>
      <c r="J70" s="76"/>
      <c r="K70" s="76"/>
      <c r="L70" s="76"/>
      <c r="M70" s="76"/>
      <c r="N70" s="76"/>
    </row>
    <row r="71" spans="1:14" x14ac:dyDescent="0.3">
      <c r="A71" s="118" t="s">
        <v>40</v>
      </c>
      <c r="B71" s="119" t="s">
        <v>87</v>
      </c>
      <c r="C71" s="120">
        <v>0.46</v>
      </c>
      <c r="D71" s="120" t="s">
        <v>150</v>
      </c>
      <c r="E71" s="120">
        <v>1.3</v>
      </c>
      <c r="F71" s="121" t="s">
        <v>274</v>
      </c>
      <c r="G71" s="122">
        <v>0.45</v>
      </c>
      <c r="H71" s="120" t="s">
        <v>276</v>
      </c>
      <c r="I71" s="123">
        <v>0.43</v>
      </c>
      <c r="J71" s="76"/>
      <c r="K71" s="76"/>
      <c r="L71" s="76"/>
      <c r="M71" s="76"/>
      <c r="N71" s="76"/>
    </row>
    <row r="72" spans="1:14" x14ac:dyDescent="0.3">
      <c r="A72" s="118" t="s">
        <v>41</v>
      </c>
      <c r="B72" s="119" t="s">
        <v>88</v>
      </c>
      <c r="C72" s="120">
        <v>0.44</v>
      </c>
      <c r="D72" s="120" t="s">
        <v>161</v>
      </c>
      <c r="E72" s="120">
        <v>1.3</v>
      </c>
      <c r="F72" s="121" t="s">
        <v>274</v>
      </c>
      <c r="G72" s="122">
        <v>0.45</v>
      </c>
      <c r="H72" s="120" t="s">
        <v>276</v>
      </c>
      <c r="I72" s="123">
        <v>0.43</v>
      </c>
      <c r="J72" s="76"/>
      <c r="K72" s="76"/>
      <c r="L72" s="76"/>
      <c r="M72" s="76"/>
      <c r="N72" s="76"/>
    </row>
    <row r="73" spans="1:14" x14ac:dyDescent="0.3">
      <c r="A73" s="118" t="s">
        <v>138</v>
      </c>
      <c r="B73" s="119" t="s">
        <v>140</v>
      </c>
      <c r="C73" s="120">
        <v>0.46</v>
      </c>
      <c r="D73" s="120" t="s">
        <v>151</v>
      </c>
      <c r="E73" s="120">
        <v>1.3</v>
      </c>
      <c r="F73" s="121" t="s">
        <v>274</v>
      </c>
      <c r="G73" s="122">
        <v>0.45</v>
      </c>
      <c r="H73" s="120" t="s">
        <v>276</v>
      </c>
      <c r="I73" s="123">
        <v>0.43</v>
      </c>
      <c r="J73" s="76"/>
      <c r="K73" s="76"/>
      <c r="L73" s="76"/>
      <c r="M73" s="76"/>
      <c r="N73" s="76"/>
    </row>
    <row r="74" spans="1:14" x14ac:dyDescent="0.3">
      <c r="A74" s="118" t="s">
        <v>42</v>
      </c>
      <c r="B74" s="119" t="s">
        <v>139</v>
      </c>
      <c r="C74" s="120">
        <v>0.34</v>
      </c>
      <c r="D74" s="120" t="s">
        <v>161</v>
      </c>
      <c r="E74" s="120">
        <v>1.3</v>
      </c>
      <c r="F74" s="121" t="s">
        <v>274</v>
      </c>
      <c r="G74" s="122">
        <v>0.45</v>
      </c>
      <c r="H74" s="120" t="s">
        <v>276</v>
      </c>
      <c r="I74" s="123">
        <v>0.43</v>
      </c>
      <c r="J74" s="76"/>
      <c r="K74" s="76"/>
      <c r="L74" s="76"/>
      <c r="M74" s="76"/>
      <c r="N74" s="76"/>
    </row>
    <row r="75" spans="1:14" x14ac:dyDescent="0.3">
      <c r="A75" s="118" t="s">
        <v>43</v>
      </c>
      <c r="B75" s="119" t="s">
        <v>162</v>
      </c>
      <c r="C75" s="120">
        <v>0.5</v>
      </c>
      <c r="D75" s="120" t="s">
        <v>161</v>
      </c>
      <c r="E75" s="120">
        <v>1.56</v>
      </c>
      <c r="F75" s="121" t="s">
        <v>274</v>
      </c>
      <c r="G75" s="122">
        <v>0.53</v>
      </c>
      <c r="H75" s="120" t="s">
        <v>275</v>
      </c>
      <c r="I75" s="123">
        <v>0.25</v>
      </c>
      <c r="J75" s="76"/>
      <c r="K75" s="76"/>
      <c r="L75" s="76"/>
      <c r="M75" s="76"/>
      <c r="N75" s="76"/>
    </row>
    <row r="76" spans="1:14" x14ac:dyDescent="0.3">
      <c r="A76" s="118" t="s">
        <v>44</v>
      </c>
      <c r="B76" s="119" t="s">
        <v>89</v>
      </c>
      <c r="C76" s="120">
        <v>0.57999999999999996</v>
      </c>
      <c r="D76" s="120" t="s">
        <v>161</v>
      </c>
      <c r="E76" s="120">
        <v>1.56</v>
      </c>
      <c r="F76" s="121" t="s">
        <v>274</v>
      </c>
      <c r="G76" s="122">
        <v>0.3</v>
      </c>
      <c r="H76" s="120" t="s">
        <v>277</v>
      </c>
      <c r="I76" s="123">
        <v>0.25</v>
      </c>
      <c r="J76" s="76"/>
      <c r="K76" s="76"/>
      <c r="L76" s="76"/>
      <c r="M76" s="76"/>
      <c r="N76" s="76"/>
    </row>
    <row r="77" spans="1:14" x14ac:dyDescent="0.3">
      <c r="A77" s="118" t="s">
        <v>47</v>
      </c>
      <c r="B77" s="119" t="s">
        <v>141</v>
      </c>
      <c r="C77" s="120">
        <v>0.37</v>
      </c>
      <c r="D77" s="120" t="s">
        <v>161</v>
      </c>
      <c r="E77" s="120">
        <v>1.3</v>
      </c>
      <c r="F77" s="121" t="s">
        <v>274</v>
      </c>
      <c r="G77" s="122">
        <v>0.55000000000000004</v>
      </c>
      <c r="H77" s="120" t="s">
        <v>152</v>
      </c>
      <c r="I77" s="123">
        <v>0.43</v>
      </c>
      <c r="J77" s="76"/>
      <c r="K77" s="76"/>
      <c r="L77" s="76"/>
      <c r="M77" s="76"/>
      <c r="N77" s="76"/>
    </row>
    <row r="78" spans="1:14" x14ac:dyDescent="0.3">
      <c r="A78" s="118" t="s">
        <v>45</v>
      </c>
      <c r="B78" s="119" t="s">
        <v>96</v>
      </c>
      <c r="C78" s="120">
        <v>0.37</v>
      </c>
      <c r="D78" s="120" t="s">
        <v>161</v>
      </c>
      <c r="E78" s="120">
        <v>1.3</v>
      </c>
      <c r="F78" s="121" t="s">
        <v>274</v>
      </c>
      <c r="G78" s="122">
        <v>0.55000000000000004</v>
      </c>
      <c r="H78" s="120" t="s">
        <v>152</v>
      </c>
      <c r="I78" s="123">
        <v>0.43</v>
      </c>
      <c r="J78" s="76"/>
      <c r="K78" s="76"/>
      <c r="L78" s="76"/>
      <c r="M78" s="76"/>
      <c r="N78" s="76"/>
    </row>
    <row r="79" spans="1:14" x14ac:dyDescent="0.3">
      <c r="A79" s="118" t="s">
        <v>46</v>
      </c>
      <c r="B79" s="119" t="s">
        <v>95</v>
      </c>
      <c r="C79" s="120">
        <v>0.38</v>
      </c>
      <c r="D79" s="120" t="s">
        <v>161</v>
      </c>
      <c r="E79" s="120">
        <v>1.3</v>
      </c>
      <c r="F79" s="121" t="s">
        <v>274</v>
      </c>
      <c r="G79" s="122">
        <v>0.55000000000000004</v>
      </c>
      <c r="H79" s="120" t="s">
        <v>153</v>
      </c>
      <c r="I79" s="123">
        <v>0.43</v>
      </c>
      <c r="J79" s="76"/>
      <c r="K79" s="76"/>
      <c r="L79" s="76"/>
      <c r="M79" s="76"/>
      <c r="N79" s="76"/>
    </row>
    <row r="80" spans="1:14" x14ac:dyDescent="0.3">
      <c r="A80" s="118" t="s">
        <v>48</v>
      </c>
      <c r="B80" s="119" t="s">
        <v>94</v>
      </c>
      <c r="C80" s="120">
        <v>0.36</v>
      </c>
      <c r="D80" s="120" t="s">
        <v>161</v>
      </c>
      <c r="E80" s="120">
        <v>1.3</v>
      </c>
      <c r="F80" s="121" t="s">
        <v>274</v>
      </c>
      <c r="G80" s="122">
        <v>0.55000000000000004</v>
      </c>
      <c r="H80" s="120" t="s">
        <v>153</v>
      </c>
      <c r="I80" s="123">
        <v>0.43</v>
      </c>
      <c r="J80" s="76"/>
      <c r="K80" s="76"/>
      <c r="L80" s="76"/>
      <c r="M80" s="76"/>
      <c r="N80" s="76"/>
    </row>
    <row r="81" spans="1:14" x14ac:dyDescent="0.3">
      <c r="A81" s="118" t="s">
        <v>49</v>
      </c>
      <c r="B81" s="119" t="s">
        <v>142</v>
      </c>
      <c r="C81" s="120">
        <v>0.37</v>
      </c>
      <c r="D81" s="120" t="s">
        <v>161</v>
      </c>
      <c r="E81" s="120">
        <v>1.56</v>
      </c>
      <c r="F81" s="121" t="s">
        <v>274</v>
      </c>
      <c r="G81" s="122">
        <v>0.43</v>
      </c>
      <c r="H81" s="120" t="s">
        <v>278</v>
      </c>
      <c r="I81" s="123">
        <v>0.25</v>
      </c>
      <c r="J81" s="76"/>
      <c r="K81" s="76"/>
      <c r="L81" s="76"/>
      <c r="M81" s="76"/>
      <c r="N81" s="76"/>
    </row>
    <row r="82" spans="1:14" x14ac:dyDescent="0.3">
      <c r="A82" s="118" t="s">
        <v>158</v>
      </c>
      <c r="B82" s="119" t="s">
        <v>159</v>
      </c>
      <c r="C82" s="120">
        <v>0.35</v>
      </c>
      <c r="D82" s="120" t="s">
        <v>160</v>
      </c>
      <c r="E82" s="120">
        <v>1.3</v>
      </c>
      <c r="F82" s="121" t="s">
        <v>274</v>
      </c>
      <c r="G82" s="122">
        <v>0.55000000000000004</v>
      </c>
      <c r="H82" s="120" t="s">
        <v>153</v>
      </c>
      <c r="I82" s="123">
        <v>0.43</v>
      </c>
      <c r="J82" s="76"/>
      <c r="K82" s="76"/>
      <c r="L82" s="76"/>
      <c r="M82" s="76"/>
      <c r="N82" s="76"/>
    </row>
    <row r="83" spans="1:14" x14ac:dyDescent="0.3">
      <c r="A83" s="118" t="s">
        <v>156</v>
      </c>
      <c r="B83" s="119" t="s">
        <v>157</v>
      </c>
      <c r="C83" s="120">
        <v>0.34</v>
      </c>
      <c r="D83" s="120" t="s">
        <v>161</v>
      </c>
      <c r="E83" s="120">
        <v>1.3</v>
      </c>
      <c r="F83" s="121" t="s">
        <v>274</v>
      </c>
      <c r="G83" s="122">
        <v>0.55000000000000004</v>
      </c>
      <c r="H83" s="120" t="s">
        <v>153</v>
      </c>
      <c r="I83" s="123">
        <v>0.43</v>
      </c>
      <c r="J83" s="76"/>
      <c r="K83" s="76"/>
      <c r="L83" s="76"/>
      <c r="M83" s="76"/>
      <c r="N83" s="76"/>
    </row>
    <row r="84" spans="1:14" x14ac:dyDescent="0.3">
      <c r="A84" s="118" t="s">
        <v>92</v>
      </c>
      <c r="B84" s="119" t="s">
        <v>93</v>
      </c>
      <c r="C84" s="120">
        <v>0.31</v>
      </c>
      <c r="D84" s="120" t="s">
        <v>161</v>
      </c>
      <c r="E84" s="120">
        <v>1.3</v>
      </c>
      <c r="F84" s="121" t="s">
        <v>274</v>
      </c>
      <c r="G84" s="122">
        <v>0.55000000000000004</v>
      </c>
      <c r="H84" s="120" t="s">
        <v>153</v>
      </c>
      <c r="I84" s="123">
        <v>0.43</v>
      </c>
      <c r="J84" s="76"/>
      <c r="K84" s="76"/>
      <c r="L84" s="76"/>
      <c r="M84" s="76"/>
      <c r="N84" s="76"/>
    </row>
    <row r="85" spans="1:14" x14ac:dyDescent="0.3">
      <c r="A85" s="118" t="s">
        <v>50</v>
      </c>
      <c r="B85" s="119" t="s">
        <v>143</v>
      </c>
      <c r="C85" s="120">
        <v>0.43</v>
      </c>
      <c r="D85" s="120" t="s">
        <v>161</v>
      </c>
      <c r="E85" s="120">
        <v>1.56</v>
      </c>
      <c r="F85" s="121" t="s">
        <v>274</v>
      </c>
      <c r="G85" s="122">
        <v>0.53</v>
      </c>
      <c r="H85" s="120" t="s">
        <v>275</v>
      </c>
      <c r="I85" s="123">
        <v>0.25</v>
      </c>
      <c r="J85" s="76"/>
      <c r="K85" s="76"/>
      <c r="L85" s="76"/>
      <c r="M85" s="76"/>
      <c r="N85" s="76"/>
    </row>
    <row r="86" spans="1:14" x14ac:dyDescent="0.3">
      <c r="A86" s="118" t="s">
        <v>51</v>
      </c>
      <c r="B86" s="119" t="s">
        <v>91</v>
      </c>
      <c r="C86" s="120">
        <v>0.38</v>
      </c>
      <c r="D86" s="120" t="s">
        <v>161</v>
      </c>
      <c r="E86" s="120">
        <v>1.56</v>
      </c>
      <c r="F86" s="121" t="s">
        <v>274</v>
      </c>
      <c r="G86" s="122">
        <v>0.6</v>
      </c>
      <c r="H86" s="120" t="s">
        <v>279</v>
      </c>
      <c r="I86" s="123">
        <v>0.25</v>
      </c>
      <c r="J86" s="76"/>
      <c r="K86" s="76"/>
      <c r="L86" s="76"/>
      <c r="M86" s="76"/>
      <c r="N86" s="76"/>
    </row>
    <row r="87" spans="1:14" x14ac:dyDescent="0.3">
      <c r="A87" s="247" t="s">
        <v>321</v>
      </c>
      <c r="B87" s="248" t="s">
        <v>322</v>
      </c>
      <c r="C87" s="249">
        <v>0.41</v>
      </c>
      <c r="D87" s="249" t="s">
        <v>323</v>
      </c>
      <c r="E87" s="249">
        <v>1.56</v>
      </c>
      <c r="F87" s="250" t="s">
        <v>274</v>
      </c>
      <c r="G87" s="251">
        <v>0.43</v>
      </c>
      <c r="H87" s="249" t="s">
        <v>278</v>
      </c>
      <c r="I87" s="252">
        <v>0.25</v>
      </c>
      <c r="J87" s="76"/>
      <c r="K87" s="76"/>
      <c r="L87" s="76"/>
      <c r="M87" s="76"/>
      <c r="N87" s="76"/>
    </row>
    <row r="88" spans="1:14" x14ac:dyDescent="0.3">
      <c r="A88" s="118" t="s">
        <v>148</v>
      </c>
      <c r="B88" s="126"/>
      <c r="C88" s="120">
        <v>0.42</v>
      </c>
      <c r="D88" s="120" t="s">
        <v>161</v>
      </c>
      <c r="E88" s="120">
        <v>1.3</v>
      </c>
      <c r="F88" s="121" t="s">
        <v>274</v>
      </c>
      <c r="G88" s="127"/>
      <c r="H88" s="126"/>
      <c r="I88" s="128"/>
    </row>
    <row r="89" spans="1:14" ht="15" thickBot="1" x14ac:dyDescent="0.35">
      <c r="A89" s="129" t="s">
        <v>149</v>
      </c>
      <c r="B89" s="130"/>
      <c r="C89" s="131">
        <v>0.56999999999999995</v>
      </c>
      <c r="D89" s="132" t="s">
        <v>161</v>
      </c>
      <c r="E89" s="131">
        <v>1.56</v>
      </c>
      <c r="F89" s="131" t="s">
        <v>274</v>
      </c>
      <c r="G89" s="130"/>
      <c r="H89" s="130"/>
      <c r="I89" s="133"/>
    </row>
    <row r="93" spans="1:14" x14ac:dyDescent="0.3">
      <c r="A93" s="118" t="s">
        <v>208</v>
      </c>
    </row>
    <row r="94" spans="1:14" x14ac:dyDescent="0.3">
      <c r="A94" s="118" t="s">
        <v>209</v>
      </c>
    </row>
    <row r="95" spans="1:14" x14ac:dyDescent="0.3">
      <c r="A95" s="11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zoomScale="110" zoomScaleNormal="110" workbookViewId="0">
      <selection activeCell="E17" sqref="E17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1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3" t="s">
        <v>271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4" t="s">
        <v>207</v>
      </c>
      <c r="B5" s="135" t="s">
        <v>250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228</v>
      </c>
      <c r="F5" s="136" t="s">
        <v>239</v>
      </c>
      <c r="G5" s="136" t="s">
        <v>240</v>
      </c>
      <c r="H5" s="137" t="s">
        <v>241</v>
      </c>
      <c r="I5" s="138" t="s">
        <v>242</v>
      </c>
      <c r="J5" s="139" t="s">
        <v>243</v>
      </c>
      <c r="K5" s="140" t="s">
        <v>244</v>
      </c>
      <c r="L5" s="82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1" t="str">
        <f>IF('Données projet'!$B$9="","",'Données projet'!$B$9)</f>
        <v>Erable plane</v>
      </c>
      <c r="B6" s="142">
        <f>'Données projet'!D9</f>
        <v>1.6137900000000001</v>
      </c>
      <c r="C6" s="143">
        <f ca="1">IF(OR('Données projet'!B9="",'Données projet'!C9="",'Données projet'!C9=0%),0,Calculateur!S3)</f>
        <v>360.06385535620069</v>
      </c>
      <c r="D6" s="143">
        <f>IF(OR('Données projet'!B9="",'Données projet'!C9="",'Données projet'!C9=0%),0,Calculateur!T3)</f>
        <v>350.82516032456408</v>
      </c>
      <c r="E6" s="143">
        <f ca="1">MIN(C6,D6)</f>
        <v>350.82516032456408</v>
      </c>
      <c r="F6" s="143">
        <f ca="1">E6*B6</f>
        <v>566.15813548017832</v>
      </c>
      <c r="G6" s="143">
        <f ca="1">F6*(100%-'Données projet'!$C$24)*(100%-'Données projet'!$C$25)*(100%-'Données projet'!$C$26)*(100%-'Données projet'!$C$27)</f>
        <v>509.54232193216052</v>
      </c>
      <c r="H6" s="144">
        <f>IF(OR('Données projet'!B9="",'Données projet'!C9="",'Données projet'!C9=0%),0,AVERAGE(Calculateur!$AC$3:$AC$33)*B6)</f>
        <v>0</v>
      </c>
      <c r="I6" s="145">
        <f>H6*(100%-'Données projet'!$C$24)*(100%-'Données projet'!$C$25)*(100%-'Données projet'!$C$26)*(100%-'Données projet'!$C$27)</f>
        <v>0</v>
      </c>
      <c r="J6" s="146">
        <f>IF(OR('Données projet'!B9="",'Données projet'!C9="",'Données projet'!C9=0%),0,SUM(Calculateur!$V$3:$V$33)*VLOOKUP('Données projet'!$B$9,Paramètres!$A$1:$I$89,9,0)*B6)</f>
        <v>55.272307500000004</v>
      </c>
      <c r="K6" s="147">
        <f>J6*(100%-'Données projet'!$C$24)*(100%-'Données projet'!$C$25)*(100%-'Données projet'!$C$26)*(100%-'Données projet'!$C$27)</f>
        <v>49.745076750000003</v>
      </c>
      <c r="L6" s="148">
        <f ca="1">G6+I6+K6</f>
        <v>559.28739868216053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49" t="str">
        <f>IF('Données projet'!$B$10="","",'Données projet'!$B$10)</f>
        <v>Chêne sessile</v>
      </c>
      <c r="B7" s="150">
        <f>'Données projet'!D10</f>
        <v>2.2693140000000001</v>
      </c>
      <c r="C7" s="143">
        <f ca="1">IF(OR('Données projet'!B10="",'Données projet'!C10="",'Données projet'!C10=0%),0,Calculateur!AN3)</f>
        <v>448.65237942538027</v>
      </c>
      <c r="D7" s="143">
        <f>IF(OR('Données projet'!B10="",'Données projet'!C10="",'Données projet'!C10=0%),0,Calculateur!AO3)</f>
        <v>283.56749129825107</v>
      </c>
      <c r="E7" s="143">
        <f t="shared" ref="E7:E15" ca="1" si="0">MIN(C7,D7)</f>
        <v>283.56749129825107</v>
      </c>
      <c r="F7" s="143">
        <f t="shared" ref="F7:F15" ca="1" si="1">E7*B7</f>
        <v>643.50367794799934</v>
      </c>
      <c r="G7" s="143">
        <f ca="1">F7*(100%-'Données projet'!$C$24)*(100%-'Données projet'!$C$25)*(100%-'Données projet'!$C$26)*(100%-'Données projet'!$C$27)</f>
        <v>579.15331015319941</v>
      </c>
      <c r="H7" s="151">
        <f>IF(OR('Données projet'!B10="",'Données projet'!C10="",'Données projet'!C10=0%),0,AVERAGE(Calculateur!$AX$3:$AX$33)*B7)</f>
        <v>0</v>
      </c>
      <c r="I7" s="145">
        <f>H7*(100%-'Données projet'!$C$24)*(100%-'Données projet'!$C$25)*(100%-'Données projet'!$C$26)*(100%-'Données projet'!$C$27)</f>
        <v>0</v>
      </c>
      <c r="J7" s="146">
        <f>IF(OR('Données projet'!B10="",'Données projet'!C10="",'Données projet'!C10=0%),0,SUM(Calculateur!$AQ$3:$AQ$33)*VLOOKUP('Données projet'!$B$10,Paramètres!$A$1:$I$89,9,0)*B7)</f>
        <v>35.174367000000004</v>
      </c>
      <c r="K7" s="147">
        <f>J7*(100%-'Données projet'!$C$24)*(100%-'Données projet'!$C$25)*(100%-'Données projet'!$C$26)*(100%-'Données projet'!$C$27)</f>
        <v>31.656930300000003</v>
      </c>
      <c r="L7" s="148">
        <f t="shared" ref="L7:L15" ca="1" si="2">G7+I7+K7</f>
        <v>610.81024045319941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49" t="str">
        <f>IF('Données projet'!$B$11="","",'Données projet'!$B$11)</f>
        <v>Hêtre</v>
      </c>
      <c r="B8" s="150">
        <f>'Données projet'!D11</f>
        <v>1.6137900000000001</v>
      </c>
      <c r="C8" s="143">
        <f ca="1">IF(OR('Données projet'!B11="",'Données projet'!C11="",'Données projet'!C11=0%),0,Calculateur!BI3)</f>
        <v>456.76871853389395</v>
      </c>
      <c r="D8" s="143">
        <f>IF(OR('Données projet'!B11="",'Données projet'!C11="",'Données projet'!C11=0%),0,Calculateur!BJ3)</f>
        <v>262.12425810289176</v>
      </c>
      <c r="E8" s="143">
        <f t="shared" ca="1" si="0"/>
        <v>262.12425810289176</v>
      </c>
      <c r="F8" s="143">
        <f t="shared" ca="1" si="1"/>
        <v>423.01350648386568</v>
      </c>
      <c r="G8" s="143">
        <f ca="1">F8*(100%-'Données projet'!$C$24)*(100%-'Données projet'!$C$25)*(100%-'Données projet'!$C$26)*(100%-'Données projet'!$C$27)</f>
        <v>380.71215583547911</v>
      </c>
      <c r="H8" s="151">
        <f>IF(OR('Données projet'!B11="",'Données projet'!C11="",'Données projet'!C11=0%),0,AVERAGE(Calculateur!$BS$3:$BS$33)*B8)</f>
        <v>0</v>
      </c>
      <c r="I8" s="145">
        <f>H8*(100%-'Données projet'!$C$24)*(100%-'Données projet'!$C$25)*(100%-'Données projet'!$C$26)*(100%-'Données projet'!$C$27)</f>
        <v>0</v>
      </c>
      <c r="J8" s="146">
        <f>IF(OR('Données projet'!B11="",'Données projet'!C11="",'Données projet'!C11=0%),0,SUM(Calculateur!$BL$3:$BL$33)*VLOOKUP('Données projet'!$B$11,Paramètres!$A$1:$I$89,9,0)*B8)</f>
        <v>14.1206625</v>
      </c>
      <c r="K8" s="147">
        <f>J8*(100%-'Données projet'!$C$24)*(100%-'Données projet'!$C$25)*(100%-'Données projet'!$C$26)*(100%-'Données projet'!$C$27)</f>
        <v>12.708596249999999</v>
      </c>
      <c r="L8" s="148">
        <f t="shared" ca="1" si="2"/>
        <v>393.42075208547908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49" t="str">
        <f>IF('Données projet'!$B$12="","",'Données projet'!$B$12)</f>
        <v>Châtaignier</v>
      </c>
      <c r="B9" s="150">
        <f>'Données projet'!D12</f>
        <v>0.93199499999999991</v>
      </c>
      <c r="C9" s="143">
        <f ca="1">IF(OR('Données projet'!B12="",'Données projet'!C12="",'Données projet'!C12=0%),0,Calculateur!CD3)</f>
        <v>242.65851607945316</v>
      </c>
      <c r="D9" s="143">
        <f>IF(OR('Données projet'!B12="",'Données projet'!C12="",'Données projet'!C12=0%),0,Calculateur!CE3)</f>
        <v>218.9349999985487</v>
      </c>
      <c r="E9" s="143">
        <f t="shared" ca="1" si="0"/>
        <v>218.9349999985487</v>
      </c>
      <c r="F9" s="143">
        <f t="shared" ca="1" si="1"/>
        <v>204.04632532364738</v>
      </c>
      <c r="G9" s="143">
        <f ca="1">F9*(100%-'Données projet'!$C$24)*(100%-'Données projet'!$C$25)*(100%-'Données projet'!$C$26)*(100%-'Données projet'!$C$27)</f>
        <v>183.64169279128265</v>
      </c>
      <c r="H9" s="151">
        <f>IF(OR('Données projet'!B12="",'Données projet'!C12="",'Données projet'!C12=0%),0,AVERAGE(Calculateur!$CN$3:$CN$33)*B9)</f>
        <v>0</v>
      </c>
      <c r="I9" s="145">
        <f>H9*(100%-'Données projet'!$C$24)*(100%-'Données projet'!$C$25)*(100%-'Données projet'!$C$26)*(100%-'Données projet'!$C$27)</f>
        <v>0</v>
      </c>
      <c r="J9" s="146">
        <f>IF(OR('Données projet'!B12="",'Données projet'!C12="",'Données projet'!C12=0%),0,SUM(Calculateur!$CG$3:$CG$33)*VLOOKUP('Données projet'!$B$12,Paramètres!$A$1:$I$89,9,0)*B9)</f>
        <v>43.337767499999998</v>
      </c>
      <c r="K9" s="147">
        <f>J9*(100%-'Données projet'!$C$24)*(100%-'Données projet'!$C$25)*(100%-'Données projet'!$C$26)*(100%-'Données projet'!$C$27)</f>
        <v>39.00399075</v>
      </c>
      <c r="L9" s="148">
        <f t="shared" ca="1" si="2"/>
        <v>222.64568354128266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49" t="str">
        <f>IF('Données projet'!$B$13="","",'Données projet'!$B$13)</f>
        <v>Chêne rouge d'Amérique</v>
      </c>
      <c r="B10" s="150">
        <f>'Données projet'!D13</f>
        <v>0.93199499999999991</v>
      </c>
      <c r="C10" s="143">
        <f ca="1">IF(OR('Données projet'!B13="",'Données projet'!C13="",'Données projet'!C13=0%),0,Calculateur!CY3)</f>
        <v>326.9460696675867</v>
      </c>
      <c r="D10" s="143">
        <f>IF(OR('Données projet'!B13="",'Données projet'!C13="",'Données projet'!C13=0%),0,Calculateur!CZ3)</f>
        <v>393.4020374592568</v>
      </c>
      <c r="E10" s="143">
        <f t="shared" ca="1" si="0"/>
        <v>326.9460696675867</v>
      </c>
      <c r="F10" s="143">
        <f t="shared" ca="1" si="1"/>
        <v>304.71210219984243</v>
      </c>
      <c r="G10" s="143">
        <f ca="1">F10*(100%-'Données projet'!$C$24)*(100%-'Données projet'!$C$25)*(100%-'Données projet'!$C$26)*(100%-'Données projet'!$C$27)</f>
        <v>274.24089197985819</v>
      </c>
      <c r="H10" s="151">
        <f>IF(OR('Données projet'!B13="",'Données projet'!C13="",'Données projet'!C13=0%),0,AVERAGE(Calculateur!$DI$3:$DI$33)*B10)</f>
        <v>0</v>
      </c>
      <c r="I10" s="145">
        <f>H10*(100%-'Données projet'!$C$24)*(100%-'Données projet'!$C$25)*(100%-'Données projet'!$C$26)*(100%-'Données projet'!$C$27)</f>
        <v>0</v>
      </c>
      <c r="J10" s="146">
        <f>IF(OR('Données projet'!B13="",'Données projet'!C13="",'Données projet'!C13=0%),0,SUM(Calculateur!$DB$3:$DB$33)*VLOOKUP('Données projet'!$B$13,Paramètres!$A$1:$I$89,9,0)*B10)</f>
        <v>35.415809999999993</v>
      </c>
      <c r="K10" s="147">
        <f>J10*(100%-'Données projet'!$C$24)*(100%-'Données projet'!$C$25)*(100%-'Données projet'!$C$26)*(100%-'Données projet'!$C$27)</f>
        <v>31.874228999999996</v>
      </c>
      <c r="L10" s="148">
        <f t="shared" ca="1" si="2"/>
        <v>306.1151209798582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49" t="str">
        <f>IF('Données projet'!$B$14="","",'Données projet'!$B$14)</f>
        <v>Merisier</v>
      </c>
      <c r="B11" s="150">
        <f>'Données projet'!D14</f>
        <v>1.014561</v>
      </c>
      <c r="C11" s="143">
        <f ca="1">IF(OR('Données projet'!B14="",'Données projet'!C14="",'Données projet'!C14=0%),0,Calculateur!DT3)</f>
        <v>364.34528546733799</v>
      </c>
      <c r="D11" s="143">
        <f>IF(OR('Données projet'!B14="",'Données projet'!C14="",'Données projet'!C14=0%),0,Calculateur!DU3)</f>
        <v>346.5839763411152</v>
      </c>
      <c r="E11" s="143">
        <f t="shared" ca="1" si="0"/>
        <v>346.5839763411152</v>
      </c>
      <c r="F11" s="143">
        <f t="shared" ca="1" si="1"/>
        <v>351.63058562061821</v>
      </c>
      <c r="G11" s="143">
        <f ca="1">F11*(100%-'Données projet'!$C$24)*(100%-'Données projet'!$C$25)*(100%-'Données projet'!$C$26)*(100%-'Données projet'!$C$27)</f>
        <v>316.46752705855641</v>
      </c>
      <c r="H11" s="151">
        <f>IF(OR('Données projet'!B14="",'Données projet'!C14="",'Données projet'!C14=0%),0,AVERAGE(Calculateur!$ED$3:$ED$33)*B11)</f>
        <v>0</v>
      </c>
      <c r="I11" s="145">
        <f>H11*(100%-'Données projet'!$C$24)*(100%-'Données projet'!$C$25)*(100%-'Données projet'!$C$26)*(100%-'Données projet'!$C$27)</f>
        <v>0</v>
      </c>
      <c r="J11" s="146">
        <f>IF(OR('Données projet'!B14="",'Données projet'!C14="",'Données projet'!C14=0%),0,SUM(Calculateur!$DW$3:$DW$33)*VLOOKUP('Données projet'!$B$14,Paramètres!$A$1:$I$89,9,0)*B11)</f>
        <v>16.740256500000001</v>
      </c>
      <c r="K11" s="147">
        <f>J11*(100%-'Données projet'!$C$24)*(100%-'Données projet'!$C$25)*(100%-'Données projet'!$C$26)*(100%-'Données projet'!$C$27)</f>
        <v>15.066230850000002</v>
      </c>
      <c r="L11" s="148">
        <f t="shared" ca="1" si="2"/>
        <v>331.53375790855642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49" t="str">
        <f>IF('Données projet'!$B$15="","",'Données projet'!$B$15)</f>
        <v>Tilleul</v>
      </c>
      <c r="B12" s="150">
        <f>'Données projet'!D15</f>
        <v>0.80689500000000003</v>
      </c>
      <c r="C12" s="143">
        <f ca="1">IF(OR('Données projet'!B15="",'Données projet'!C15="",'Données projet'!C15=0%),0,Calculateur!EO3)</f>
        <v>310.38232870602445</v>
      </c>
      <c r="D12" s="143">
        <f>IF(OR('Données projet'!B15="",'Données projet'!C15="",'Données projet'!C15=0%),0,Calculateur!EP3)</f>
        <v>303.45934457265537</v>
      </c>
      <c r="E12" s="143">
        <f t="shared" ca="1" si="0"/>
        <v>303.45934457265537</v>
      </c>
      <c r="F12" s="143">
        <f t="shared" ca="1" si="1"/>
        <v>244.85982783895275</v>
      </c>
      <c r="G12" s="143">
        <f ca="1">F12*(100%-'Données projet'!$C$24)*(100%-'Données projet'!$C$25)*(100%-'Données projet'!$C$26)*(100%-'Données projet'!$C$27)</f>
        <v>220.37384505505747</v>
      </c>
      <c r="H12" s="151">
        <f>IF(OR('Données projet'!B15="",'Données projet'!C15="",'Données projet'!C15=0%),0,AVERAGE(Calculateur!$EY$3:$EY$33)*B12)</f>
        <v>0</v>
      </c>
      <c r="I12" s="145">
        <f>H12*(100%-'Données projet'!$C$24)*(100%-'Données projet'!$C$25)*(100%-'Données projet'!$C$26)*(100%-'Données projet'!$C$27)</f>
        <v>0</v>
      </c>
      <c r="J12" s="146">
        <f>IF(OR('Données projet'!B15="",'Données projet'!C15="",'Données projet'!C15=0%),0,SUM(Calculateur!$ER$3:$ER$33)*VLOOKUP('Données projet'!$B$15,Paramètres!$A$1:$I$89,9,0)*B12)</f>
        <v>27.636153750000002</v>
      </c>
      <c r="K12" s="147">
        <f>J12*(100%-'Données projet'!$C$24)*(100%-'Données projet'!$C$25)*(100%-'Données projet'!$C$26)*(100%-'Données projet'!$C$27)</f>
        <v>24.872538375000001</v>
      </c>
      <c r="L12" s="148">
        <f t="shared" ca="1" si="2"/>
        <v>245.24638343005748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49" t="str">
        <f>IF('Données projet'!$B$16="","",'Données projet'!$B$16)</f>
        <v>Charme</v>
      </c>
      <c r="B13" s="150">
        <f>'Données projet'!D16</f>
        <v>0.75685499999999994</v>
      </c>
      <c r="C13" s="143">
        <f ca="1">IF(OR('Données projet'!B16="",'Données projet'!C16="",'Données projet'!C16=0%),0,Calculateur!FJ3)</f>
        <v>457.706832425622</v>
      </c>
      <c r="D13" s="143">
        <f>IF(OR('Données projet'!B16="",'Données projet'!C16="",'Données projet'!C16=0%),0,Calculateur!FK3)</f>
        <v>474.61768219844873</v>
      </c>
      <c r="E13" s="143">
        <f t="shared" ca="1" si="0"/>
        <v>457.706832425622</v>
      </c>
      <c r="F13" s="143">
        <f t="shared" ca="1" si="1"/>
        <v>346.41770465549411</v>
      </c>
      <c r="G13" s="143">
        <f ca="1">F13*(100%-'Données projet'!$C$24)*(100%-'Données projet'!$C$25)*(100%-'Données projet'!$C$26)*(100%-'Données projet'!$C$27)</f>
        <v>311.77593418994468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19.489016249999999</v>
      </c>
      <c r="K13" s="147">
        <f>J13*(100%-'Données projet'!$C$24)*(100%-'Données projet'!$C$25)*(100%-'Données projet'!$C$26)*(100%-'Données projet'!$C$27)</f>
        <v>17.540114625000001</v>
      </c>
      <c r="L13" s="148">
        <f t="shared" ca="1" si="2"/>
        <v>329.31604881494468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49" t="str">
        <f>IF('Données projet'!$B$17="","",'Données projet'!$B$17)</f>
        <v>Alisier torminal</v>
      </c>
      <c r="B14" s="150">
        <f>'Données projet'!D17</f>
        <v>0.46537199999999995</v>
      </c>
      <c r="C14" s="143">
        <f ca="1">IF(OR('Données projet'!B17="",'Données projet'!C17="",'Données projet'!C17=0%),0,Calculateur!GE3)</f>
        <v>428.11167311086814</v>
      </c>
      <c r="D14" s="143">
        <f>IF(OR('Données projet'!B17="",'Données projet'!C17="",'Données projet'!C17=0%),0,Calculateur!GF3)</f>
        <v>415.69449942923609</v>
      </c>
      <c r="E14" s="143">
        <f t="shared" ca="1" si="0"/>
        <v>415.69449942923609</v>
      </c>
      <c r="F14" s="143">
        <f t="shared" ca="1" si="1"/>
        <v>193.45258058838243</v>
      </c>
      <c r="G14" s="143">
        <f ca="1">F14*(100%-'Données projet'!$C$24)*(100%-'Données projet'!$C$25)*(100%-'Données projet'!$C$26)*(100%-'Données projet'!$C$27)</f>
        <v>174.10732252954421</v>
      </c>
      <c r="H14" s="151">
        <f>IF(OR('Données projet'!B17="",'Données projet'!C17="",'Données projet'!C17=0%),0,AVERAGE(Calculateur!$GO$3:$GO$33)*B14)</f>
        <v>0</v>
      </c>
      <c r="I14" s="145">
        <f>H14*(100%-'Données projet'!$C$24)*(100%-'Données projet'!$C$25)*(100%-'Données projet'!$C$26)*(100%-'Données projet'!$C$27)</f>
        <v>0</v>
      </c>
      <c r="J14" s="146">
        <f>IF(OR('Données projet'!B17="",'Données projet'!C17="",'Données projet'!C17=0%),0,SUM(Calculateur!$GH$3:$GH$33)*VLOOKUP('Données projet'!$B$17,Paramètres!$A$1:$I$89,9,0)*B14)</f>
        <v>15.938990999999998</v>
      </c>
      <c r="K14" s="147">
        <f>J14*(100%-'Données projet'!$C$24)*(100%-'Données projet'!$C$25)*(100%-'Données projet'!$C$26)*(100%-'Données projet'!$C$27)</f>
        <v>14.345091899999998</v>
      </c>
      <c r="L14" s="148">
        <f t="shared" ca="1" si="2"/>
        <v>188.45241442954421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2" t="str">
        <f>IF('Données projet'!B18="","",'Données projet'!B18)</f>
        <v>Peuplier Robusta</v>
      </c>
      <c r="B15" s="153">
        <f>'Données projet'!D18</f>
        <v>2.1054330000000001</v>
      </c>
      <c r="C15" s="154">
        <f ca="1">IF(OR('Données projet'!B18="",'Données projet'!C18="",'Données projet'!C18=0%),0,Calculateur!GZ3)</f>
        <v>249.88816678272056</v>
      </c>
      <c r="D15" s="154">
        <f>IF(OR('Données projet'!B18="",'Données projet'!C18="",'Données projet'!C18=0%),0,Calculateur!HA3)</f>
        <v>432.10802787437319</v>
      </c>
      <c r="E15" s="154">
        <f t="shared" ca="1" si="0"/>
        <v>249.88816678272056</v>
      </c>
      <c r="F15" s="155">
        <f t="shared" ca="1" si="1"/>
        <v>526.1227926538437</v>
      </c>
      <c r="G15" s="155">
        <f ca="1">F15*(100%-'Données projet'!$C$24)*(100%-'Données projet'!$C$25)*(100%-'Données projet'!$C$26)*(100%-'Données projet'!$C$27)</f>
        <v>473.51051338845934</v>
      </c>
      <c r="H15" s="156">
        <f>IF(OR('Données projet'!B18="",'Données projet'!C18="",'Données projet'!C18=0%),0,AVERAGE(Calculateur!$HJ$3:$HJ$33)*B15)</f>
        <v>53.067000294004686</v>
      </c>
      <c r="I15" s="157">
        <f>H15*(100%-'Données projet'!$C$24)*(100%-'Données projet'!$C$25)*(100%-'Données projet'!$C$26)*(100%-'Données projet'!$C$27)</f>
        <v>47.760300264604219</v>
      </c>
      <c r="J15" s="158">
        <f>IF(OR('Données projet'!B18="",'Données projet'!C18="",'Données projet'!C18=0%),0,SUM(Calculateur!$HC$3:$HC$33)*VLOOKUP('Données projet'!$B$18,Paramètres!$A$1:$I$89,9,0)*B15)</f>
        <v>693.672691673077</v>
      </c>
      <c r="K15" s="159">
        <f>J15*(100%-'Données projet'!$C$24)*(100%-'Données projet'!$C$25)*(100%-'Données projet'!$C$26)*(100%-'Données projet'!$C$27)</f>
        <v>624.30542250576934</v>
      </c>
      <c r="L15" s="160">
        <f t="shared" ca="1" si="2"/>
        <v>1145.5762361588329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5"/>
      <c r="B16" s="209"/>
      <c r="C16" s="210"/>
      <c r="D16" s="23"/>
      <c r="E16" s="23"/>
      <c r="F16" s="161">
        <f t="shared" ref="F16:L16" ca="1" si="3">SUM(F6:F15)</f>
        <v>3803.9172387928238</v>
      </c>
      <c r="G16" s="162">
        <f t="shared" ca="1" si="3"/>
        <v>3423.5255149135414</v>
      </c>
      <c r="H16" s="163">
        <f t="shared" si="3"/>
        <v>53.067000294004686</v>
      </c>
      <c r="I16" s="163">
        <f t="shared" si="3"/>
        <v>47.760300264604219</v>
      </c>
      <c r="J16" s="164">
        <f t="shared" si="3"/>
        <v>956.79802367307707</v>
      </c>
      <c r="K16" s="164">
        <f t="shared" si="3"/>
        <v>861.11822130576934</v>
      </c>
      <c r="L16" s="165">
        <f t="shared" ca="1" si="3"/>
        <v>4332.4040364839157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5"/>
      <c r="B17" s="209"/>
      <c r="C17" s="210"/>
      <c r="D17" s="23"/>
      <c r="E17" s="23"/>
      <c r="F17" s="295" t="s">
        <v>246</v>
      </c>
      <c r="G17" s="296"/>
      <c r="H17" s="296"/>
      <c r="I17" s="296"/>
      <c r="J17" s="296"/>
      <c r="K17" s="296"/>
      <c r="L17" s="29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5"/>
      <c r="B18" s="209"/>
      <c r="C18" s="210"/>
      <c r="D18" s="23"/>
      <c r="E18" s="23"/>
      <c r="F18" s="282"/>
      <c r="G18" s="282"/>
      <c r="H18" s="282"/>
      <c r="I18" s="282"/>
      <c r="J18" s="282"/>
      <c r="K18" s="282"/>
      <c r="L18" s="28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6" t="str">
        <f>A6</f>
        <v>Erable plane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6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6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6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6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6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6" t="str">
        <f>A12</f>
        <v>Tilleul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6" t="str">
        <f>A13</f>
        <v>Charme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6" t="str">
        <f>A14</f>
        <v>Alisier torminal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6" t="str">
        <f>A15</f>
        <v>Peuplier Robusta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3" t="s">
        <v>272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311" t="s">
        <v>253</v>
      </c>
      <c r="L4" s="312"/>
      <c r="M4" s="233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68"/>
      <c r="I6" s="168"/>
      <c r="J6" s="16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38"/>
      <c r="B7" s="239"/>
      <c r="C7" s="239"/>
      <c r="D7" s="239"/>
      <c r="E7" s="240"/>
      <c r="F7" s="240" t="s">
        <v>192</v>
      </c>
      <c r="G7" s="241"/>
      <c r="H7" s="239"/>
      <c r="I7" s="239"/>
      <c r="J7" s="242"/>
      <c r="K7" s="236"/>
      <c r="L7" s="237"/>
      <c r="M7" s="237"/>
      <c r="N7" s="243" t="s">
        <v>191</v>
      </c>
      <c r="O7" s="243"/>
      <c r="P7" s="244"/>
      <c r="Q7" s="245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6"/>
      <c r="K8" s="204"/>
      <c r="L8" s="23"/>
      <c r="M8" s="23"/>
      <c r="N8" s="23"/>
      <c r="O8" s="23"/>
      <c r="P8" s="23"/>
      <c r="Q8" s="230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89" t="s">
        <v>311</v>
      </c>
      <c r="C9" s="23"/>
      <c r="D9" s="23"/>
      <c r="E9" s="23"/>
      <c r="F9" s="226"/>
      <c r="G9" s="89" t="s">
        <v>314</v>
      </c>
      <c r="J9" s="196"/>
      <c r="K9" s="204"/>
      <c r="O9" s="23"/>
      <c r="P9" s="23"/>
      <c r="Q9" s="230"/>
      <c r="R9" s="23"/>
      <c r="S9" s="4"/>
      <c r="T9" s="36" t="s">
        <v>262</v>
      </c>
      <c r="U9" s="172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89" t="s">
        <v>317</v>
      </c>
      <c r="C10" s="23"/>
      <c r="D10" s="23"/>
      <c r="E10" s="23"/>
      <c r="F10" s="226"/>
      <c r="G10" s="89" t="s">
        <v>316</v>
      </c>
      <c r="J10" s="196"/>
      <c r="K10" s="204"/>
      <c r="O10" s="23"/>
      <c r="P10" s="23"/>
      <c r="Q10" s="230"/>
      <c r="R10" s="23"/>
      <c r="S10" s="36" t="str">
        <f>B14</f>
        <v>Erable plane</v>
      </c>
      <c r="T10" s="17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-2318.3181149569341</v>
      </c>
      <c r="U10" s="174">
        <f>'Données projet'!D9</f>
        <v>1.6137900000000001</v>
      </c>
      <c r="V10" s="173">
        <f>U10*T10</f>
        <v>-3741.2785907363509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89" t="s">
        <v>312</v>
      </c>
      <c r="B11" s="23"/>
      <c r="C11" s="23"/>
      <c r="D11" s="23"/>
      <c r="E11" s="23"/>
      <c r="F11" s="226"/>
      <c r="G11" s="89" t="s">
        <v>313</v>
      </c>
      <c r="J11" s="196"/>
      <c r="K11" s="204"/>
      <c r="M11" s="4"/>
      <c r="N11" s="4"/>
      <c r="O11" s="23"/>
      <c r="P11" s="23"/>
      <c r="Q11" s="230"/>
      <c r="R11" s="23"/>
      <c r="S11" s="36" t="str">
        <f>B45</f>
        <v>Chêne sessile</v>
      </c>
      <c r="T11" s="23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-3168.4121361154457</v>
      </c>
      <c r="U11" s="174">
        <f>'Données projet'!D10</f>
        <v>2.2693140000000001</v>
      </c>
      <c r="V11" s="173">
        <f t="shared" ref="V11" si="0">U11*T11</f>
        <v>-7190.1220182566867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6"/>
      <c r="J12" s="196"/>
      <c r="K12" s="204"/>
      <c r="L12" s="198"/>
      <c r="M12" s="23"/>
      <c r="N12" s="23"/>
      <c r="O12" s="23"/>
      <c r="P12" s="23"/>
      <c r="Q12" s="230"/>
      <c r="R12" s="23"/>
      <c r="S12" s="36" t="str">
        <f>B76</f>
        <v>Hêtre</v>
      </c>
      <c r="T12" s="23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-2386.9832808358756</v>
      </c>
      <c r="U12" s="174">
        <f>'Données projet'!D11</f>
        <v>1.6137900000000001</v>
      </c>
      <c r="V12" s="173">
        <f t="shared" ref="V12:V19" si="1">U12*T12</f>
        <v>-3852.0897487801276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6"/>
      <c r="J13" s="23"/>
      <c r="K13" s="204"/>
      <c r="L13" s="89" t="s">
        <v>257</v>
      </c>
      <c r="M13" s="23"/>
      <c r="N13" s="23"/>
      <c r="O13" s="23"/>
      <c r="P13" s="23"/>
      <c r="Q13" s="230"/>
      <c r="R13" s="23"/>
      <c r="S13" s="36" t="str">
        <f>B107</f>
        <v>Châtaignier</v>
      </c>
      <c r="T13" s="23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-2043.7896798744264</v>
      </c>
      <c r="U13" s="174">
        <f>'Données projet'!D12</f>
        <v>0.93199499999999991</v>
      </c>
      <c r="V13" s="173">
        <f t="shared" si="1"/>
        <v>-1904.8017626945659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0" t="str">
        <f>IF('Données projet'!$B$9="","",'Données projet'!$B$9)</f>
        <v>Erable plane</v>
      </c>
      <c r="C14" s="4"/>
      <c r="D14" s="4"/>
      <c r="E14" s="4"/>
      <c r="F14" s="226"/>
      <c r="G14" s="23"/>
      <c r="H14" s="36" t="s">
        <v>178</v>
      </c>
      <c r="I14" s="36" t="s">
        <v>290</v>
      </c>
      <c r="J14" s="197"/>
      <c r="K14" s="169"/>
      <c r="L14" s="198"/>
      <c r="M14" s="23"/>
      <c r="N14" s="23"/>
      <c r="O14" s="4"/>
      <c r="P14" s="4"/>
      <c r="Q14" s="231"/>
      <c r="R14" s="4"/>
      <c r="S14" s="36" t="str">
        <f>B138</f>
        <v>Chêne rouge d'Amérique</v>
      </c>
      <c r="T14" s="23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-1973.0462121319197</v>
      </c>
      <c r="U14" s="174">
        <f>'Données projet'!D13</f>
        <v>0.93199499999999991</v>
      </c>
      <c r="V14" s="173">
        <f t="shared" si="1"/>
        <v>-1838.8692044758882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6"/>
      <c r="G15" s="314" t="s">
        <v>318</v>
      </c>
      <c r="H15" s="186">
        <v>0</v>
      </c>
      <c r="I15" s="187">
        <v>0</v>
      </c>
      <c r="J15" s="198"/>
      <c r="K15" s="204"/>
      <c r="L15" s="198"/>
      <c r="M15" s="23"/>
      <c r="N15" s="23"/>
      <c r="O15" s="23"/>
      <c r="P15" s="23"/>
      <c r="Q15" s="230"/>
      <c r="R15" s="23"/>
      <c r="S15" s="36" t="str">
        <f>B169</f>
        <v>Merisier</v>
      </c>
      <c r="T15" s="23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-3501.029293275124</v>
      </c>
      <c r="U15" s="174">
        <f>'Données projet'!D14</f>
        <v>1.014561</v>
      </c>
      <c r="V15" s="173">
        <f t="shared" si="1"/>
        <v>-3552.0077808145033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6"/>
      <c r="G16" s="314"/>
      <c r="H16" s="186"/>
      <c r="I16" s="187"/>
      <c r="J16" s="198"/>
      <c r="K16" s="204"/>
      <c r="L16" s="311" t="s">
        <v>254</v>
      </c>
      <c r="M16" s="312"/>
      <c r="N16" s="2"/>
      <c r="O16" s="23"/>
      <c r="P16" s="23"/>
      <c r="Q16" s="230"/>
      <c r="R16" s="23"/>
      <c r="S16" s="36" t="str">
        <f>B200</f>
        <v>Tilleul</v>
      </c>
      <c r="T16" s="23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-2682.3181149569341</v>
      </c>
      <c r="U16" s="174">
        <f>'Données projet'!D15</f>
        <v>0.80689500000000003</v>
      </c>
      <c r="V16" s="173">
        <f t="shared" si="1"/>
        <v>-2164.3490753681754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5" t="s">
        <v>132</v>
      </c>
      <c r="C17" s="194" t="s">
        <v>132</v>
      </c>
      <c r="D17" s="193" t="s">
        <v>132</v>
      </c>
      <c r="E17" s="189">
        <v>3098.89</v>
      </c>
      <c r="F17" s="226"/>
      <c r="G17" s="314"/>
      <c r="J17" s="198"/>
      <c r="K17" s="204"/>
      <c r="L17" s="271" t="s">
        <v>289</v>
      </c>
      <c r="M17" s="273"/>
      <c r="N17" s="171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0"/>
      <c r="R17" s="23"/>
      <c r="S17" s="36" t="str">
        <f>B231</f>
        <v>Charme</v>
      </c>
      <c r="T17" s="23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-2026.7600519917253</v>
      </c>
      <c r="U17" s="174">
        <f>'Données projet'!D16</f>
        <v>0.75685499999999994</v>
      </c>
      <c r="V17" s="173">
        <f t="shared" si="1"/>
        <v>-1533.9634791501971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5" t="s">
        <v>132</v>
      </c>
      <c r="C18" s="194" t="s">
        <v>132</v>
      </c>
      <c r="D18" s="193" t="s">
        <v>132</v>
      </c>
      <c r="E18" s="189"/>
      <c r="F18" s="226"/>
      <c r="G18" s="314"/>
      <c r="J18" s="198"/>
      <c r="K18" s="204"/>
      <c r="L18" s="271" t="s">
        <v>255</v>
      </c>
      <c r="M18" s="273"/>
      <c r="N18" s="188"/>
      <c r="O18" s="23"/>
      <c r="P18" s="23"/>
      <c r="Q18" s="230"/>
      <c r="R18" s="23"/>
      <c r="S18" s="36" t="str">
        <f>B262</f>
        <v>Alisier torminal</v>
      </c>
      <c r="T18" s="23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-4040.3681149569338</v>
      </c>
      <c r="U18" s="174">
        <f>'Données projet'!D17</f>
        <v>0.46537199999999995</v>
      </c>
      <c r="V18" s="173">
        <f t="shared" si="1"/>
        <v>-1880.2741903937381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5" t="s">
        <v>132</v>
      </c>
      <c r="C19" s="194" t="s">
        <v>132</v>
      </c>
      <c r="D19" s="193" t="s">
        <v>132</v>
      </c>
      <c r="E19" s="189"/>
      <c r="F19" s="226"/>
      <c r="G19" s="314"/>
      <c r="H19" s="208" t="s">
        <v>178</v>
      </c>
      <c r="I19" s="208" t="s">
        <v>287</v>
      </c>
      <c r="J19" s="89"/>
      <c r="K19" s="169"/>
      <c r="L19" s="311" t="s">
        <v>288</v>
      </c>
      <c r="M19" s="312"/>
      <c r="N19" s="175">
        <f>N17*N18</f>
        <v>0</v>
      </c>
      <c r="O19" s="23"/>
      <c r="P19" s="4"/>
      <c r="Q19" s="231"/>
      <c r="R19" s="4"/>
      <c r="S19" s="36" t="str">
        <f>B293</f>
        <v>Peuplier Robusta</v>
      </c>
      <c r="T19" s="23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3739.040447159849</v>
      </c>
      <c r="U19" s="174">
        <f>'Données projet'!D18</f>
        <v>2.1054330000000001</v>
      </c>
      <c r="V19" s="173">
        <f t="shared" si="1"/>
        <v>7872.2991457851031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5" t="s">
        <v>132</v>
      </c>
      <c r="C20" s="194" t="s">
        <v>132</v>
      </c>
      <c r="D20" s="193" t="s">
        <v>132</v>
      </c>
      <c r="E20" s="189"/>
      <c r="F20" s="226"/>
      <c r="G20" s="314"/>
      <c r="H20" s="186">
        <v>0</v>
      </c>
      <c r="I20" s="187">
        <v>3971.18</v>
      </c>
      <c r="J20" s="4"/>
      <c r="K20" s="169"/>
      <c r="O20" s="23"/>
      <c r="P20" s="4"/>
      <c r="Q20" s="231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5" t="s">
        <v>132</v>
      </c>
      <c r="C21" s="194" t="s">
        <v>132</v>
      </c>
      <c r="D21" s="193" t="s">
        <v>132</v>
      </c>
      <c r="E21" s="189"/>
      <c r="F21" s="226"/>
      <c r="H21" s="186">
        <v>1</v>
      </c>
      <c r="I21" s="187"/>
      <c r="K21" s="169"/>
      <c r="O21" s="23"/>
      <c r="P21" s="4"/>
      <c r="Q21" s="231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5" t="s">
        <v>132</v>
      </c>
      <c r="C22" s="194" t="s">
        <v>132</v>
      </c>
      <c r="D22" s="193" t="s">
        <v>132</v>
      </c>
      <c r="E22" s="189"/>
      <c r="F22" s="226"/>
      <c r="H22" s="186">
        <v>2</v>
      </c>
      <c r="I22" s="187"/>
      <c r="K22" s="169"/>
      <c r="O22" s="23"/>
      <c r="P22" s="4"/>
      <c r="Q22" s="231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6">
        <f>'Données projet'!A36</f>
        <v>10</v>
      </c>
      <c r="B23" s="177">
        <f>'Données projet'!D36</f>
        <v>0</v>
      </c>
      <c r="C23" s="189">
        <v>15</v>
      </c>
      <c r="D23" s="178">
        <f>B23*C23</f>
        <v>0</v>
      </c>
      <c r="E23" s="189"/>
      <c r="F23" s="226"/>
      <c r="H23" s="186">
        <v>3</v>
      </c>
      <c r="I23" s="187"/>
      <c r="K23" s="204"/>
      <c r="L23" s="313" t="s">
        <v>260</v>
      </c>
      <c r="M23" s="313"/>
      <c r="N23" s="313"/>
      <c r="O23" s="23"/>
      <c r="P23" s="23"/>
      <c r="Q23" s="230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-69464.918504885136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6">
        <f>'Données projet'!A37</f>
        <v>15</v>
      </c>
      <c r="B24" s="177">
        <f>'Données projet'!D37</f>
        <v>32</v>
      </c>
      <c r="C24" s="189">
        <v>15</v>
      </c>
      <c r="D24" s="178">
        <f t="shared" ref="D24:D42" si="2">B24*C24</f>
        <v>480</v>
      </c>
      <c r="E24" s="189"/>
      <c r="F24" s="229"/>
      <c r="H24" s="186">
        <v>4</v>
      </c>
      <c r="I24" s="187"/>
      <c r="K24" s="204"/>
      <c r="O24" s="23"/>
      <c r="P24" s="23"/>
      <c r="Q24" s="230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32954.233841046102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6">
        <f>'Données projet'!A38</f>
        <v>20</v>
      </c>
      <c r="B25" s="177">
        <f>'Données projet'!D38</f>
        <v>35</v>
      </c>
      <c r="C25" s="189">
        <v>15</v>
      </c>
      <c r="D25" s="178">
        <f t="shared" si="2"/>
        <v>525</v>
      </c>
      <c r="E25" s="189"/>
      <c r="F25" s="229"/>
      <c r="H25" s="186">
        <v>5</v>
      </c>
      <c r="I25" s="187"/>
      <c r="K25" s="204"/>
      <c r="L25" s="126" t="s">
        <v>285</v>
      </c>
      <c r="M25" s="126"/>
      <c r="N25" s="126"/>
      <c r="O25" s="126"/>
      <c r="P25" s="188">
        <v>170</v>
      </c>
      <c r="Q25" s="230"/>
      <c r="R25" s="23"/>
      <c r="S25" s="182" t="s">
        <v>266</v>
      </c>
      <c r="T25" s="310">
        <f ca="1">T23-T24</f>
        <v>-102419.15234593124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6">
        <f>'Données projet'!A39</f>
        <v>25</v>
      </c>
      <c r="B26" s="177">
        <f>'Données projet'!D39</f>
        <v>35</v>
      </c>
      <c r="C26" s="189">
        <v>15</v>
      </c>
      <c r="D26" s="178">
        <f t="shared" si="2"/>
        <v>525</v>
      </c>
      <c r="E26" s="189"/>
      <c r="F26" s="229"/>
      <c r="G26" s="225"/>
      <c r="H26" s="186"/>
      <c r="I26" s="187"/>
      <c r="K26" s="204"/>
      <c r="L26" s="297" t="s">
        <v>258</v>
      </c>
      <c r="M26" s="298"/>
      <c r="N26" s="298"/>
      <c r="O26" s="298"/>
      <c r="P26" s="299"/>
      <c r="Q26" s="230"/>
      <c r="R26" s="23"/>
      <c r="S26" s="182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6">
        <f>'Données projet'!A40</f>
        <v>30</v>
      </c>
      <c r="B27" s="177">
        <f>'Données projet'!D40</f>
        <v>35</v>
      </c>
      <c r="C27" s="189">
        <v>15</v>
      </c>
      <c r="D27" s="178">
        <f t="shared" si="2"/>
        <v>525</v>
      </c>
      <c r="E27" s="189"/>
      <c r="F27" s="229"/>
      <c r="G27" s="225"/>
      <c r="H27" s="186"/>
      <c r="I27" s="187"/>
      <c r="K27" s="204"/>
      <c r="L27" s="300"/>
      <c r="M27" s="301"/>
      <c r="N27" s="301"/>
      <c r="O27" s="301"/>
      <c r="P27" s="302"/>
      <c r="Q27" s="230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6">
        <f>'Données projet'!A41</f>
        <v>35</v>
      </c>
      <c r="B28" s="177">
        <f>'Données projet'!D41</f>
        <v>35</v>
      </c>
      <c r="C28" s="189"/>
      <c r="D28" s="178">
        <f t="shared" si="2"/>
        <v>0</v>
      </c>
      <c r="E28" s="189"/>
      <c r="F28" s="229"/>
      <c r="G28" s="201"/>
      <c r="H28" s="186"/>
      <c r="I28" s="187"/>
      <c r="K28" s="204"/>
      <c r="Q28" s="230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6">
        <f>'Données projet'!A42</f>
        <v>40</v>
      </c>
      <c r="B29" s="177">
        <f>'Données projet'!D42</f>
        <v>35</v>
      </c>
      <c r="C29" s="189"/>
      <c r="D29" s="178">
        <f t="shared" si="2"/>
        <v>0</v>
      </c>
      <c r="E29" s="189"/>
      <c r="F29" s="229"/>
      <c r="G29" s="199"/>
      <c r="H29" s="186"/>
      <c r="I29" s="187"/>
      <c r="K29" s="204"/>
      <c r="O29" s="23"/>
      <c r="P29" s="23"/>
      <c r="Q29" s="230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6">
        <f>'Données projet'!A43</f>
        <v>45</v>
      </c>
      <c r="B30" s="177">
        <f>'Données projet'!D43</f>
        <v>24</v>
      </c>
      <c r="C30" s="189"/>
      <c r="D30" s="178">
        <f t="shared" si="2"/>
        <v>0</v>
      </c>
      <c r="E30" s="189"/>
      <c r="F30" s="229"/>
      <c r="G30" s="199"/>
      <c r="H30" s="186"/>
      <c r="I30" s="187"/>
      <c r="K30" s="179"/>
      <c r="L30" s="36" t="s">
        <v>259</v>
      </c>
      <c r="M30" s="180">
        <f ca="1">SUM(OFFSET($P$33,0,0,MIN('Données projet'!$E$9:$E$18)+1,1))</f>
        <v>2634.2313222259077</v>
      </c>
      <c r="O30" s="4"/>
      <c r="P30" s="4"/>
      <c r="Q30" s="231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6">
        <f>'Données projet'!A44</f>
        <v>50</v>
      </c>
      <c r="B31" s="177">
        <f>'Données projet'!D44</f>
        <v>19</v>
      </c>
      <c r="C31" s="189"/>
      <c r="D31" s="178">
        <f t="shared" si="2"/>
        <v>0</v>
      </c>
      <c r="E31" s="189"/>
      <c r="F31" s="229"/>
      <c r="G31" s="199"/>
      <c r="H31" s="186"/>
      <c r="I31" s="187"/>
      <c r="K31" s="169"/>
      <c r="Q31" s="230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6">
        <f>'Données projet'!A45</f>
        <v>55</v>
      </c>
      <c r="B32" s="177">
        <f>'Données projet'!D45</f>
        <v>16</v>
      </c>
      <c r="C32" s="189"/>
      <c r="D32" s="178">
        <f t="shared" si="2"/>
        <v>0</v>
      </c>
      <c r="E32" s="189"/>
      <c r="F32" s="229"/>
      <c r="G32" s="199"/>
      <c r="H32" s="186"/>
      <c r="I32" s="187"/>
      <c r="K32" s="169"/>
      <c r="N32" s="4"/>
      <c r="O32" s="83" t="s">
        <v>178</v>
      </c>
      <c r="P32" s="83" t="s">
        <v>252</v>
      </c>
      <c r="Q32" s="230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6">
        <f>'Données projet'!A46</f>
        <v>60</v>
      </c>
      <c r="B33" s="177">
        <f>'Données projet'!D46</f>
        <v>14</v>
      </c>
      <c r="C33" s="189"/>
      <c r="D33" s="178">
        <f t="shared" si="2"/>
        <v>0</v>
      </c>
      <c r="E33" s="189"/>
      <c r="F33" s="229"/>
      <c r="G33" s="199"/>
      <c r="H33" s="186"/>
      <c r="I33" s="187"/>
      <c r="K33" s="169"/>
      <c r="L33" s="4"/>
      <c r="M33" s="4"/>
      <c r="N33" s="4"/>
      <c r="O33" s="190">
        <v>0</v>
      </c>
      <c r="P33" s="181">
        <f t="shared" ref="P33:P64" si="3">$P$25/(1+$M$4)^O33</f>
        <v>170</v>
      </c>
      <c r="Q33" s="230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6">
        <f>'Données projet'!A47</f>
        <v>65</v>
      </c>
      <c r="B34" s="177">
        <f>'Données projet'!D47</f>
        <v>13</v>
      </c>
      <c r="C34" s="189"/>
      <c r="D34" s="178">
        <f t="shared" si="2"/>
        <v>0</v>
      </c>
      <c r="E34" s="189"/>
      <c r="F34" s="229"/>
      <c r="G34" s="199"/>
      <c r="H34" s="186"/>
      <c r="I34" s="187"/>
      <c r="K34" s="169"/>
      <c r="L34" s="94"/>
      <c r="M34" s="94"/>
      <c r="N34" s="246"/>
      <c r="O34" s="190">
        <f>IF(O33+1&lt;=MIN('Données projet'!$E$9:$E$18),O33+1,"STOP")</f>
        <v>1</v>
      </c>
      <c r="P34" s="181">
        <f t="shared" si="3"/>
        <v>162.67942583732059</v>
      </c>
      <c r="Q34" s="230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6">
        <f>'Données projet'!A48</f>
        <v>70</v>
      </c>
      <c r="B35" s="177">
        <f>'Données projet'!D48</f>
        <v>13</v>
      </c>
      <c r="C35" s="189"/>
      <c r="D35" s="178">
        <f t="shared" si="2"/>
        <v>0</v>
      </c>
      <c r="E35" s="189"/>
      <c r="F35" s="229"/>
      <c r="G35" s="199"/>
      <c r="H35" s="186"/>
      <c r="I35" s="187"/>
      <c r="K35" s="169"/>
      <c r="L35" s="94"/>
      <c r="M35" s="94"/>
      <c r="N35" s="246"/>
      <c r="O35" s="190">
        <f>IF(O34+1&lt;=MIN('Données projet'!$E$9:$E$18),O34+1,"STOP")</f>
        <v>2</v>
      </c>
      <c r="P35" s="181">
        <f t="shared" si="3"/>
        <v>155.67409171035465</v>
      </c>
      <c r="Q35" s="230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6">
        <f>'Données projet'!A49</f>
        <v>75</v>
      </c>
      <c r="B36" s="177">
        <f>'Données projet'!D49</f>
        <v>12</v>
      </c>
      <c r="C36" s="189"/>
      <c r="D36" s="178">
        <f t="shared" si="2"/>
        <v>0</v>
      </c>
      <c r="E36" s="189"/>
      <c r="F36" s="229"/>
      <c r="G36" s="199"/>
      <c r="H36" s="186"/>
      <c r="I36" s="187"/>
      <c r="K36" s="169"/>
      <c r="L36" s="23"/>
      <c r="M36" s="23"/>
      <c r="N36" s="23"/>
      <c r="O36" s="190">
        <f>IF(O35+1&lt;=MIN('Données projet'!$E$9:$E$18),O35+1,"STOP")</f>
        <v>3</v>
      </c>
      <c r="P36" s="181">
        <f t="shared" si="3"/>
        <v>148.97042268933458</v>
      </c>
      <c r="Q36" s="230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6">
        <f>'Données projet'!A50</f>
        <v>80</v>
      </c>
      <c r="B37" s="177">
        <f>'Données projet'!D50</f>
        <v>11</v>
      </c>
      <c r="C37" s="189"/>
      <c r="D37" s="178">
        <f t="shared" si="2"/>
        <v>0</v>
      </c>
      <c r="E37" s="189"/>
      <c r="F37" s="229"/>
      <c r="G37" s="199"/>
      <c r="H37" s="186"/>
      <c r="I37" s="187"/>
      <c r="K37" s="169"/>
      <c r="L37" s="23"/>
      <c r="M37" s="23"/>
      <c r="N37" s="23"/>
      <c r="O37" s="190">
        <f>IF(O36+1&lt;=MIN('Données projet'!$E$9:$E$18),O36+1,"STOP")</f>
        <v>4</v>
      </c>
      <c r="P37" s="181">
        <f t="shared" si="3"/>
        <v>142.55542841084653</v>
      </c>
      <c r="Q37" s="230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6">
        <f>'Données projet'!A51</f>
        <v>0</v>
      </c>
      <c r="B38" s="177">
        <f>'Données projet'!D51</f>
        <v>0</v>
      </c>
      <c r="C38" s="189"/>
      <c r="D38" s="178">
        <f t="shared" si="2"/>
        <v>0</v>
      </c>
      <c r="E38" s="189"/>
      <c r="F38" s="229"/>
      <c r="G38" s="199"/>
      <c r="H38" s="186"/>
      <c r="I38" s="187"/>
      <c r="K38" s="169"/>
      <c r="L38" s="23"/>
      <c r="M38" s="23"/>
      <c r="N38" s="23"/>
      <c r="O38" s="190">
        <f>IF(O37+1&lt;=MIN('Données projet'!$E$9:$E$18),O37+1,"STOP")</f>
        <v>5</v>
      </c>
      <c r="P38" s="181">
        <f t="shared" si="3"/>
        <v>136.4166779051163</v>
      </c>
      <c r="Q38" s="230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6">
        <f>'Données projet'!A52</f>
        <v>0</v>
      </c>
      <c r="B39" s="177">
        <f>'Données projet'!D52</f>
        <v>0</v>
      </c>
      <c r="C39" s="189"/>
      <c r="D39" s="178">
        <f t="shared" si="2"/>
        <v>0</v>
      </c>
      <c r="E39" s="189"/>
      <c r="F39" s="229"/>
      <c r="G39" s="199"/>
      <c r="H39" s="186"/>
      <c r="I39" s="187"/>
      <c r="K39" s="204"/>
      <c r="L39" s="23"/>
      <c r="M39" s="23"/>
      <c r="N39" s="23"/>
      <c r="O39" s="190">
        <f>IF(O38+1&lt;=MIN('Données projet'!$E$9:$E$18),O38+1,"STOP")</f>
        <v>6</v>
      </c>
      <c r="P39" s="181">
        <f t="shared" si="3"/>
        <v>130.54227550728837</v>
      </c>
      <c r="Q39" s="230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6">
        <f>'Données projet'!A53</f>
        <v>0</v>
      </c>
      <c r="B40" s="177">
        <f>'Données projet'!D53</f>
        <v>0</v>
      </c>
      <c r="C40" s="189"/>
      <c r="D40" s="178">
        <f t="shared" si="2"/>
        <v>0</v>
      </c>
      <c r="E40" s="189"/>
      <c r="F40" s="229"/>
      <c r="G40" s="199"/>
      <c r="H40" s="186"/>
      <c r="I40" s="187"/>
      <c r="K40" s="204"/>
      <c r="L40" s="23"/>
      <c r="M40" s="23"/>
      <c r="N40" s="23"/>
      <c r="O40" s="190">
        <f>IF(O39+1&lt;=MIN('Données projet'!$E$9:$E$18),O39+1,"STOP")</f>
        <v>7</v>
      </c>
      <c r="P40" s="181">
        <f t="shared" si="3"/>
        <v>124.92083780601756</v>
      </c>
      <c r="Q40" s="230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6">
        <f>'Données projet'!A54</f>
        <v>0</v>
      </c>
      <c r="B41" s="177">
        <f>'Données projet'!D54</f>
        <v>0</v>
      </c>
      <c r="C41" s="189"/>
      <c r="D41" s="178">
        <f t="shared" si="2"/>
        <v>0</v>
      </c>
      <c r="E41" s="189"/>
      <c r="F41" s="229"/>
      <c r="G41" s="199"/>
      <c r="H41" s="186"/>
      <c r="I41" s="187"/>
      <c r="K41" s="204"/>
      <c r="L41" s="23"/>
      <c r="M41" s="23"/>
      <c r="N41" s="23"/>
      <c r="O41" s="190">
        <f>IF(O40+1&lt;=MIN('Données projet'!$E$9:$E$18),O40+1,"STOP")</f>
        <v>8</v>
      </c>
      <c r="P41" s="181">
        <f t="shared" si="3"/>
        <v>119.54147158470583</v>
      </c>
      <c r="Q41" s="230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6">
        <f>'Données projet'!A55</f>
        <v>0</v>
      </c>
      <c r="B42" s="177">
        <f>'Données projet'!D55</f>
        <v>0</v>
      </c>
      <c r="C42" s="189"/>
      <c r="D42" s="178">
        <f t="shared" si="2"/>
        <v>0</v>
      </c>
      <c r="E42" s="189"/>
      <c r="F42" s="229"/>
      <c r="G42" s="199"/>
      <c r="H42" s="186"/>
      <c r="I42" s="187"/>
      <c r="K42" s="204"/>
      <c r="L42" s="23"/>
      <c r="M42" s="23"/>
      <c r="N42" s="23"/>
      <c r="O42" s="190">
        <f>IF(O41+1&lt;=MIN('Données projet'!$E$9:$E$18),O41+1,"STOP")</f>
        <v>9</v>
      </c>
      <c r="P42" s="181">
        <f t="shared" si="3"/>
        <v>114.39375271263717</v>
      </c>
      <c r="Q42" s="230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3"/>
      <c r="B43" s="183"/>
      <c r="C43" s="183"/>
      <c r="D43" s="223"/>
      <c r="E43" s="223"/>
      <c r="F43" s="234"/>
      <c r="G43" s="199"/>
      <c r="H43" s="186"/>
      <c r="I43" s="187"/>
      <c r="K43" s="204"/>
      <c r="L43" s="23"/>
      <c r="M43" s="23"/>
      <c r="N43" s="23"/>
      <c r="O43" s="190">
        <f>IF(O42+1&lt;=MIN('Données projet'!$E$9:$E$18),O42+1,"STOP")</f>
        <v>10</v>
      </c>
      <c r="P43" s="181">
        <f t="shared" si="3"/>
        <v>109.46770594510735</v>
      </c>
      <c r="Q43" s="23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6"/>
      <c r="G44" s="199"/>
      <c r="H44" s="186"/>
      <c r="I44" s="187"/>
      <c r="K44" s="204"/>
      <c r="L44" s="23"/>
      <c r="M44" s="23"/>
      <c r="N44" s="23"/>
      <c r="O44" s="190">
        <f>IF(O43+1&lt;=MIN('Données projet'!$E$9:$E$18),O43+1,"STOP")</f>
        <v>11</v>
      </c>
      <c r="P44" s="181">
        <f t="shared" si="3"/>
        <v>104.75378559340417</v>
      </c>
      <c r="Q44" s="23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0" t="str">
        <f>IF('Données projet'!$B$10="","",'Données projet'!$B$10)</f>
        <v>Chêne sessile</v>
      </c>
      <c r="C45" s="4"/>
      <c r="D45" s="4"/>
      <c r="E45" s="4"/>
      <c r="F45" s="226"/>
      <c r="G45" s="199"/>
      <c r="H45" s="186"/>
      <c r="I45" s="187"/>
      <c r="J45" s="23"/>
      <c r="K45" s="204"/>
      <c r="L45" s="23"/>
      <c r="M45" s="23"/>
      <c r="N45" s="23"/>
      <c r="O45" s="190">
        <f>IF(O44+1&lt;=MIN('Données projet'!$E$9:$E$18),O44+1,"STOP")</f>
        <v>12</v>
      </c>
      <c r="P45" s="181">
        <f t="shared" si="3"/>
        <v>100.24285702718105</v>
      </c>
      <c r="Q45" s="23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6"/>
      <c r="G46" s="199"/>
      <c r="H46" s="186"/>
      <c r="I46" s="187"/>
      <c r="J46" s="23"/>
      <c r="K46" s="204"/>
      <c r="L46" s="200"/>
      <c r="M46" s="200"/>
      <c r="N46" s="200"/>
      <c r="O46" s="190">
        <f>IF(O45+1&lt;=MIN('Données projet'!$E$9:$E$18),O45+1,"STOP")</f>
        <v>13</v>
      </c>
      <c r="P46" s="184">
        <f t="shared" si="3"/>
        <v>95.926178973378981</v>
      </c>
      <c r="Q46" s="23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7"/>
      <c r="G47" s="199"/>
      <c r="H47" s="186"/>
      <c r="I47" s="187"/>
      <c r="J47" s="23"/>
      <c r="K47" s="204"/>
      <c r="L47" s="4"/>
      <c r="M47" s="4"/>
      <c r="N47" s="4"/>
      <c r="O47" s="190">
        <f>IF(O46+1&lt;=MIN('Données projet'!$E$9:$E$18),O46+1,"STOP")</f>
        <v>14</v>
      </c>
      <c r="P47" s="181">
        <f t="shared" si="3"/>
        <v>91.795386577396187</v>
      </c>
      <c r="Q47" s="23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5" t="s">
        <v>132</v>
      </c>
      <c r="C48" s="194" t="s">
        <v>132</v>
      </c>
      <c r="D48" s="193" t="s">
        <v>132</v>
      </c>
      <c r="E48" s="189">
        <v>3317.87</v>
      </c>
      <c r="F48" s="227"/>
      <c r="G48" s="199"/>
      <c r="H48" s="186"/>
      <c r="I48" s="187"/>
      <c r="J48" s="23"/>
      <c r="K48" s="204"/>
      <c r="L48" s="4"/>
      <c r="M48" s="4"/>
      <c r="N48" s="4"/>
      <c r="O48" s="190">
        <f>IF(O47+1&lt;=MIN('Données projet'!$E$9:$E$18),O47+1,"STOP")</f>
        <v>15</v>
      </c>
      <c r="P48" s="181">
        <f t="shared" si="3"/>
        <v>87.842475193680542</v>
      </c>
      <c r="Q48" s="23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1" customFormat="1" ht="17.25" customHeight="1" x14ac:dyDescent="0.3">
      <c r="A49" s="49">
        <v>1</v>
      </c>
      <c r="B49" s="195" t="s">
        <v>132</v>
      </c>
      <c r="C49" s="194" t="s">
        <v>132</v>
      </c>
      <c r="D49" s="193" t="s">
        <v>132</v>
      </c>
      <c r="E49" s="189"/>
      <c r="F49" s="227"/>
      <c r="G49" s="200"/>
      <c r="H49" s="186"/>
      <c r="I49" s="187"/>
      <c r="J49" s="200"/>
      <c r="K49" s="206"/>
      <c r="L49" s="4"/>
      <c r="M49" s="4"/>
      <c r="N49" s="4"/>
      <c r="O49" s="190">
        <f>IF(O48+1&lt;=MIN('Données projet'!$E$9:$E$18),O48+1,"STOP")</f>
        <v>16</v>
      </c>
      <c r="P49" s="181">
        <f t="shared" si="3"/>
        <v>84.059784874335492</v>
      </c>
      <c r="Q49" s="232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</row>
    <row r="50" spans="1:56" x14ac:dyDescent="0.3">
      <c r="A50" s="49">
        <v>2</v>
      </c>
      <c r="B50" s="195" t="s">
        <v>132</v>
      </c>
      <c r="C50" s="194" t="s">
        <v>132</v>
      </c>
      <c r="D50" s="193" t="s">
        <v>132</v>
      </c>
      <c r="E50" s="189"/>
      <c r="F50" s="227"/>
      <c r="G50" s="23"/>
      <c r="H50" s="186"/>
      <c r="I50" s="187"/>
      <c r="J50" s="23"/>
      <c r="K50" s="169"/>
      <c r="L50" s="4"/>
      <c r="M50" s="4"/>
      <c r="N50" s="4"/>
      <c r="O50" s="190">
        <f>IF(O49+1&lt;=MIN('Données projet'!$E$9:$E$18),O49+1,"STOP")</f>
        <v>17</v>
      </c>
      <c r="P50" s="181">
        <f t="shared" si="3"/>
        <v>80.439985525679887</v>
      </c>
      <c r="Q50" s="23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5" t="s">
        <v>132</v>
      </c>
      <c r="C51" s="194" t="s">
        <v>132</v>
      </c>
      <c r="D51" s="193" t="s">
        <v>132</v>
      </c>
      <c r="E51" s="189"/>
      <c r="F51" s="227"/>
      <c r="G51" s="23"/>
      <c r="H51" s="186"/>
      <c r="I51" s="187"/>
      <c r="J51" s="23"/>
      <c r="K51" s="169"/>
      <c r="L51" s="4"/>
      <c r="M51" s="4"/>
      <c r="N51" s="4"/>
      <c r="O51" s="190">
        <f>IF(O50+1&lt;=MIN('Données projet'!$E$9:$E$18),O50+1,"STOP")</f>
        <v>18</v>
      </c>
      <c r="P51" s="181">
        <f t="shared" si="3"/>
        <v>76.976062703999915</v>
      </c>
      <c r="Q51" s="23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5" t="s">
        <v>132</v>
      </c>
      <c r="C52" s="194" t="s">
        <v>132</v>
      </c>
      <c r="D52" s="193" t="s">
        <v>132</v>
      </c>
      <c r="E52" s="189"/>
      <c r="F52" s="227"/>
      <c r="G52" s="23"/>
      <c r="H52" s="186"/>
      <c r="I52" s="187"/>
      <c r="J52" s="23"/>
      <c r="K52" s="169"/>
      <c r="L52" s="4"/>
      <c r="M52" s="4"/>
      <c r="N52" s="4"/>
      <c r="O52" s="190">
        <f>IF(O51+1&lt;=MIN('Données projet'!$E$9:$E$18),O51+1,"STOP")</f>
        <v>19</v>
      </c>
      <c r="P52" s="181">
        <f t="shared" si="3"/>
        <v>73.661304022966419</v>
      </c>
      <c r="Q52" s="23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5" t="s">
        <v>132</v>
      </c>
      <c r="C53" s="194" t="s">
        <v>132</v>
      </c>
      <c r="D53" s="193" t="s">
        <v>132</v>
      </c>
      <c r="E53" s="189"/>
      <c r="F53" s="227"/>
      <c r="G53" s="201"/>
      <c r="H53" s="186"/>
      <c r="I53" s="187"/>
      <c r="J53" s="23"/>
      <c r="K53" s="169"/>
      <c r="L53" s="4"/>
      <c r="M53" s="4"/>
      <c r="N53" s="4"/>
      <c r="O53" s="190">
        <f>IF(O52+1&lt;=MIN('Données projet'!$E$9:$E$18),O52+1,"STOP")</f>
        <v>20</v>
      </c>
      <c r="P53" s="181">
        <f t="shared" si="3"/>
        <v>70.489286146379371</v>
      </c>
      <c r="Q53" s="23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6">
        <f>'Données projet'!A62</f>
        <v>20</v>
      </c>
      <c r="B54" s="177">
        <f>'Données projet'!D62</f>
        <v>6</v>
      </c>
      <c r="C54" s="187">
        <v>15</v>
      </c>
      <c r="D54" s="175">
        <f>B54*C54</f>
        <v>90</v>
      </c>
      <c r="E54" s="189"/>
      <c r="F54" s="228"/>
      <c r="G54" s="201"/>
      <c r="H54" s="186"/>
      <c r="I54" s="187"/>
      <c r="J54" s="23"/>
      <c r="K54" s="169"/>
      <c r="L54" s="4"/>
      <c r="M54" s="4"/>
      <c r="N54" s="4"/>
      <c r="O54" s="190">
        <f>IF(O53+1&lt;=MIN('Données projet'!$E$9:$E$18),O53+1,"STOP")</f>
        <v>21</v>
      </c>
      <c r="P54" s="181">
        <f t="shared" si="3"/>
        <v>67.453862341032888</v>
      </c>
      <c r="Q54" s="23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6">
        <f>'Données projet'!A63</f>
        <v>25</v>
      </c>
      <c r="B55" s="177">
        <f>'Données projet'!D63</f>
        <v>28</v>
      </c>
      <c r="C55" s="187">
        <v>15</v>
      </c>
      <c r="D55" s="175">
        <f t="shared" ref="D55:D73" si="4">B55*C55</f>
        <v>420</v>
      </c>
      <c r="E55" s="189"/>
      <c r="F55" s="228"/>
      <c r="G55" s="201"/>
      <c r="H55" s="186"/>
      <c r="I55" s="187"/>
      <c r="J55" s="23"/>
      <c r="K55" s="169"/>
      <c r="L55" s="4"/>
      <c r="M55" s="4"/>
      <c r="N55" s="4"/>
      <c r="O55" s="190">
        <f>IF(O54+1&lt;=MIN('Données projet'!$E$9:$E$18),O54+1,"STOP")</f>
        <v>22</v>
      </c>
      <c r="P55" s="181">
        <f t="shared" si="3"/>
        <v>64.549150565581726</v>
      </c>
      <c r="Q55" s="23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6">
        <f>'Données projet'!A64</f>
        <v>30</v>
      </c>
      <c r="B56" s="177">
        <f>'Données projet'!D64</f>
        <v>28</v>
      </c>
      <c r="C56" s="187">
        <v>15</v>
      </c>
      <c r="D56" s="175">
        <f t="shared" si="4"/>
        <v>420</v>
      </c>
      <c r="E56" s="189"/>
      <c r="F56" s="228"/>
      <c r="G56" s="201"/>
      <c r="H56" s="186"/>
      <c r="I56" s="187"/>
      <c r="J56" s="23"/>
      <c r="K56" s="169"/>
      <c r="L56" s="4"/>
      <c r="M56" s="4"/>
      <c r="N56" s="4"/>
      <c r="O56" s="190">
        <f>IF(O55+1&lt;=MIN('Données projet'!$E$9:$E$18),O55+1,"STOP")</f>
        <v>23</v>
      </c>
      <c r="P56" s="181">
        <f t="shared" si="3"/>
        <v>61.769522072327014</v>
      </c>
      <c r="Q56" s="23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6">
        <f>'Données projet'!A65</f>
        <v>35</v>
      </c>
      <c r="B57" s="177">
        <f>'Données projet'!D65</f>
        <v>28</v>
      </c>
      <c r="C57" s="187"/>
      <c r="D57" s="175">
        <f t="shared" si="4"/>
        <v>0</v>
      </c>
      <c r="E57" s="189"/>
      <c r="F57" s="228"/>
      <c r="G57" s="201"/>
      <c r="H57" s="186"/>
      <c r="I57" s="187"/>
      <c r="J57" s="23"/>
      <c r="K57" s="169"/>
      <c r="L57" s="4"/>
      <c r="M57" s="4"/>
      <c r="N57" s="4"/>
      <c r="O57" s="190">
        <f>IF(O56+1&lt;=MIN('Données projet'!$E$9:$E$18),O56+1,"STOP")</f>
        <v>24</v>
      </c>
      <c r="P57" s="181">
        <f t="shared" si="3"/>
        <v>59.109590499834475</v>
      </c>
      <c r="Q57" s="23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6">
        <f>'Données projet'!A66</f>
        <v>40</v>
      </c>
      <c r="B58" s="177">
        <f>'Données projet'!D66</f>
        <v>28</v>
      </c>
      <c r="C58" s="187"/>
      <c r="D58" s="175">
        <f t="shared" si="4"/>
        <v>0</v>
      </c>
      <c r="E58" s="189"/>
      <c r="F58" s="228"/>
      <c r="G58" s="201"/>
      <c r="H58" s="186"/>
      <c r="I58" s="187"/>
      <c r="J58" s="23"/>
      <c r="K58" s="169"/>
      <c r="L58" s="4"/>
      <c r="M58" s="4"/>
      <c r="N58" s="4"/>
      <c r="O58" s="190" t="str">
        <f>IF(O57+1&lt;=MIN('Données projet'!$E$9:$E$18),O57+1,"STOP")</f>
        <v>STOP</v>
      </c>
      <c r="P58" s="181" t="e">
        <f t="shared" si="3"/>
        <v>#VALUE!</v>
      </c>
      <c r="Q58" s="231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6">
        <f>'Données projet'!A67</f>
        <v>45</v>
      </c>
      <c r="B59" s="177">
        <f>'Données projet'!D67</f>
        <v>28</v>
      </c>
      <c r="C59" s="187"/>
      <c r="D59" s="175">
        <f t="shared" si="4"/>
        <v>0</v>
      </c>
      <c r="E59" s="189"/>
      <c r="F59" s="228"/>
      <c r="G59" s="201"/>
      <c r="H59" s="186"/>
      <c r="I59" s="187"/>
      <c r="J59" s="23"/>
      <c r="K59" s="169"/>
      <c r="L59" s="4"/>
      <c r="M59" s="4"/>
      <c r="N59" s="4"/>
      <c r="O59" s="190" t="e">
        <f>IF(O58+1&lt;=MIN('Données projet'!$E$9:$E$18),O58+1,"STOP")</f>
        <v>#VALUE!</v>
      </c>
      <c r="P59" s="181" t="e">
        <f t="shared" si="3"/>
        <v>#VALUE!</v>
      </c>
      <c r="Q59" s="231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6">
        <f>'Données projet'!A68</f>
        <v>50</v>
      </c>
      <c r="B60" s="177">
        <f>'Données projet'!D68</f>
        <v>28</v>
      </c>
      <c r="C60" s="187"/>
      <c r="D60" s="175">
        <f t="shared" si="4"/>
        <v>0</v>
      </c>
      <c r="E60" s="189"/>
      <c r="F60" s="228"/>
      <c r="G60" s="202"/>
      <c r="H60" s="186"/>
      <c r="I60" s="187"/>
      <c r="J60" s="23"/>
      <c r="K60" s="169"/>
      <c r="L60" s="4"/>
      <c r="M60" s="4"/>
      <c r="N60" s="4"/>
      <c r="O60" s="190" t="e">
        <f>IF(O59+1&lt;=MIN('Données projet'!$E$9:$E$18),O59+1,"STOP")</f>
        <v>#VALUE!</v>
      </c>
      <c r="P60" s="181" t="e">
        <f t="shared" si="3"/>
        <v>#VALUE!</v>
      </c>
      <c r="Q60" s="231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6">
        <f>'Données projet'!A69</f>
        <v>55</v>
      </c>
      <c r="B61" s="177">
        <f>'Données projet'!D69</f>
        <v>28</v>
      </c>
      <c r="C61" s="187"/>
      <c r="D61" s="175">
        <f t="shared" si="4"/>
        <v>0</v>
      </c>
      <c r="E61" s="189"/>
      <c r="F61" s="228"/>
      <c r="G61" s="202"/>
      <c r="H61" s="186"/>
      <c r="I61" s="187"/>
      <c r="J61" s="23"/>
      <c r="K61" s="169"/>
      <c r="L61" s="4"/>
      <c r="M61" s="4"/>
      <c r="N61" s="4"/>
      <c r="O61" s="190" t="e">
        <f>IF(O60+1&lt;=MIN('Données projet'!$E$9:$E$18),O60+1,"STOP")</f>
        <v>#VALUE!</v>
      </c>
      <c r="P61" s="181" t="e">
        <f t="shared" si="3"/>
        <v>#VALUE!</v>
      </c>
      <c r="Q61" s="231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6">
        <f>'Données projet'!A70</f>
        <v>60</v>
      </c>
      <c r="B62" s="177">
        <f>'Données projet'!D70</f>
        <v>28</v>
      </c>
      <c r="C62" s="187"/>
      <c r="D62" s="175">
        <f t="shared" si="4"/>
        <v>0</v>
      </c>
      <c r="E62" s="189"/>
      <c r="F62" s="228"/>
      <c r="G62" s="202"/>
      <c r="H62" s="186"/>
      <c r="I62" s="187"/>
      <c r="J62" s="23"/>
      <c r="K62" s="169"/>
      <c r="L62" s="4"/>
      <c r="M62" s="4"/>
      <c r="N62" s="4"/>
      <c r="O62" s="190" t="e">
        <f>IF(O61+1&lt;=MIN('Données projet'!$E$9:$E$18),O61+1,"STOP")</f>
        <v>#VALUE!</v>
      </c>
      <c r="P62" s="181" t="e">
        <f t="shared" si="3"/>
        <v>#VALUE!</v>
      </c>
      <c r="Q62" s="231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6">
        <f>'Données projet'!A71</f>
        <v>65</v>
      </c>
      <c r="B63" s="177">
        <f>'Données projet'!D71</f>
        <v>28</v>
      </c>
      <c r="C63" s="187"/>
      <c r="D63" s="175">
        <f t="shared" si="4"/>
        <v>0</v>
      </c>
      <c r="E63" s="189"/>
      <c r="F63" s="228"/>
      <c r="G63" s="202"/>
      <c r="H63" s="186"/>
      <c r="I63" s="187"/>
      <c r="J63" s="23"/>
      <c r="K63" s="169"/>
      <c r="L63" s="4"/>
      <c r="M63" s="4"/>
      <c r="N63" s="4"/>
      <c r="O63" s="190" t="e">
        <f>IF(O62+1&lt;=MIN('Données projet'!$E$9:$E$18),O62+1,"STOP")</f>
        <v>#VALUE!</v>
      </c>
      <c r="P63" s="181" t="e">
        <f t="shared" si="3"/>
        <v>#VALUE!</v>
      </c>
      <c r="Q63" s="231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6">
        <f>'Données projet'!A72</f>
        <v>70</v>
      </c>
      <c r="B64" s="177">
        <f>'Données projet'!D72</f>
        <v>28</v>
      </c>
      <c r="C64" s="187"/>
      <c r="D64" s="175">
        <f t="shared" si="4"/>
        <v>0</v>
      </c>
      <c r="E64" s="189"/>
      <c r="F64" s="228"/>
      <c r="G64" s="202"/>
      <c r="H64" s="186"/>
      <c r="I64" s="187"/>
      <c r="J64" s="203"/>
      <c r="K64" s="169"/>
      <c r="L64" s="4"/>
      <c r="M64" s="4"/>
      <c r="N64" s="4"/>
      <c r="O64" s="190" t="e">
        <f>IF(O63+1&lt;=MIN('Données projet'!$E$9:$E$18),O63+1,"STOP")</f>
        <v>#VALUE!</v>
      </c>
      <c r="P64" s="181" t="e">
        <f t="shared" si="3"/>
        <v>#VALUE!</v>
      </c>
      <c r="Q64" s="231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6">
        <f>'Données projet'!A73</f>
        <v>75</v>
      </c>
      <c r="B65" s="177">
        <f>'Données projet'!D73</f>
        <v>28</v>
      </c>
      <c r="C65" s="187"/>
      <c r="D65" s="175">
        <f t="shared" si="4"/>
        <v>0</v>
      </c>
      <c r="E65" s="189"/>
      <c r="F65" s="228"/>
      <c r="G65" s="202"/>
      <c r="H65" s="186"/>
      <c r="I65" s="187"/>
      <c r="J65" s="185"/>
      <c r="K65" s="169"/>
      <c r="L65" s="4"/>
      <c r="M65" s="4"/>
      <c r="N65" s="4"/>
      <c r="O65" s="190" t="e">
        <f>IF(O64+1&lt;=MIN('Données projet'!$E$9:$E$18),O64+1,"STOP")</f>
        <v>#VALUE!</v>
      </c>
      <c r="P65" s="181" t="e">
        <f t="shared" ref="P65:P96" si="5">$P$25/(1+$M$4)^O65</f>
        <v>#VALUE!</v>
      </c>
      <c r="Q65" s="231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6">
        <f>'Données projet'!A74</f>
        <v>80</v>
      </c>
      <c r="B66" s="177">
        <f>'Données projet'!D74</f>
        <v>28</v>
      </c>
      <c r="C66" s="187"/>
      <c r="D66" s="175">
        <f t="shared" si="4"/>
        <v>0</v>
      </c>
      <c r="E66" s="189"/>
      <c r="F66" s="228"/>
      <c r="G66" s="202"/>
      <c r="H66" s="186"/>
      <c r="I66" s="187"/>
      <c r="J66" s="185"/>
      <c r="K66" s="169"/>
      <c r="L66" s="4"/>
      <c r="M66" s="4"/>
      <c r="N66" s="4"/>
      <c r="O66" s="190" t="e">
        <f>IF(O65+1&lt;=MIN('Données projet'!$E$9:$E$18),O65+1,"STOP")</f>
        <v>#VALUE!</v>
      </c>
      <c r="P66" s="181" t="e">
        <f t="shared" si="5"/>
        <v>#VALUE!</v>
      </c>
      <c r="Q66" s="231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6">
        <f>'Données projet'!A75</f>
        <v>85</v>
      </c>
      <c r="B67" s="177">
        <f>'Données projet'!D75</f>
        <v>28</v>
      </c>
      <c r="C67" s="187"/>
      <c r="D67" s="175">
        <f t="shared" si="4"/>
        <v>0</v>
      </c>
      <c r="E67" s="189"/>
      <c r="F67" s="228"/>
      <c r="G67" s="202"/>
      <c r="H67" s="186"/>
      <c r="I67" s="187"/>
      <c r="J67" s="185"/>
      <c r="K67" s="169"/>
      <c r="L67" s="4"/>
      <c r="M67" s="4"/>
      <c r="N67" s="4"/>
      <c r="O67" s="190" t="e">
        <f>IF(O66+1&lt;=MIN('Données projet'!$E$9:$E$18),O66+1,"STOP")</f>
        <v>#VALUE!</v>
      </c>
      <c r="P67" s="181" t="e">
        <f t="shared" si="5"/>
        <v>#VALUE!</v>
      </c>
      <c r="Q67" s="231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6">
        <f>'Données projet'!A76</f>
        <v>90</v>
      </c>
      <c r="B68" s="177">
        <f>'Données projet'!D76</f>
        <v>28</v>
      </c>
      <c r="C68" s="187"/>
      <c r="D68" s="175">
        <f t="shared" si="4"/>
        <v>0</v>
      </c>
      <c r="E68" s="189"/>
      <c r="F68" s="228"/>
      <c r="G68" s="202"/>
      <c r="H68" s="186"/>
      <c r="I68" s="187"/>
      <c r="J68" s="185"/>
      <c r="K68" s="169"/>
      <c r="L68" s="4"/>
      <c r="M68" s="4"/>
      <c r="N68" s="4"/>
      <c r="O68" s="190" t="e">
        <f>IF(O67+1&lt;=MIN('Données projet'!$E$9:$E$18),O67+1,"STOP")</f>
        <v>#VALUE!</v>
      </c>
      <c r="P68" s="181" t="e">
        <f t="shared" si="5"/>
        <v>#VALUE!</v>
      </c>
      <c r="Q68" s="231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6">
        <f>'Données projet'!A77</f>
        <v>95</v>
      </c>
      <c r="B69" s="177">
        <f>'Données projet'!D77</f>
        <v>28</v>
      </c>
      <c r="C69" s="187"/>
      <c r="D69" s="175">
        <f t="shared" si="4"/>
        <v>0</v>
      </c>
      <c r="E69" s="189"/>
      <c r="F69" s="228"/>
      <c r="G69" s="202"/>
      <c r="H69" s="186"/>
      <c r="I69" s="187"/>
      <c r="J69" s="185"/>
      <c r="K69" s="169"/>
      <c r="L69" s="4"/>
      <c r="M69" s="4"/>
      <c r="N69" s="4"/>
      <c r="O69" s="190" t="e">
        <f>IF(O68+1&lt;=MIN('Données projet'!$E$9:$E$18),O68+1,"STOP")</f>
        <v>#VALUE!</v>
      </c>
      <c r="P69" s="181" t="e">
        <f t="shared" si="5"/>
        <v>#VALUE!</v>
      </c>
      <c r="Q69" s="23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6">
        <f>'Données projet'!A78</f>
        <v>100</v>
      </c>
      <c r="B70" s="177">
        <f>'Données projet'!D78</f>
        <v>27</v>
      </c>
      <c r="C70" s="187"/>
      <c r="D70" s="175">
        <f t="shared" si="4"/>
        <v>0</v>
      </c>
      <c r="E70" s="189"/>
      <c r="F70" s="228"/>
      <c r="G70" s="202"/>
      <c r="H70" s="186"/>
      <c r="I70" s="187"/>
      <c r="J70" s="185"/>
      <c r="K70" s="169"/>
      <c r="L70" s="4"/>
      <c r="M70" s="4"/>
      <c r="N70" s="4"/>
      <c r="O70" s="190" t="e">
        <f>IF(O69+1&lt;=MIN('Données projet'!$E$9:$E$18),O69+1,"STOP")</f>
        <v>#VALUE!</v>
      </c>
      <c r="P70" s="181" t="e">
        <f t="shared" si="5"/>
        <v>#VALUE!</v>
      </c>
      <c r="Q70" s="231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6">
        <f>'Données projet'!A79</f>
        <v>105</v>
      </c>
      <c r="B71" s="177">
        <f>'Données projet'!D79</f>
        <v>26</v>
      </c>
      <c r="C71" s="187"/>
      <c r="D71" s="175">
        <f t="shared" si="4"/>
        <v>0</v>
      </c>
      <c r="E71" s="189"/>
      <c r="F71" s="228"/>
      <c r="G71" s="202"/>
      <c r="H71" s="186"/>
      <c r="I71" s="187"/>
      <c r="J71" s="185"/>
      <c r="K71" s="169"/>
      <c r="L71" s="4"/>
      <c r="M71" s="4"/>
      <c r="N71" s="4"/>
      <c r="O71" s="190" t="e">
        <f>IF(O70+1&lt;=MIN('Données projet'!$E$9:$E$18),O70+1,"STOP")</f>
        <v>#VALUE!</v>
      </c>
      <c r="P71" s="181" t="e">
        <f t="shared" si="5"/>
        <v>#VALUE!</v>
      </c>
      <c r="Q71" s="231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6">
        <f>'Données projet'!A80</f>
        <v>110</v>
      </c>
      <c r="B72" s="177">
        <f>'Données projet'!D80</f>
        <v>25</v>
      </c>
      <c r="C72" s="187"/>
      <c r="D72" s="175">
        <f t="shared" si="4"/>
        <v>0</v>
      </c>
      <c r="E72" s="189"/>
      <c r="F72" s="228"/>
      <c r="G72" s="202"/>
      <c r="H72" s="186"/>
      <c r="I72" s="187"/>
      <c r="J72" s="4"/>
      <c r="K72" s="169"/>
      <c r="L72" s="4"/>
      <c r="M72" s="4"/>
      <c r="N72" s="4"/>
      <c r="O72" s="190" t="e">
        <f>IF(O71+1&lt;=MIN('Données projet'!$E$9:$E$18),O71+1,"STOP")</f>
        <v>#VALUE!</v>
      </c>
      <c r="P72" s="181" t="e">
        <f t="shared" si="5"/>
        <v>#VALUE!</v>
      </c>
      <c r="Q72" s="23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6">
        <f>'Données projet'!A81</f>
        <v>115</v>
      </c>
      <c r="B73" s="177">
        <f>'Données projet'!D81</f>
        <v>24</v>
      </c>
      <c r="C73" s="187"/>
      <c r="D73" s="175">
        <f t="shared" si="4"/>
        <v>0</v>
      </c>
      <c r="E73" s="189"/>
      <c r="F73" s="228"/>
      <c r="G73" s="202"/>
      <c r="H73" s="186"/>
      <c r="I73" s="187"/>
      <c r="J73" s="4"/>
      <c r="K73" s="169"/>
      <c r="L73" s="4"/>
      <c r="M73" s="4"/>
      <c r="N73" s="4"/>
      <c r="O73" s="190" t="e">
        <f>IF(O72+1&lt;=MIN('Données projet'!$E$9:$E$18),O72+1,"STOP")</f>
        <v>#VALUE!</v>
      </c>
      <c r="P73" s="181" t="e">
        <f t="shared" si="5"/>
        <v>#VALUE!</v>
      </c>
      <c r="Q73" s="231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6"/>
      <c r="G74" s="202"/>
      <c r="H74" s="186"/>
      <c r="I74" s="187"/>
      <c r="J74" s="4"/>
      <c r="K74" s="169"/>
      <c r="L74" s="4"/>
      <c r="M74" s="4"/>
      <c r="N74" s="4"/>
      <c r="O74" s="190" t="e">
        <f>IF(O73+1&lt;=MIN('Données projet'!$E$9:$E$18),O73+1,"STOP")</f>
        <v>#VALUE!</v>
      </c>
      <c r="P74" s="181" t="e">
        <f t="shared" si="5"/>
        <v>#VALUE!</v>
      </c>
      <c r="Q74" s="231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6"/>
      <c r="G75" s="202"/>
      <c r="H75" s="186"/>
      <c r="I75" s="187"/>
      <c r="J75" s="4"/>
      <c r="K75" s="169"/>
      <c r="L75" s="4"/>
      <c r="M75" s="4"/>
      <c r="N75" s="4"/>
      <c r="O75" s="190" t="e">
        <f>IF(O74+1&lt;=MIN('Données projet'!$E$9:$E$18),O74+1,"STOP")</f>
        <v>#VALUE!</v>
      </c>
      <c r="P75" s="181" t="e">
        <f t="shared" si="5"/>
        <v>#VALUE!</v>
      </c>
      <c r="Q75" s="231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0" t="str">
        <f>IF('Données projet'!B11="","",'Données projet'!B11)</f>
        <v>Hêtre</v>
      </c>
      <c r="C76" s="4"/>
      <c r="D76" s="4"/>
      <c r="E76" s="4"/>
      <c r="F76" s="226"/>
      <c r="G76" s="202"/>
      <c r="H76" s="186"/>
      <c r="I76" s="187"/>
      <c r="J76" s="4"/>
      <c r="K76" s="169"/>
      <c r="L76" s="4"/>
      <c r="M76" s="4"/>
      <c r="N76" s="4"/>
      <c r="O76" s="190" t="e">
        <f>IF(O75+1&lt;=MIN('Données projet'!$E$9:$E$18),O75+1,"STOP")</f>
        <v>#VALUE!</v>
      </c>
      <c r="P76" s="181" t="e">
        <f t="shared" si="5"/>
        <v>#VALUE!</v>
      </c>
      <c r="Q76" s="231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6"/>
      <c r="G77" s="202"/>
      <c r="H77" s="186"/>
      <c r="I77" s="187"/>
      <c r="J77" s="4"/>
      <c r="K77" s="169"/>
      <c r="L77" s="4"/>
      <c r="M77" s="4"/>
      <c r="N77" s="4"/>
      <c r="O77" s="190" t="e">
        <f>IF(O76+1&lt;=MIN('Données projet'!$E$9:$E$18),O76+1,"STOP")</f>
        <v>#VALUE!</v>
      </c>
      <c r="P77" s="181" t="e">
        <f t="shared" si="5"/>
        <v>#VALUE!</v>
      </c>
      <c r="Q77" s="231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7"/>
      <c r="G78" s="202"/>
      <c r="H78" s="186"/>
      <c r="I78" s="187"/>
      <c r="J78" s="4"/>
      <c r="K78" s="169"/>
      <c r="L78" s="4"/>
      <c r="M78" s="4"/>
      <c r="N78" s="4"/>
      <c r="O78" s="190" t="e">
        <f>IF(O77+1&lt;=MIN('Données projet'!$E$9:$E$18),O77+1,"STOP")</f>
        <v>#VALUE!</v>
      </c>
      <c r="P78" s="181" t="e">
        <f t="shared" si="5"/>
        <v>#VALUE!</v>
      </c>
      <c r="Q78" s="23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5" t="s">
        <v>132</v>
      </c>
      <c r="C79" s="194" t="s">
        <v>132</v>
      </c>
      <c r="D79" s="193" t="s">
        <v>132</v>
      </c>
      <c r="E79" s="189">
        <v>2534.06</v>
      </c>
      <c r="F79" s="227"/>
      <c r="G79" s="202"/>
      <c r="H79" s="186"/>
      <c r="I79" s="187"/>
      <c r="J79" s="4"/>
      <c r="K79" s="169"/>
      <c r="L79" s="4"/>
      <c r="M79" s="4"/>
      <c r="N79" s="4"/>
      <c r="O79" s="190" t="e">
        <f>IF(O78+1&lt;=MIN('Données projet'!$E$9:$E$18),O78+1,"STOP")</f>
        <v>#VALUE!</v>
      </c>
      <c r="P79" s="181" t="e">
        <f t="shared" si="5"/>
        <v>#VALUE!</v>
      </c>
      <c r="Q79" s="23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5" t="s">
        <v>132</v>
      </c>
      <c r="C80" s="194" t="s">
        <v>132</v>
      </c>
      <c r="D80" s="193" t="s">
        <v>132</v>
      </c>
      <c r="E80" s="189"/>
      <c r="F80" s="227"/>
      <c r="G80" s="23"/>
      <c r="H80" s="186"/>
      <c r="I80" s="187"/>
      <c r="J80" s="4"/>
      <c r="K80" s="169"/>
      <c r="L80" s="4"/>
      <c r="M80" s="4"/>
      <c r="N80" s="4"/>
      <c r="O80" s="190" t="e">
        <f>IF(O79+1&lt;=MIN('Données projet'!$E$9:$E$18),O79+1,"STOP")</f>
        <v>#VALUE!</v>
      </c>
      <c r="P80" s="181" t="e">
        <f t="shared" si="5"/>
        <v>#VALUE!</v>
      </c>
      <c r="Q80" s="23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5" t="s">
        <v>132</v>
      </c>
      <c r="C81" s="194" t="s">
        <v>132</v>
      </c>
      <c r="D81" s="193" t="s">
        <v>132</v>
      </c>
      <c r="E81" s="189"/>
      <c r="F81" s="227"/>
      <c r="G81" s="23"/>
      <c r="H81" s="186"/>
      <c r="I81" s="187"/>
      <c r="J81" s="4"/>
      <c r="K81" s="169"/>
      <c r="L81" s="4"/>
      <c r="M81" s="4"/>
      <c r="N81" s="4"/>
      <c r="O81" s="190" t="e">
        <f>IF(O80+1&lt;=MIN('Données projet'!$E$9:$E$18),O80+1,"STOP")</f>
        <v>#VALUE!</v>
      </c>
      <c r="P81" s="181" t="e">
        <f t="shared" si="5"/>
        <v>#VALUE!</v>
      </c>
      <c r="Q81" s="23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5" t="s">
        <v>132</v>
      </c>
      <c r="C82" s="194" t="s">
        <v>132</v>
      </c>
      <c r="D82" s="193" t="s">
        <v>132</v>
      </c>
      <c r="E82" s="189"/>
      <c r="F82" s="227"/>
      <c r="G82" s="23"/>
      <c r="H82" s="186"/>
      <c r="I82" s="187"/>
      <c r="J82" s="4"/>
      <c r="K82" s="169"/>
      <c r="L82" s="4"/>
      <c r="M82" s="4"/>
      <c r="N82" s="4"/>
      <c r="O82" s="190" t="e">
        <f>IF(O81+1&lt;=MIN('Données projet'!$E$9:$E$18),O81+1,"STOP")</f>
        <v>#VALUE!</v>
      </c>
      <c r="P82" s="181" t="e">
        <f t="shared" si="5"/>
        <v>#VALUE!</v>
      </c>
      <c r="Q82" s="231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5" t="s">
        <v>132</v>
      </c>
      <c r="C83" s="194" t="s">
        <v>132</v>
      </c>
      <c r="D83" s="193" t="s">
        <v>132</v>
      </c>
      <c r="E83" s="189"/>
      <c r="F83" s="227"/>
      <c r="G83" s="23"/>
      <c r="H83" s="186"/>
      <c r="I83" s="187"/>
      <c r="J83" s="4"/>
      <c r="K83" s="169"/>
      <c r="L83" s="4"/>
      <c r="M83" s="4"/>
      <c r="N83" s="4"/>
      <c r="O83" s="190" t="e">
        <f>IF(O82+1&lt;=MIN('Données projet'!$E$9:$E$18),O82+1,"STOP")</f>
        <v>#VALUE!</v>
      </c>
      <c r="P83" s="181" t="e">
        <f t="shared" si="5"/>
        <v>#VALUE!</v>
      </c>
      <c r="Q83" s="23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5" t="s">
        <v>132</v>
      </c>
      <c r="C84" s="194" t="s">
        <v>132</v>
      </c>
      <c r="D84" s="193" t="s">
        <v>132</v>
      </c>
      <c r="E84" s="189"/>
      <c r="F84" s="227"/>
      <c r="G84" s="201"/>
      <c r="H84" s="186"/>
      <c r="I84" s="187"/>
      <c r="J84" s="4"/>
      <c r="K84" s="169"/>
      <c r="L84" s="4"/>
      <c r="M84" s="4"/>
      <c r="N84" s="4"/>
      <c r="O84" s="190" t="e">
        <f>IF(O83+1&lt;=MIN('Données projet'!$E$9:$E$18),O83+1,"STOP")</f>
        <v>#VALUE!</v>
      </c>
      <c r="P84" s="181" t="e">
        <f t="shared" si="5"/>
        <v>#VALUE!</v>
      </c>
      <c r="Q84" s="23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6">
        <f>'Données projet'!A88</f>
        <v>20</v>
      </c>
      <c r="B85" s="177">
        <f>'Données projet'!D88</f>
        <v>0</v>
      </c>
      <c r="C85" s="187">
        <v>15</v>
      </c>
      <c r="D85" s="175">
        <f>B85*C85</f>
        <v>0</v>
      </c>
      <c r="E85" s="189"/>
      <c r="F85" s="228"/>
      <c r="G85" s="201"/>
      <c r="H85" s="186"/>
      <c r="I85" s="187"/>
      <c r="J85" s="4"/>
      <c r="K85" s="169"/>
      <c r="L85" s="4"/>
      <c r="M85" s="4"/>
      <c r="N85" s="4"/>
      <c r="O85" s="190" t="e">
        <f>IF(O84+1&lt;=MIN('Données projet'!$E$9:$E$18),O84+1,"STOP")</f>
        <v>#VALUE!</v>
      </c>
      <c r="P85" s="181" t="e">
        <f t="shared" si="5"/>
        <v>#VALUE!</v>
      </c>
      <c r="Q85" s="23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6">
        <f>'Données projet'!A89</f>
        <v>25</v>
      </c>
      <c r="B86" s="177">
        <f>'Données projet'!D89</f>
        <v>7</v>
      </c>
      <c r="C86" s="187">
        <v>15</v>
      </c>
      <c r="D86" s="175">
        <f t="shared" ref="D86:D104" si="6">B86*C86</f>
        <v>105</v>
      </c>
      <c r="E86" s="189"/>
      <c r="F86" s="228"/>
      <c r="G86" s="201"/>
      <c r="H86" s="186"/>
      <c r="I86" s="187"/>
      <c r="J86" s="4"/>
      <c r="K86" s="169"/>
      <c r="L86" s="4"/>
      <c r="M86" s="4"/>
      <c r="N86" s="4"/>
      <c r="O86" s="190" t="e">
        <f>IF(O85+1&lt;=MIN('Données projet'!$E$9:$E$18),O85+1,"STOP")</f>
        <v>#VALUE!</v>
      </c>
      <c r="P86" s="181" t="e">
        <f t="shared" si="5"/>
        <v>#VALUE!</v>
      </c>
      <c r="Q86" s="23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6">
        <f>'Données projet'!A90</f>
        <v>30</v>
      </c>
      <c r="B87" s="177">
        <f>'Données projet'!D90</f>
        <v>28</v>
      </c>
      <c r="C87" s="187">
        <v>15</v>
      </c>
      <c r="D87" s="175">
        <f t="shared" si="6"/>
        <v>420</v>
      </c>
      <c r="E87" s="189"/>
      <c r="F87" s="228"/>
      <c r="G87" s="201"/>
      <c r="H87" s="186"/>
      <c r="I87" s="187"/>
      <c r="J87" s="4"/>
      <c r="K87" s="169"/>
      <c r="L87" s="4"/>
      <c r="M87" s="4"/>
      <c r="N87" s="4"/>
      <c r="O87" s="190" t="e">
        <f>IF(O86+1&lt;=MIN('Données projet'!$E$9:$E$18),O86+1,"STOP")</f>
        <v>#VALUE!</v>
      </c>
      <c r="P87" s="181" t="e">
        <f t="shared" si="5"/>
        <v>#VALUE!</v>
      </c>
      <c r="Q87" s="23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6">
        <f>'Données projet'!A91</f>
        <v>35</v>
      </c>
      <c r="B88" s="177">
        <f>'Données projet'!D91</f>
        <v>28</v>
      </c>
      <c r="C88" s="187"/>
      <c r="D88" s="175">
        <f t="shared" si="6"/>
        <v>0</v>
      </c>
      <c r="E88" s="189"/>
      <c r="F88" s="228"/>
      <c r="G88" s="201"/>
      <c r="H88" s="186"/>
      <c r="I88" s="187"/>
      <c r="J88" s="4"/>
      <c r="K88" s="169"/>
      <c r="L88" s="4"/>
      <c r="M88" s="4"/>
      <c r="N88" s="4"/>
      <c r="O88" s="190" t="e">
        <f>IF(O87+1&lt;=MIN('Données projet'!$E$9:$E$18),O87+1,"STOP")</f>
        <v>#VALUE!</v>
      </c>
      <c r="P88" s="181" t="e">
        <f t="shared" si="5"/>
        <v>#VALUE!</v>
      </c>
      <c r="Q88" s="23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6">
        <f>'Données projet'!A92</f>
        <v>40</v>
      </c>
      <c r="B89" s="177">
        <f>'Données projet'!D92</f>
        <v>28</v>
      </c>
      <c r="C89" s="187"/>
      <c r="D89" s="175">
        <f t="shared" si="6"/>
        <v>0</v>
      </c>
      <c r="E89" s="189"/>
      <c r="F89" s="228"/>
      <c r="G89" s="201"/>
      <c r="H89" s="186"/>
      <c r="I89" s="187"/>
      <c r="J89" s="4"/>
      <c r="K89" s="169"/>
      <c r="L89" s="4"/>
      <c r="M89" s="4"/>
      <c r="N89" s="4"/>
      <c r="O89" s="190" t="e">
        <f>IF(O88+1&lt;=MIN('Données projet'!$E$9:$E$18),O88+1,"STOP")</f>
        <v>#VALUE!</v>
      </c>
      <c r="P89" s="181" t="e">
        <f t="shared" si="5"/>
        <v>#VALUE!</v>
      </c>
      <c r="Q89" s="23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6">
        <f>'Données projet'!A93</f>
        <v>45</v>
      </c>
      <c r="B90" s="177">
        <f>'Données projet'!D93</f>
        <v>28</v>
      </c>
      <c r="C90" s="187"/>
      <c r="D90" s="175">
        <f t="shared" si="6"/>
        <v>0</v>
      </c>
      <c r="E90" s="189"/>
      <c r="F90" s="228"/>
      <c r="G90" s="201"/>
      <c r="H90" s="186"/>
      <c r="I90" s="187"/>
      <c r="J90" s="4"/>
      <c r="K90" s="169"/>
      <c r="L90" s="4"/>
      <c r="M90" s="4"/>
      <c r="N90" s="4"/>
      <c r="O90" s="190" t="e">
        <f>IF(O89+1&lt;=MIN('Données projet'!$E$9:$E$18),O89+1,"STOP")</f>
        <v>#VALUE!</v>
      </c>
      <c r="P90" s="181" t="e">
        <f t="shared" si="5"/>
        <v>#VALUE!</v>
      </c>
      <c r="Q90" s="23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6">
        <f>'Données projet'!A94</f>
        <v>50</v>
      </c>
      <c r="B91" s="177">
        <f>'Données projet'!D94</f>
        <v>28</v>
      </c>
      <c r="C91" s="187"/>
      <c r="D91" s="175">
        <f t="shared" si="6"/>
        <v>0</v>
      </c>
      <c r="E91" s="189"/>
      <c r="F91" s="228"/>
      <c r="G91" s="202"/>
      <c r="H91" s="186"/>
      <c r="I91" s="187"/>
      <c r="J91" s="4"/>
      <c r="K91" s="169"/>
      <c r="L91" s="4"/>
      <c r="M91" s="4"/>
      <c r="N91" s="4"/>
      <c r="O91" s="190" t="e">
        <f>IF(O90+1&lt;=MIN('Données projet'!$E$9:$E$18),O90+1,"STOP")</f>
        <v>#VALUE!</v>
      </c>
      <c r="P91" s="181" t="e">
        <f t="shared" si="5"/>
        <v>#VALUE!</v>
      </c>
      <c r="Q91" s="23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6">
        <f>'Données projet'!A95</f>
        <v>55</v>
      </c>
      <c r="B92" s="177">
        <f>'Données projet'!D95</f>
        <v>28</v>
      </c>
      <c r="C92" s="187"/>
      <c r="D92" s="175">
        <f t="shared" si="6"/>
        <v>0</v>
      </c>
      <c r="E92" s="189"/>
      <c r="F92" s="228"/>
      <c r="G92" s="202"/>
      <c r="H92" s="186"/>
      <c r="I92" s="187"/>
      <c r="J92" s="4"/>
      <c r="K92" s="169"/>
      <c r="L92" s="4"/>
      <c r="M92" s="4"/>
      <c r="N92" s="4"/>
      <c r="O92" s="190" t="e">
        <f>IF(O91+1&lt;=MIN('Données projet'!$E$9:$E$18),O91+1,"STOP")</f>
        <v>#VALUE!</v>
      </c>
      <c r="P92" s="181" t="e">
        <f t="shared" si="5"/>
        <v>#VALUE!</v>
      </c>
      <c r="Q92" s="23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6">
        <f>'Données projet'!A96</f>
        <v>60</v>
      </c>
      <c r="B93" s="177">
        <f>'Données projet'!D96</f>
        <v>28</v>
      </c>
      <c r="C93" s="187"/>
      <c r="D93" s="175">
        <f t="shared" si="6"/>
        <v>0</v>
      </c>
      <c r="E93" s="189"/>
      <c r="F93" s="228"/>
      <c r="G93" s="202"/>
      <c r="H93" s="186"/>
      <c r="I93" s="187"/>
      <c r="J93" s="4"/>
      <c r="K93" s="169"/>
      <c r="L93" s="4"/>
      <c r="M93" s="4"/>
      <c r="N93" s="4"/>
      <c r="O93" s="190" t="e">
        <f>IF(O92+1&lt;=MIN('Données projet'!$E$9:$E$18),O92+1,"STOP")</f>
        <v>#VALUE!</v>
      </c>
      <c r="P93" s="181" t="e">
        <f t="shared" si="5"/>
        <v>#VALUE!</v>
      </c>
      <c r="Q93" s="23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6">
        <f>'Données projet'!A97</f>
        <v>65</v>
      </c>
      <c r="B94" s="177">
        <f>'Données projet'!D97</f>
        <v>28</v>
      </c>
      <c r="C94" s="187"/>
      <c r="D94" s="175">
        <f t="shared" si="6"/>
        <v>0</v>
      </c>
      <c r="E94" s="189"/>
      <c r="F94" s="228"/>
      <c r="G94" s="202"/>
      <c r="H94" s="186"/>
      <c r="I94" s="187"/>
      <c r="J94" s="4"/>
      <c r="K94" s="169"/>
      <c r="L94" s="4"/>
      <c r="M94" s="4"/>
      <c r="N94" s="4"/>
      <c r="O94" s="190" t="e">
        <f>IF(O93+1&lt;=MIN('Données projet'!$E$9:$E$18),O93+1,"STOP")</f>
        <v>#VALUE!</v>
      </c>
      <c r="P94" s="181" t="e">
        <f t="shared" si="5"/>
        <v>#VALUE!</v>
      </c>
      <c r="Q94" s="231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6">
        <f>'Données projet'!A98</f>
        <v>70</v>
      </c>
      <c r="B95" s="177">
        <f>'Données projet'!D98</f>
        <v>28</v>
      </c>
      <c r="C95" s="187"/>
      <c r="D95" s="175">
        <f t="shared" si="6"/>
        <v>0</v>
      </c>
      <c r="E95" s="189"/>
      <c r="F95" s="228"/>
      <c r="G95" s="202"/>
      <c r="H95" s="186"/>
      <c r="I95" s="187"/>
      <c r="J95" s="4"/>
      <c r="K95" s="169"/>
      <c r="L95" s="4"/>
      <c r="M95" s="4"/>
      <c r="N95" s="4"/>
      <c r="O95" s="190" t="e">
        <f>IF(O94+1&lt;=MIN('Données projet'!$E$9:$E$18),O94+1,"STOP")</f>
        <v>#VALUE!</v>
      </c>
      <c r="P95" s="181" t="e">
        <f t="shared" si="5"/>
        <v>#VALUE!</v>
      </c>
      <c r="Q95" s="23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6">
        <f>'Données projet'!A99</f>
        <v>75</v>
      </c>
      <c r="B96" s="177">
        <f>'Données projet'!D99</f>
        <v>28</v>
      </c>
      <c r="C96" s="187"/>
      <c r="D96" s="175">
        <f t="shared" si="6"/>
        <v>0</v>
      </c>
      <c r="E96" s="189"/>
      <c r="F96" s="228"/>
      <c r="G96" s="202"/>
      <c r="H96" s="186"/>
      <c r="I96" s="187"/>
      <c r="J96" s="4"/>
      <c r="K96" s="169"/>
      <c r="L96" s="4"/>
      <c r="M96" s="4"/>
      <c r="N96" s="4"/>
      <c r="O96" s="190" t="e">
        <f>IF(O95+1&lt;=MIN('Données projet'!$E$9:$E$18),O95+1,"STOP")</f>
        <v>#VALUE!</v>
      </c>
      <c r="P96" s="181" t="e">
        <f t="shared" si="5"/>
        <v>#VALUE!</v>
      </c>
      <c r="Q96" s="231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6">
        <f>'Données projet'!A100</f>
        <v>80</v>
      </c>
      <c r="B97" s="177">
        <f>'Données projet'!D100</f>
        <v>28</v>
      </c>
      <c r="C97" s="187"/>
      <c r="D97" s="175">
        <f t="shared" si="6"/>
        <v>0</v>
      </c>
      <c r="E97" s="189"/>
      <c r="F97" s="228"/>
      <c r="G97" s="202"/>
      <c r="H97" s="186"/>
      <c r="I97" s="187"/>
      <c r="J97" s="4"/>
      <c r="K97" s="169"/>
      <c r="L97" s="4"/>
      <c r="M97" s="4"/>
      <c r="N97" s="4"/>
      <c r="O97" s="190" t="e">
        <f>IF(O96+1&lt;=MIN('Données projet'!$E$9:$E$18),O96+1,"STOP")</f>
        <v>#VALUE!</v>
      </c>
      <c r="P97" s="181" t="e">
        <f t="shared" ref="P97:P128" si="7">$P$25/(1+$M$4)^O97</f>
        <v>#VALUE!</v>
      </c>
      <c r="Q97" s="23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6">
        <f>'Données projet'!A101</f>
        <v>85</v>
      </c>
      <c r="B98" s="177">
        <f>'Données projet'!D101</f>
        <v>27</v>
      </c>
      <c r="C98" s="187"/>
      <c r="D98" s="175">
        <f t="shared" si="6"/>
        <v>0</v>
      </c>
      <c r="E98" s="189"/>
      <c r="F98" s="228"/>
      <c r="G98" s="202"/>
      <c r="H98" s="186"/>
      <c r="I98" s="187"/>
      <c r="J98" s="4"/>
      <c r="K98" s="169"/>
      <c r="L98" s="4"/>
      <c r="M98" s="4"/>
      <c r="N98" s="4"/>
      <c r="O98" s="190" t="e">
        <f>IF(O97+1&lt;=MIN('Données projet'!$E$9:$E$18),O97+1,"STOP")</f>
        <v>#VALUE!</v>
      </c>
      <c r="P98" s="181" t="e">
        <f t="shared" si="7"/>
        <v>#VALUE!</v>
      </c>
      <c r="Q98" s="23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6">
        <f>'Données projet'!A102</f>
        <v>90</v>
      </c>
      <c r="B99" s="177">
        <f>'Données projet'!D102</f>
        <v>26</v>
      </c>
      <c r="C99" s="187"/>
      <c r="D99" s="175">
        <f t="shared" si="6"/>
        <v>0</v>
      </c>
      <c r="E99" s="189"/>
      <c r="F99" s="228"/>
      <c r="G99" s="202"/>
      <c r="H99" s="186"/>
      <c r="I99" s="187"/>
      <c r="J99" s="4"/>
      <c r="K99" s="169"/>
      <c r="L99" s="4"/>
      <c r="M99" s="4"/>
      <c r="N99" s="4"/>
      <c r="O99" s="190" t="e">
        <f>IF(O98+1&lt;=MIN('Données projet'!$E$9:$E$18),O98+1,"STOP")</f>
        <v>#VALUE!</v>
      </c>
      <c r="P99" s="181" t="e">
        <f t="shared" si="7"/>
        <v>#VALUE!</v>
      </c>
      <c r="Q99" s="23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6">
        <f>'Données projet'!A103</f>
        <v>95</v>
      </c>
      <c r="B100" s="177">
        <f>'Données projet'!D103</f>
        <v>25</v>
      </c>
      <c r="C100" s="187"/>
      <c r="D100" s="175">
        <f t="shared" si="6"/>
        <v>0</v>
      </c>
      <c r="E100" s="189"/>
      <c r="F100" s="228"/>
      <c r="G100" s="202"/>
      <c r="H100" s="186"/>
      <c r="I100" s="187"/>
      <c r="J100" s="4"/>
      <c r="K100" s="169"/>
      <c r="L100" s="4"/>
      <c r="M100" s="4"/>
      <c r="N100" s="4"/>
      <c r="O100" s="190" t="e">
        <f>IF(O99+1&lt;=MIN('Données projet'!$E$9:$E$18),O99+1,"STOP")</f>
        <v>#VALUE!</v>
      </c>
      <c r="P100" s="181" t="e">
        <f t="shared" si="7"/>
        <v>#VALUE!</v>
      </c>
      <c r="Q100" s="23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6">
        <f>'Données projet'!A104</f>
        <v>100</v>
      </c>
      <c r="B101" s="177">
        <f>'Données projet'!D104</f>
        <v>24</v>
      </c>
      <c r="C101" s="187"/>
      <c r="D101" s="175">
        <f t="shared" si="6"/>
        <v>0</v>
      </c>
      <c r="E101" s="189"/>
      <c r="F101" s="228"/>
      <c r="G101" s="202"/>
      <c r="H101" s="186"/>
      <c r="I101" s="187"/>
      <c r="J101" s="4"/>
      <c r="K101" s="169"/>
      <c r="L101" s="4"/>
      <c r="M101" s="4"/>
      <c r="N101" s="4"/>
      <c r="O101" s="190" t="e">
        <f>IF(O100+1&lt;=MIN('Données projet'!$E$9:$E$18),O100+1,"STOP")</f>
        <v>#VALUE!</v>
      </c>
      <c r="P101" s="181" t="e">
        <f t="shared" si="7"/>
        <v>#VALUE!</v>
      </c>
      <c r="Q101" s="23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6">
        <f>'Données projet'!A105</f>
        <v>105</v>
      </c>
      <c r="B102" s="177">
        <f>'Données projet'!D105</f>
        <v>23</v>
      </c>
      <c r="C102" s="187"/>
      <c r="D102" s="175">
        <f t="shared" si="6"/>
        <v>0</v>
      </c>
      <c r="E102" s="189"/>
      <c r="F102" s="228"/>
      <c r="G102" s="202"/>
      <c r="H102" s="186"/>
      <c r="I102" s="187"/>
      <c r="J102" s="4"/>
      <c r="K102" s="169"/>
      <c r="L102" s="4"/>
      <c r="M102" s="4"/>
      <c r="N102" s="4"/>
      <c r="O102" s="190" t="e">
        <f>IF(O101+1&lt;=MIN('Données projet'!$E$9:$E$18),O101+1,"STOP")</f>
        <v>#VALUE!</v>
      </c>
      <c r="P102" s="181" t="e">
        <f t="shared" si="7"/>
        <v>#VALUE!</v>
      </c>
      <c r="Q102" s="23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6">
        <f>'Données projet'!A106</f>
        <v>110</v>
      </c>
      <c r="B103" s="177">
        <f>'Données projet'!D106</f>
        <v>22</v>
      </c>
      <c r="C103" s="187"/>
      <c r="D103" s="175">
        <f t="shared" si="6"/>
        <v>0</v>
      </c>
      <c r="E103" s="189"/>
      <c r="F103" s="228"/>
      <c r="G103" s="202"/>
      <c r="H103" s="186"/>
      <c r="I103" s="187"/>
      <c r="J103" s="4"/>
      <c r="K103" s="169"/>
      <c r="L103" s="4"/>
      <c r="M103" s="4"/>
      <c r="N103" s="4"/>
      <c r="O103" s="190" t="e">
        <f>IF(O102+1&lt;=MIN('Données projet'!$E$9:$E$18),O102+1,"STOP")</f>
        <v>#VALUE!</v>
      </c>
      <c r="P103" s="181" t="e">
        <f t="shared" si="7"/>
        <v>#VALUE!</v>
      </c>
      <c r="Q103" s="231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6">
        <f>'Données projet'!A107</f>
        <v>115</v>
      </c>
      <c r="B104" s="177">
        <f>'Données projet'!D107</f>
        <v>22</v>
      </c>
      <c r="C104" s="187"/>
      <c r="D104" s="175">
        <f t="shared" si="6"/>
        <v>0</v>
      </c>
      <c r="E104" s="189"/>
      <c r="F104" s="228"/>
      <c r="G104" s="202"/>
      <c r="H104" s="186"/>
      <c r="I104" s="187"/>
      <c r="J104" s="4"/>
      <c r="K104" s="169"/>
      <c r="L104" s="4"/>
      <c r="M104" s="4"/>
      <c r="N104" s="4"/>
      <c r="O104" s="190" t="e">
        <f>IF(O103+1&lt;=MIN('Données projet'!$E$9:$E$18),O103+1,"STOP")</f>
        <v>#VALUE!</v>
      </c>
      <c r="P104" s="181" t="e">
        <f t="shared" si="7"/>
        <v>#VALUE!</v>
      </c>
      <c r="Q104" s="231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6"/>
      <c r="G105" s="202"/>
      <c r="H105" s="186"/>
      <c r="I105" s="187"/>
      <c r="J105" s="4"/>
      <c r="K105" s="169"/>
      <c r="L105" s="4"/>
      <c r="M105" s="4"/>
      <c r="N105" s="4"/>
      <c r="O105" s="190" t="e">
        <f>IF(O104+1&lt;=MIN('Données projet'!$E$9:$E$18),O104+1,"STOP")</f>
        <v>#VALUE!</v>
      </c>
      <c r="P105" s="181" t="e">
        <f t="shared" si="7"/>
        <v>#VALUE!</v>
      </c>
      <c r="Q105" s="231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6"/>
      <c r="G106" s="202"/>
      <c r="H106" s="186"/>
      <c r="I106" s="187"/>
      <c r="J106" s="4"/>
      <c r="K106" s="169"/>
      <c r="L106" s="4"/>
      <c r="M106" s="4"/>
      <c r="N106" s="4"/>
      <c r="O106" s="190" t="e">
        <f>IF(O105+1&lt;=MIN('Données projet'!$E$9:$E$18),O105+1,"STOP")</f>
        <v>#VALUE!</v>
      </c>
      <c r="P106" s="181" t="e">
        <f t="shared" si="7"/>
        <v>#VALUE!</v>
      </c>
      <c r="Q106" s="231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0" t="str">
        <f>IF('Données projet'!B12="","",'Données projet'!B12)</f>
        <v>Châtaignier</v>
      </c>
      <c r="C107" s="4"/>
      <c r="D107" s="4"/>
      <c r="E107" s="4"/>
      <c r="F107" s="226"/>
      <c r="G107" s="202"/>
      <c r="H107" s="186"/>
      <c r="I107" s="187"/>
      <c r="J107" s="4"/>
      <c r="K107" s="169"/>
      <c r="L107" s="4"/>
      <c r="M107" s="4"/>
      <c r="N107" s="4"/>
      <c r="O107" s="190" t="e">
        <f>IF(O106+1&lt;=MIN('Données projet'!$E$9:$E$18),O106+1,"STOP")</f>
        <v>#VALUE!</v>
      </c>
      <c r="P107" s="181" t="e">
        <f t="shared" si="7"/>
        <v>#VALUE!</v>
      </c>
      <c r="Q107" s="231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6"/>
      <c r="G108" s="202"/>
      <c r="H108" s="186"/>
      <c r="I108" s="187"/>
      <c r="J108" s="4"/>
      <c r="K108" s="169"/>
      <c r="L108" s="4"/>
      <c r="M108" s="4"/>
      <c r="N108" s="4"/>
      <c r="O108" s="190" t="e">
        <f>IF(O107+1&lt;=MIN('Données projet'!$E$9:$E$18),O107+1,"STOP")</f>
        <v>#VALUE!</v>
      </c>
      <c r="P108" s="181" t="e">
        <f t="shared" si="7"/>
        <v>#VALUE!</v>
      </c>
      <c r="Q108" s="231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7"/>
      <c r="G109" s="202"/>
      <c r="H109" s="186"/>
      <c r="I109" s="187"/>
      <c r="J109" s="4"/>
      <c r="K109" s="169"/>
      <c r="L109" s="4"/>
      <c r="M109" s="4"/>
      <c r="N109" s="4"/>
      <c r="O109" s="190" t="e">
        <f>IF(O108+1&lt;=MIN('Données projet'!$E$9:$E$18),O108+1,"STOP")</f>
        <v>#VALUE!</v>
      </c>
      <c r="P109" s="181" t="e">
        <f t="shared" si="7"/>
        <v>#VALUE!</v>
      </c>
      <c r="Q109" s="231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5" t="s">
        <v>132</v>
      </c>
      <c r="C110" s="194" t="s">
        <v>132</v>
      </c>
      <c r="D110" s="193" t="s">
        <v>132</v>
      </c>
      <c r="E110" s="189">
        <v>3163.47</v>
      </c>
      <c r="F110" s="227"/>
      <c r="G110" s="202"/>
      <c r="H110" s="186"/>
      <c r="I110" s="187"/>
      <c r="J110" s="4"/>
      <c r="K110" s="169"/>
      <c r="L110" s="4"/>
      <c r="M110" s="4"/>
      <c r="N110" s="4"/>
      <c r="O110" s="190" t="e">
        <f>IF(O109+1&lt;=MIN('Données projet'!$E$9:$E$18),O109+1,"STOP")</f>
        <v>#VALUE!</v>
      </c>
      <c r="P110" s="181" t="e">
        <f t="shared" si="7"/>
        <v>#VALUE!</v>
      </c>
      <c r="Q110" s="231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5" t="s">
        <v>132</v>
      </c>
      <c r="C111" s="194" t="s">
        <v>132</v>
      </c>
      <c r="D111" s="193" t="s">
        <v>132</v>
      </c>
      <c r="E111" s="189"/>
      <c r="F111" s="227"/>
      <c r="G111" s="23"/>
      <c r="H111" s="186"/>
      <c r="I111" s="187"/>
      <c r="J111" s="4"/>
      <c r="K111" s="169"/>
      <c r="L111" s="4"/>
      <c r="M111" s="4"/>
      <c r="N111" s="4"/>
      <c r="O111" s="190" t="e">
        <f>IF(O110+1&lt;=MIN('Données projet'!$E$9:$E$18),O110+1,"STOP")</f>
        <v>#VALUE!</v>
      </c>
      <c r="P111" s="181" t="e">
        <f t="shared" si="7"/>
        <v>#VALUE!</v>
      </c>
      <c r="Q111" s="231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5" t="s">
        <v>132</v>
      </c>
      <c r="C112" s="194" t="s">
        <v>132</v>
      </c>
      <c r="D112" s="193" t="s">
        <v>132</v>
      </c>
      <c r="E112" s="189"/>
      <c r="F112" s="227"/>
      <c r="G112" s="23"/>
      <c r="H112" s="186"/>
      <c r="I112" s="187"/>
      <c r="J112" s="4"/>
      <c r="K112" s="169"/>
      <c r="L112" s="4"/>
      <c r="M112" s="4"/>
      <c r="N112" s="4"/>
      <c r="O112" s="190" t="e">
        <f>IF(O111+1&lt;=MIN('Données projet'!$E$9:$E$18),O111+1,"STOP")</f>
        <v>#VALUE!</v>
      </c>
      <c r="P112" s="181" t="e">
        <f t="shared" si="7"/>
        <v>#VALUE!</v>
      </c>
      <c r="Q112" s="231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5" t="s">
        <v>132</v>
      </c>
      <c r="C113" s="194" t="s">
        <v>132</v>
      </c>
      <c r="D113" s="193" t="s">
        <v>132</v>
      </c>
      <c r="E113" s="189"/>
      <c r="F113" s="227"/>
      <c r="G113" s="23"/>
      <c r="H113" s="186"/>
      <c r="I113" s="187"/>
      <c r="J113" s="4"/>
      <c r="K113" s="169"/>
      <c r="L113" s="4"/>
      <c r="M113" s="4"/>
      <c r="N113" s="4"/>
      <c r="O113" s="190" t="e">
        <f>IF(O112+1&lt;=MIN('Données projet'!$E$9:$E$18),O112+1,"STOP")</f>
        <v>#VALUE!</v>
      </c>
      <c r="P113" s="181" t="e">
        <f t="shared" si="7"/>
        <v>#VALUE!</v>
      </c>
      <c r="Q113" s="231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5" t="s">
        <v>132</v>
      </c>
      <c r="C114" s="194" t="s">
        <v>132</v>
      </c>
      <c r="D114" s="193" t="s">
        <v>132</v>
      </c>
      <c r="E114" s="189"/>
      <c r="F114" s="227"/>
      <c r="G114" s="23"/>
      <c r="H114" s="186"/>
      <c r="I114" s="187"/>
      <c r="J114" s="4"/>
      <c r="K114" s="169"/>
      <c r="L114" s="4"/>
      <c r="M114" s="4"/>
      <c r="N114" s="4"/>
      <c r="O114" s="190" t="e">
        <f>IF(O113+1&lt;=MIN('Données projet'!$E$9:$E$18),O113+1,"STOP")</f>
        <v>#VALUE!</v>
      </c>
      <c r="P114" s="181" t="e">
        <f t="shared" si="7"/>
        <v>#VALUE!</v>
      </c>
      <c r="Q114" s="231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5" t="s">
        <v>132</v>
      </c>
      <c r="C115" s="194" t="s">
        <v>132</v>
      </c>
      <c r="D115" s="193" t="s">
        <v>132</v>
      </c>
      <c r="E115" s="189"/>
      <c r="F115" s="227"/>
      <c r="G115" s="201"/>
      <c r="H115" s="186"/>
      <c r="I115" s="187"/>
      <c r="J115" s="4"/>
      <c r="K115" s="169"/>
      <c r="L115" s="4"/>
      <c r="M115" s="4"/>
      <c r="N115" s="4"/>
      <c r="O115" s="190" t="e">
        <f>IF(O114+1&lt;=MIN('Données projet'!$E$9:$E$18),O114+1,"STOP")</f>
        <v>#VALUE!</v>
      </c>
      <c r="P115" s="181" t="e">
        <f t="shared" si="7"/>
        <v>#VALUE!</v>
      </c>
      <c r="Q115" s="231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6">
        <f>'Données projet'!A114</f>
        <v>10</v>
      </c>
      <c r="B116" s="177">
        <f>'Données projet'!D114</f>
        <v>0</v>
      </c>
      <c r="C116" s="187">
        <v>15</v>
      </c>
      <c r="D116" s="175">
        <f>B116*C116</f>
        <v>0</v>
      </c>
      <c r="E116" s="189"/>
      <c r="F116" s="228"/>
      <c r="G116" s="201"/>
      <c r="H116" s="186"/>
      <c r="I116" s="187"/>
      <c r="J116" s="4"/>
      <c r="K116" s="169"/>
      <c r="L116" s="4"/>
      <c r="M116" s="4"/>
      <c r="N116" s="4"/>
      <c r="O116" s="190" t="e">
        <f>IF(O115+1&lt;=MIN('Données projet'!$E$9:$E$18),O115+1,"STOP")</f>
        <v>#VALUE!</v>
      </c>
      <c r="P116" s="181" t="e">
        <f t="shared" si="7"/>
        <v>#VALUE!</v>
      </c>
      <c r="Q116" s="231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6">
        <f>'Données projet'!A115</f>
        <v>15</v>
      </c>
      <c r="B117" s="177">
        <f>'Données projet'!D115</f>
        <v>0</v>
      </c>
      <c r="C117" s="187">
        <v>15</v>
      </c>
      <c r="D117" s="175">
        <f t="shared" ref="D117:D135" si="8">B117*C117</f>
        <v>0</v>
      </c>
      <c r="E117" s="189"/>
      <c r="F117" s="228"/>
      <c r="G117" s="201"/>
      <c r="H117" s="186"/>
      <c r="I117" s="187"/>
      <c r="J117" s="4"/>
      <c r="K117" s="169"/>
      <c r="L117" s="4"/>
      <c r="M117" s="4"/>
      <c r="N117" s="4"/>
      <c r="O117" s="190" t="e">
        <f>IF(O116+1&lt;=MIN('Données projet'!$E$9:$E$18),O116+1,"STOP")</f>
        <v>#VALUE!</v>
      </c>
      <c r="P117" s="181" t="e">
        <f t="shared" si="7"/>
        <v>#VALUE!</v>
      </c>
      <c r="Q117" s="231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6">
        <f>'Données projet'!A116</f>
        <v>18</v>
      </c>
      <c r="B118" s="177">
        <f>'Données projet'!D116</f>
        <v>94</v>
      </c>
      <c r="C118" s="187">
        <v>15</v>
      </c>
      <c r="D118" s="175">
        <f t="shared" si="8"/>
        <v>1410</v>
      </c>
      <c r="E118" s="189"/>
      <c r="F118" s="228"/>
      <c r="G118" s="201"/>
      <c r="H118" s="186"/>
      <c r="I118" s="187"/>
      <c r="J118" s="4"/>
      <c r="K118" s="169"/>
      <c r="L118" s="4"/>
      <c r="M118" s="4"/>
      <c r="N118" s="4"/>
      <c r="O118" s="190" t="e">
        <f>IF(O117+1&lt;=MIN('Données projet'!$E$9:$E$18),O117+1,"STOP")</f>
        <v>#VALUE!</v>
      </c>
      <c r="P118" s="181" t="e">
        <f t="shared" si="7"/>
        <v>#VALUE!</v>
      </c>
      <c r="Q118" s="231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6">
        <f>'Données projet'!A117</f>
        <v>22</v>
      </c>
      <c r="B119" s="177">
        <f>'Données projet'!D117</f>
        <v>54</v>
      </c>
      <c r="C119" s="187">
        <v>15</v>
      </c>
      <c r="D119" s="175">
        <f t="shared" si="8"/>
        <v>810</v>
      </c>
      <c r="E119" s="189"/>
      <c r="F119" s="228"/>
      <c r="G119" s="201"/>
      <c r="H119" s="186"/>
      <c r="I119" s="187"/>
      <c r="J119" s="4"/>
      <c r="K119" s="169"/>
      <c r="L119" s="4"/>
      <c r="M119" s="4"/>
      <c r="N119" s="4"/>
      <c r="O119" s="190" t="e">
        <f>IF(O118+1&lt;=MIN('Données projet'!$E$9:$E$18),O118+1,"STOP")</f>
        <v>#VALUE!</v>
      </c>
      <c r="P119" s="181" t="e">
        <f t="shared" si="7"/>
        <v>#VALUE!</v>
      </c>
      <c r="Q119" s="231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6">
        <f>'Données projet'!A118</f>
        <v>27</v>
      </c>
      <c r="B120" s="177">
        <f>'Données projet'!D118</f>
        <v>38</v>
      </c>
      <c r="C120" s="187">
        <v>15</v>
      </c>
      <c r="D120" s="175">
        <f t="shared" si="8"/>
        <v>570</v>
      </c>
      <c r="E120" s="189"/>
      <c r="F120" s="228"/>
      <c r="G120" s="201"/>
      <c r="H120" s="186"/>
      <c r="I120" s="187"/>
      <c r="J120" s="4"/>
      <c r="K120" s="169"/>
      <c r="L120" s="4"/>
      <c r="M120" s="4"/>
      <c r="N120" s="4"/>
      <c r="O120" s="190" t="e">
        <f>IF(O119+1&lt;=MIN('Données projet'!$E$9:$E$18),O119+1,"STOP")</f>
        <v>#VALUE!</v>
      </c>
      <c r="P120" s="181" t="e">
        <f t="shared" si="7"/>
        <v>#VALUE!</v>
      </c>
      <c r="Q120" s="231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6">
        <f>'Données projet'!A119</f>
        <v>35</v>
      </c>
      <c r="B121" s="177">
        <f>'Données projet'!D119</f>
        <v>0</v>
      </c>
      <c r="C121" s="187"/>
      <c r="D121" s="175">
        <f t="shared" si="8"/>
        <v>0</v>
      </c>
      <c r="E121" s="189"/>
      <c r="F121" s="228"/>
      <c r="G121" s="201"/>
      <c r="H121" s="186"/>
      <c r="I121" s="187"/>
      <c r="J121" s="4"/>
      <c r="K121" s="169"/>
      <c r="L121" s="4"/>
      <c r="M121" s="4"/>
      <c r="N121" s="4"/>
      <c r="O121" s="190" t="e">
        <f>IF(O120+1&lt;=MIN('Données projet'!$E$9:$E$18),O120+1,"STOP")</f>
        <v>#VALUE!</v>
      </c>
      <c r="P121" s="181" t="e">
        <f t="shared" si="7"/>
        <v>#VALUE!</v>
      </c>
      <c r="Q121" s="23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6">
        <f>'Données projet'!A120</f>
        <v>40</v>
      </c>
      <c r="B122" s="177">
        <f>'Données projet'!D120</f>
        <v>0</v>
      </c>
      <c r="C122" s="187"/>
      <c r="D122" s="175">
        <f t="shared" si="8"/>
        <v>0</v>
      </c>
      <c r="E122" s="189"/>
      <c r="F122" s="228"/>
      <c r="G122" s="202"/>
      <c r="H122" s="186"/>
      <c r="I122" s="187"/>
      <c r="J122" s="4"/>
      <c r="K122" s="169"/>
      <c r="L122" s="4"/>
      <c r="M122" s="4"/>
      <c r="N122" s="4"/>
      <c r="O122" s="190" t="e">
        <f>IF(O121+1&lt;=MIN('Données projet'!$E$9:$E$18),O121+1,"STOP")</f>
        <v>#VALUE!</v>
      </c>
      <c r="P122" s="181" t="e">
        <f t="shared" si="7"/>
        <v>#VALUE!</v>
      </c>
      <c r="Q122" s="231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6">
        <f>'Données projet'!A121</f>
        <v>45</v>
      </c>
      <c r="B123" s="177">
        <f>'Données projet'!D121</f>
        <v>0</v>
      </c>
      <c r="C123" s="187"/>
      <c r="D123" s="175">
        <f t="shared" si="8"/>
        <v>0</v>
      </c>
      <c r="E123" s="189"/>
      <c r="F123" s="228"/>
      <c r="G123" s="202"/>
      <c r="H123" s="186"/>
      <c r="I123" s="187"/>
      <c r="J123" s="4"/>
      <c r="K123" s="169"/>
      <c r="L123" s="4"/>
      <c r="M123" s="4"/>
      <c r="N123" s="4"/>
      <c r="O123" s="190" t="e">
        <f>IF(O122+1&lt;=MIN('Données projet'!$E$9:$E$18),O122+1,"STOP")</f>
        <v>#VALUE!</v>
      </c>
      <c r="P123" s="181" t="e">
        <f t="shared" si="7"/>
        <v>#VALUE!</v>
      </c>
      <c r="Q123" s="23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6">
        <f>'Données projet'!A122</f>
        <v>50</v>
      </c>
      <c r="B124" s="177">
        <f>'Données projet'!D122</f>
        <v>0</v>
      </c>
      <c r="C124" s="187"/>
      <c r="D124" s="175">
        <f t="shared" si="8"/>
        <v>0</v>
      </c>
      <c r="E124" s="189"/>
      <c r="F124" s="228"/>
      <c r="G124" s="202"/>
      <c r="H124" s="186"/>
      <c r="I124" s="187"/>
      <c r="J124" s="4"/>
      <c r="K124" s="169"/>
      <c r="L124" s="4"/>
      <c r="M124" s="4"/>
      <c r="N124" s="4"/>
      <c r="O124" s="190" t="e">
        <f>IF(O123+1&lt;=MIN('Données projet'!$E$9:$E$18),O123+1,"STOP")</f>
        <v>#VALUE!</v>
      </c>
      <c r="P124" s="181" t="e">
        <f t="shared" si="7"/>
        <v>#VALUE!</v>
      </c>
      <c r="Q124" s="231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6">
        <f>'Données projet'!A123</f>
        <v>0</v>
      </c>
      <c r="B125" s="177">
        <f>'Données projet'!D123</f>
        <v>0</v>
      </c>
      <c r="C125" s="187"/>
      <c r="D125" s="175">
        <f t="shared" si="8"/>
        <v>0</v>
      </c>
      <c r="E125" s="189"/>
      <c r="F125" s="228"/>
      <c r="G125" s="202"/>
      <c r="H125" s="186"/>
      <c r="I125" s="187"/>
      <c r="J125" s="4"/>
      <c r="K125" s="169"/>
      <c r="L125" s="4"/>
      <c r="M125" s="4"/>
      <c r="N125" s="4"/>
      <c r="O125" s="190" t="e">
        <f>IF(O124+1&lt;=MIN('Données projet'!$E$9:$E$18),O124+1,"STOP")</f>
        <v>#VALUE!</v>
      </c>
      <c r="P125" s="181" t="e">
        <f t="shared" si="7"/>
        <v>#VALUE!</v>
      </c>
      <c r="Q125" s="23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6">
        <f>'Données projet'!A124</f>
        <v>0</v>
      </c>
      <c r="B126" s="177">
        <f>'Données projet'!D124</f>
        <v>0</v>
      </c>
      <c r="C126" s="187"/>
      <c r="D126" s="175">
        <f t="shared" si="8"/>
        <v>0</v>
      </c>
      <c r="E126" s="189"/>
      <c r="F126" s="228"/>
      <c r="G126" s="202"/>
      <c r="H126" s="186"/>
      <c r="I126" s="187"/>
      <c r="J126" s="4"/>
      <c r="K126" s="169"/>
      <c r="L126" s="4"/>
      <c r="M126" s="4"/>
      <c r="N126" s="4"/>
      <c r="O126" s="190" t="e">
        <f>IF(O125+1&lt;=MIN('Données projet'!$E$9:$E$18),O125+1,"STOP")</f>
        <v>#VALUE!</v>
      </c>
      <c r="P126" s="181" t="e">
        <f t="shared" si="7"/>
        <v>#VALUE!</v>
      </c>
      <c r="Q126" s="23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6">
        <f>'Données projet'!A125</f>
        <v>0</v>
      </c>
      <c r="B127" s="177">
        <f>'Données projet'!D125</f>
        <v>0</v>
      </c>
      <c r="C127" s="187"/>
      <c r="D127" s="175">
        <f t="shared" si="8"/>
        <v>0</v>
      </c>
      <c r="E127" s="189"/>
      <c r="F127" s="228"/>
      <c r="G127" s="202"/>
      <c r="H127" s="186"/>
      <c r="I127" s="187"/>
      <c r="J127" s="4"/>
      <c r="K127" s="169"/>
      <c r="L127" s="4"/>
      <c r="M127" s="4"/>
      <c r="N127" s="4"/>
      <c r="O127" s="190" t="e">
        <f>IF(O126+1&lt;=MIN('Données projet'!$E$9:$E$18),O126+1,"STOP")</f>
        <v>#VALUE!</v>
      </c>
      <c r="P127" s="181" t="e">
        <f t="shared" si="7"/>
        <v>#VALUE!</v>
      </c>
      <c r="Q127" s="231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6">
        <f>'Données projet'!A126</f>
        <v>0</v>
      </c>
      <c r="B128" s="177">
        <f>'Données projet'!D126</f>
        <v>0</v>
      </c>
      <c r="C128" s="187"/>
      <c r="D128" s="175">
        <f t="shared" si="8"/>
        <v>0</v>
      </c>
      <c r="E128" s="189"/>
      <c r="F128" s="228"/>
      <c r="G128" s="202"/>
      <c r="H128" s="186"/>
      <c r="I128" s="187"/>
      <c r="J128" s="4"/>
      <c r="K128" s="169"/>
      <c r="L128" s="4"/>
      <c r="M128" s="4"/>
      <c r="N128" s="4"/>
      <c r="O128" s="190" t="e">
        <f>IF(O127+1&lt;=MIN('Données projet'!$E$9:$E$18),O127+1,"STOP")</f>
        <v>#VALUE!</v>
      </c>
      <c r="P128" s="181" t="e">
        <f t="shared" si="7"/>
        <v>#VALUE!</v>
      </c>
      <c r="Q128" s="231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6">
        <f>'Données projet'!A127</f>
        <v>0</v>
      </c>
      <c r="B129" s="177">
        <f>'Données projet'!D127</f>
        <v>0</v>
      </c>
      <c r="C129" s="187"/>
      <c r="D129" s="175">
        <f t="shared" si="8"/>
        <v>0</v>
      </c>
      <c r="E129" s="189"/>
      <c r="F129" s="228"/>
      <c r="G129" s="202"/>
      <c r="H129" s="186"/>
      <c r="I129" s="187"/>
      <c r="J129" s="4"/>
      <c r="K129" s="169"/>
      <c r="L129" s="4"/>
      <c r="M129" s="4"/>
      <c r="N129" s="4"/>
      <c r="O129" s="190" t="e">
        <f>IF(O128+1&lt;=MIN('Données projet'!$E$9:$E$18),O128+1,"STOP")</f>
        <v>#VALUE!</v>
      </c>
      <c r="P129" s="181" t="e">
        <f t="shared" ref="P129:P132" si="9">$P$25/(1+$M$4)^O129</f>
        <v>#VALUE!</v>
      </c>
      <c r="Q129" s="231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6">
        <f>'Données projet'!A128</f>
        <v>0</v>
      </c>
      <c r="B130" s="177">
        <f>'Données projet'!D128</f>
        <v>0</v>
      </c>
      <c r="C130" s="187"/>
      <c r="D130" s="175">
        <f t="shared" si="8"/>
        <v>0</v>
      </c>
      <c r="E130" s="189"/>
      <c r="F130" s="228"/>
      <c r="G130" s="202"/>
      <c r="H130" s="186"/>
      <c r="I130" s="187"/>
      <c r="J130" s="4"/>
      <c r="K130" s="169"/>
      <c r="L130" s="4"/>
      <c r="M130" s="4"/>
      <c r="N130" s="4"/>
      <c r="O130" s="190" t="e">
        <f>IF(O129+1&lt;=MIN('Données projet'!$E$9:$E$18),O129+1,"STOP")</f>
        <v>#VALUE!</v>
      </c>
      <c r="P130" s="181" t="e">
        <f t="shared" si="9"/>
        <v>#VALUE!</v>
      </c>
      <c r="Q130" s="231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6">
        <f>'Données projet'!A129</f>
        <v>0</v>
      </c>
      <c r="B131" s="177">
        <f>'Données projet'!D129</f>
        <v>0</v>
      </c>
      <c r="C131" s="187"/>
      <c r="D131" s="175">
        <f t="shared" si="8"/>
        <v>0</v>
      </c>
      <c r="E131" s="189"/>
      <c r="F131" s="228"/>
      <c r="G131" s="202"/>
      <c r="H131" s="186"/>
      <c r="I131" s="187"/>
      <c r="J131" s="4"/>
      <c r="K131" s="169"/>
      <c r="L131" s="4"/>
      <c r="M131" s="4"/>
      <c r="N131" s="4"/>
      <c r="O131" s="190" t="e">
        <f>IF(O130+1&lt;=MIN('Données projet'!$E$9:$E$18),O130+1,"STOP")</f>
        <v>#VALUE!</v>
      </c>
      <c r="P131" s="181" t="e">
        <f t="shared" si="9"/>
        <v>#VALUE!</v>
      </c>
      <c r="Q131" s="231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6">
        <f>'Données projet'!A130</f>
        <v>0</v>
      </c>
      <c r="B132" s="177">
        <f>'Données projet'!D130</f>
        <v>0</v>
      </c>
      <c r="C132" s="187"/>
      <c r="D132" s="175">
        <f t="shared" si="8"/>
        <v>0</v>
      </c>
      <c r="E132" s="189"/>
      <c r="F132" s="228"/>
      <c r="G132" s="202"/>
      <c r="H132" s="186"/>
      <c r="I132" s="187"/>
      <c r="J132" s="4"/>
      <c r="K132" s="169"/>
      <c r="L132" s="4"/>
      <c r="M132" s="4"/>
      <c r="N132" s="4"/>
      <c r="O132" s="190" t="e">
        <f>IF(O131+1&lt;=MIN('Données projet'!$E$9:$E$18),O131+1,"STOP")</f>
        <v>#VALUE!</v>
      </c>
      <c r="P132" s="181" t="e">
        <f t="shared" si="9"/>
        <v>#VALUE!</v>
      </c>
      <c r="Q132" s="231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6">
        <f>'Données projet'!A131</f>
        <v>0</v>
      </c>
      <c r="B133" s="177">
        <f>'Données projet'!D131</f>
        <v>0</v>
      </c>
      <c r="C133" s="187"/>
      <c r="D133" s="175">
        <f t="shared" si="8"/>
        <v>0</v>
      </c>
      <c r="E133" s="189"/>
      <c r="F133" s="228"/>
      <c r="G133" s="202"/>
      <c r="H133" s="186"/>
      <c r="I133" s="187"/>
      <c r="J133" s="4"/>
      <c r="K133" s="169"/>
      <c r="Q133" s="23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6">
        <f>'Données projet'!A132</f>
        <v>0</v>
      </c>
      <c r="B134" s="177">
        <f>'Données projet'!D132</f>
        <v>0</v>
      </c>
      <c r="C134" s="187"/>
      <c r="D134" s="175">
        <f t="shared" si="8"/>
        <v>0</v>
      </c>
      <c r="E134" s="189"/>
      <c r="F134" s="228"/>
      <c r="G134" s="202"/>
      <c r="H134" s="186"/>
      <c r="I134" s="187"/>
      <c r="J134" s="4"/>
      <c r="K134" s="169"/>
      <c r="Q134" s="23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6">
        <f>'Données projet'!A133</f>
        <v>0</v>
      </c>
      <c r="B135" s="177">
        <f>'Données projet'!D133</f>
        <v>0</v>
      </c>
      <c r="C135" s="187"/>
      <c r="D135" s="175">
        <f t="shared" si="8"/>
        <v>0</v>
      </c>
      <c r="E135" s="189"/>
      <c r="F135" s="228"/>
      <c r="G135" s="202"/>
      <c r="H135" s="186"/>
      <c r="I135" s="187"/>
      <c r="J135" s="4"/>
      <c r="K135" s="169"/>
      <c r="Q135" s="231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6"/>
      <c r="G136" s="202"/>
      <c r="H136" s="186"/>
      <c r="I136" s="187"/>
      <c r="J136" s="4"/>
      <c r="K136" s="169"/>
      <c r="L136" s="4"/>
      <c r="M136" s="4"/>
      <c r="N136" s="4"/>
      <c r="Q136" s="231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6"/>
      <c r="G137" s="202"/>
      <c r="H137" s="186"/>
      <c r="I137" s="187"/>
      <c r="J137" s="4"/>
      <c r="K137" s="169"/>
      <c r="L137" s="4"/>
      <c r="M137" s="4"/>
      <c r="N137" s="4"/>
      <c r="Q137" s="231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0" t="str">
        <f>IF('Données projet'!B13="","",'Données projet'!B13)</f>
        <v>Chêne rouge d'Amérique</v>
      </c>
      <c r="C138" s="4"/>
      <c r="D138" s="4"/>
      <c r="E138" s="4"/>
      <c r="F138" s="226"/>
      <c r="G138" s="202"/>
      <c r="H138" s="186"/>
      <c r="I138" s="187"/>
      <c r="J138" s="4"/>
      <c r="K138" s="169"/>
      <c r="L138" s="4"/>
      <c r="M138" s="4"/>
      <c r="N138" s="4"/>
      <c r="Q138" s="231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6"/>
      <c r="G139" s="202"/>
      <c r="H139" s="186"/>
      <c r="I139" s="187"/>
      <c r="J139" s="4"/>
      <c r="K139" s="169"/>
      <c r="L139" s="4"/>
      <c r="M139" s="4"/>
      <c r="N139" s="4"/>
      <c r="Q139" s="231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7"/>
      <c r="G140" s="202"/>
      <c r="H140" s="186"/>
      <c r="I140" s="187"/>
      <c r="J140" s="4"/>
      <c r="K140" s="169"/>
      <c r="L140" s="4"/>
      <c r="M140" s="4"/>
      <c r="N140" s="4"/>
      <c r="Q140" s="231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5" t="s">
        <v>132</v>
      </c>
      <c r="C141" s="194" t="s">
        <v>132</v>
      </c>
      <c r="D141" s="193" t="s">
        <v>132</v>
      </c>
      <c r="E141" s="189">
        <v>2799.08</v>
      </c>
      <c r="F141" s="227"/>
      <c r="G141" s="202"/>
      <c r="H141" s="186"/>
      <c r="I141" s="187"/>
      <c r="J141" s="4"/>
      <c r="K141" s="169"/>
      <c r="L141" s="4"/>
      <c r="M141" s="4"/>
      <c r="N141" s="4"/>
      <c r="Q141" s="231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5" t="s">
        <v>132</v>
      </c>
      <c r="C142" s="194" t="s">
        <v>132</v>
      </c>
      <c r="D142" s="193" t="s">
        <v>132</v>
      </c>
      <c r="E142" s="189"/>
      <c r="F142" s="227"/>
      <c r="G142" s="23"/>
      <c r="H142" s="186"/>
      <c r="I142" s="187"/>
      <c r="J142" s="4"/>
      <c r="K142" s="169"/>
      <c r="L142" s="4"/>
      <c r="M142" s="4"/>
      <c r="N142" s="4"/>
      <c r="Q142" s="231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5" t="s">
        <v>132</v>
      </c>
      <c r="C143" s="194" t="s">
        <v>132</v>
      </c>
      <c r="D143" s="193" t="s">
        <v>132</v>
      </c>
      <c r="E143" s="189"/>
      <c r="F143" s="227"/>
      <c r="G143" s="23"/>
      <c r="H143" s="186"/>
      <c r="I143" s="187"/>
      <c r="J143" s="4"/>
      <c r="K143" s="169"/>
      <c r="L143" s="4"/>
      <c r="M143" s="4"/>
      <c r="N143" s="4"/>
      <c r="Q143" s="231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5" t="s">
        <v>132</v>
      </c>
      <c r="C144" s="194" t="s">
        <v>132</v>
      </c>
      <c r="D144" s="193" t="s">
        <v>132</v>
      </c>
      <c r="E144" s="189"/>
      <c r="F144" s="227"/>
      <c r="G144" s="23"/>
      <c r="H144" s="186"/>
      <c r="I144" s="187"/>
      <c r="J144" s="4"/>
      <c r="K144" s="169"/>
      <c r="L144" s="4"/>
      <c r="M144" s="4"/>
      <c r="N144" s="4"/>
      <c r="Q144" s="231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5" t="s">
        <v>132</v>
      </c>
      <c r="C145" s="194" t="s">
        <v>132</v>
      </c>
      <c r="D145" s="193" t="s">
        <v>132</v>
      </c>
      <c r="E145" s="189"/>
      <c r="F145" s="227"/>
      <c r="G145" s="23"/>
      <c r="H145" s="186"/>
      <c r="I145" s="187"/>
      <c r="J145" s="4"/>
      <c r="K145" s="169"/>
      <c r="L145" s="4"/>
      <c r="M145" s="4"/>
      <c r="N145" s="4"/>
      <c r="Q145" s="231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5" t="s">
        <v>132</v>
      </c>
      <c r="C146" s="194" t="s">
        <v>132</v>
      </c>
      <c r="D146" s="193" t="s">
        <v>132</v>
      </c>
      <c r="E146" s="189"/>
      <c r="F146" s="227"/>
      <c r="G146" s="201"/>
      <c r="H146" s="186"/>
      <c r="I146" s="187"/>
      <c r="J146" s="4"/>
      <c r="K146" s="169"/>
      <c r="L146" s="4"/>
      <c r="M146" s="4"/>
      <c r="N146" s="4"/>
      <c r="Q146" s="231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1">
        <f>'Données projet'!D140</f>
        <v>21</v>
      </c>
      <c r="C147" s="187">
        <v>15</v>
      </c>
      <c r="D147" s="178">
        <f>B147*C147</f>
        <v>315</v>
      </c>
      <c r="E147" s="189"/>
      <c r="F147" s="229"/>
      <c r="G147" s="201"/>
      <c r="H147" s="186"/>
      <c r="I147" s="187"/>
      <c r="J147" s="4"/>
      <c r="K147" s="169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1">
        <f>'Données projet'!D141</f>
        <v>43</v>
      </c>
      <c r="C148" s="187">
        <v>15</v>
      </c>
      <c r="D148" s="178">
        <f t="shared" ref="D148:D166" si="10">B148*C148</f>
        <v>645</v>
      </c>
      <c r="E148" s="189"/>
      <c r="F148" s="229"/>
      <c r="G148" s="201"/>
      <c r="H148" s="186"/>
      <c r="I148" s="187"/>
      <c r="J148" s="4"/>
      <c r="K148" s="169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1">
        <f>'Données projet'!D142</f>
        <v>44</v>
      </c>
      <c r="C149" s="187">
        <v>15</v>
      </c>
      <c r="D149" s="178">
        <f t="shared" si="10"/>
        <v>660</v>
      </c>
      <c r="E149" s="189"/>
      <c r="F149" s="229"/>
      <c r="G149" s="201"/>
      <c r="H149" s="186"/>
      <c r="I149" s="187"/>
      <c r="J149" s="4"/>
      <c r="K149" s="169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1">
        <f>'Données projet'!D143</f>
        <v>44</v>
      </c>
      <c r="C150" s="187">
        <v>15</v>
      </c>
      <c r="D150" s="178">
        <f t="shared" si="10"/>
        <v>660</v>
      </c>
      <c r="E150" s="189"/>
      <c r="F150" s="229"/>
      <c r="G150" s="201"/>
      <c r="H150" s="186"/>
      <c r="I150" s="187"/>
      <c r="J150" s="4"/>
      <c r="K150" s="169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1">
        <f>'Données projet'!D144</f>
        <v>42</v>
      </c>
      <c r="C151" s="187"/>
      <c r="D151" s="178">
        <f t="shared" si="10"/>
        <v>0</v>
      </c>
      <c r="E151" s="189"/>
      <c r="F151" s="229"/>
      <c r="G151" s="201"/>
      <c r="H151" s="186"/>
      <c r="I151" s="187"/>
      <c r="J151" s="4"/>
      <c r="K151" s="169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1">
        <f>'Données projet'!D145</f>
        <v>39</v>
      </c>
      <c r="C152" s="187"/>
      <c r="D152" s="178">
        <f t="shared" si="10"/>
        <v>0</v>
      </c>
      <c r="E152" s="189"/>
      <c r="F152" s="229"/>
      <c r="G152" s="201"/>
      <c r="H152" s="186"/>
      <c r="I152" s="187"/>
      <c r="J152" s="4"/>
      <c r="K152" s="169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1">
        <f>'Données projet'!D146</f>
        <v>36</v>
      </c>
      <c r="C153" s="187"/>
      <c r="D153" s="178">
        <f t="shared" si="10"/>
        <v>0</v>
      </c>
      <c r="E153" s="189"/>
      <c r="F153" s="229"/>
      <c r="G153" s="199"/>
      <c r="H153" s="186"/>
      <c r="I153" s="187"/>
      <c r="J153" s="4"/>
      <c r="K153" s="169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1">
        <f>'Données projet'!D147</f>
        <v>33</v>
      </c>
      <c r="C154" s="187"/>
      <c r="D154" s="178">
        <f t="shared" si="10"/>
        <v>0</v>
      </c>
      <c r="E154" s="189"/>
      <c r="F154" s="229"/>
      <c r="G154" s="199"/>
      <c r="H154" s="186"/>
      <c r="I154" s="187"/>
      <c r="J154" s="4"/>
      <c r="K154" s="169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1">
        <f>'Données projet'!D148</f>
        <v>29</v>
      </c>
      <c r="C155" s="187"/>
      <c r="D155" s="178">
        <f t="shared" si="10"/>
        <v>0</v>
      </c>
      <c r="E155" s="189"/>
      <c r="F155" s="229"/>
      <c r="G155" s="199"/>
      <c r="H155" s="186"/>
      <c r="I155" s="187"/>
      <c r="J155" s="4"/>
      <c r="K155" s="169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1">
        <f>'Données projet'!D149</f>
        <v>26</v>
      </c>
      <c r="C156" s="187"/>
      <c r="D156" s="178">
        <f t="shared" si="10"/>
        <v>0</v>
      </c>
      <c r="E156" s="189"/>
      <c r="F156" s="229"/>
      <c r="G156" s="199"/>
      <c r="H156" s="186"/>
      <c r="I156" s="187"/>
      <c r="J156" s="4"/>
      <c r="K156" s="169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1">
        <f>'Données projet'!D150</f>
        <v>23</v>
      </c>
      <c r="C157" s="187"/>
      <c r="D157" s="178">
        <f t="shared" si="10"/>
        <v>0</v>
      </c>
      <c r="E157" s="189"/>
      <c r="F157" s="229"/>
      <c r="G157" s="199"/>
      <c r="H157" s="186"/>
      <c r="I157" s="187"/>
      <c r="J157" s="4"/>
      <c r="K157" s="169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1">
        <f>'Données projet'!D151</f>
        <v>0</v>
      </c>
      <c r="C158" s="187"/>
      <c r="D158" s="178">
        <f t="shared" si="10"/>
        <v>0</v>
      </c>
      <c r="E158" s="189"/>
      <c r="F158" s="229"/>
      <c r="G158" s="199"/>
      <c r="H158" s="186"/>
      <c r="I158" s="187"/>
      <c r="J158" s="4"/>
      <c r="K158" s="169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1">
        <f>'Données projet'!D152</f>
        <v>0</v>
      </c>
      <c r="C159" s="187"/>
      <c r="D159" s="178">
        <f t="shared" si="10"/>
        <v>0</v>
      </c>
      <c r="E159" s="189"/>
      <c r="F159" s="229"/>
      <c r="G159" s="199"/>
      <c r="H159" s="186"/>
      <c r="I159" s="187"/>
      <c r="J159" s="4"/>
      <c r="K159" s="169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1">
        <f>'Données projet'!D153</f>
        <v>0</v>
      </c>
      <c r="C160" s="187"/>
      <c r="D160" s="178">
        <f t="shared" si="10"/>
        <v>0</v>
      </c>
      <c r="E160" s="189"/>
      <c r="F160" s="229"/>
      <c r="G160" s="199"/>
      <c r="H160" s="186"/>
      <c r="I160" s="187"/>
      <c r="J160" s="4"/>
      <c r="K160" s="169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1">
        <f>'Données projet'!D154</f>
        <v>0</v>
      </c>
      <c r="C161" s="187"/>
      <c r="D161" s="178">
        <f t="shared" si="10"/>
        <v>0</v>
      </c>
      <c r="E161" s="189"/>
      <c r="F161" s="229"/>
      <c r="G161" s="199"/>
      <c r="H161" s="186"/>
      <c r="I161" s="187"/>
      <c r="J161" s="4"/>
      <c r="K161" s="169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1">
        <f>'Données projet'!D155</f>
        <v>0</v>
      </c>
      <c r="C162" s="187"/>
      <c r="D162" s="178">
        <f t="shared" si="10"/>
        <v>0</v>
      </c>
      <c r="E162" s="189"/>
      <c r="F162" s="229"/>
      <c r="G162" s="199"/>
      <c r="H162" s="186"/>
      <c r="I162" s="187"/>
      <c r="J162" s="4"/>
      <c r="K162" s="169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1">
        <f>'Données projet'!D156</f>
        <v>0</v>
      </c>
      <c r="C163" s="187"/>
      <c r="D163" s="178">
        <f t="shared" si="10"/>
        <v>0</v>
      </c>
      <c r="E163" s="189"/>
      <c r="F163" s="229"/>
      <c r="G163" s="199"/>
      <c r="H163" s="186"/>
      <c r="I163" s="187"/>
      <c r="J163" s="4"/>
      <c r="K163" s="169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1">
        <f>'Données projet'!D157</f>
        <v>0</v>
      </c>
      <c r="C164" s="187"/>
      <c r="D164" s="178">
        <f t="shared" si="10"/>
        <v>0</v>
      </c>
      <c r="E164" s="189"/>
      <c r="F164" s="229"/>
      <c r="G164" s="199"/>
      <c r="H164" s="186"/>
      <c r="I164" s="187"/>
      <c r="J164" s="4"/>
      <c r="K164" s="169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1">
        <f>'Données projet'!D158</f>
        <v>0</v>
      </c>
      <c r="C165" s="187"/>
      <c r="D165" s="178">
        <f t="shared" si="10"/>
        <v>0</v>
      </c>
      <c r="E165" s="189"/>
      <c r="F165" s="229"/>
      <c r="G165" s="199"/>
      <c r="H165" s="186"/>
      <c r="I165" s="187"/>
      <c r="J165" s="4"/>
      <c r="K165" s="169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1">
        <f>'Données projet'!D159</f>
        <v>0</v>
      </c>
      <c r="C166" s="187"/>
      <c r="D166" s="178">
        <f t="shared" si="10"/>
        <v>0</v>
      </c>
      <c r="E166" s="189"/>
      <c r="F166" s="229"/>
      <c r="G166" s="199"/>
      <c r="H166" s="186"/>
      <c r="I166" s="187"/>
      <c r="J166" s="4"/>
      <c r="K166" s="169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6"/>
      <c r="G167" s="199"/>
      <c r="H167" s="186"/>
      <c r="I167" s="187"/>
      <c r="J167" s="4"/>
      <c r="K167" s="169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6"/>
      <c r="G168" s="199"/>
      <c r="H168" s="186"/>
      <c r="I168" s="187"/>
      <c r="J168" s="4"/>
      <c r="K168" s="169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0" t="str">
        <f>IF('Données projet'!B14="","",'Données projet'!B14)</f>
        <v>Merisier</v>
      </c>
      <c r="C169" s="4"/>
      <c r="D169" s="4"/>
      <c r="E169" s="4"/>
      <c r="F169" s="226"/>
      <c r="G169" s="199"/>
      <c r="H169" s="186"/>
      <c r="I169" s="187"/>
      <c r="J169" s="4"/>
      <c r="K169" s="169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6"/>
      <c r="G170" s="199"/>
      <c r="H170" s="186"/>
      <c r="I170" s="187"/>
      <c r="J170" s="4"/>
      <c r="K170" s="169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7"/>
      <c r="G171" s="199"/>
      <c r="H171" s="186"/>
      <c r="I171" s="187"/>
      <c r="J171" s="4"/>
      <c r="K171" s="169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5" t="s">
        <v>132</v>
      </c>
      <c r="C172" s="194" t="s">
        <v>132</v>
      </c>
      <c r="D172" s="193" t="s">
        <v>132</v>
      </c>
      <c r="E172" s="189">
        <v>3840.93</v>
      </c>
      <c r="F172" s="227"/>
      <c r="G172" s="199"/>
      <c r="H172" s="186"/>
      <c r="I172" s="187"/>
      <c r="J172" s="4"/>
      <c r="K172" s="169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5" t="s">
        <v>132</v>
      </c>
      <c r="C173" s="194" t="s">
        <v>132</v>
      </c>
      <c r="D173" s="193" t="s">
        <v>132</v>
      </c>
      <c r="E173" s="189"/>
      <c r="F173" s="227"/>
      <c r="G173" s="23"/>
      <c r="H173" s="186"/>
      <c r="I173" s="187"/>
      <c r="J173" s="4"/>
      <c r="K173" s="16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5" t="s">
        <v>132</v>
      </c>
      <c r="C174" s="194" t="s">
        <v>132</v>
      </c>
      <c r="D174" s="193" t="s">
        <v>132</v>
      </c>
      <c r="E174" s="189"/>
      <c r="F174" s="227"/>
      <c r="G174" s="23"/>
      <c r="H174" s="186"/>
      <c r="I174" s="187"/>
      <c r="J174" s="4"/>
      <c r="K174" s="169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5" t="s">
        <v>132</v>
      </c>
      <c r="C175" s="194" t="s">
        <v>132</v>
      </c>
      <c r="D175" s="193" t="s">
        <v>132</v>
      </c>
      <c r="E175" s="189"/>
      <c r="F175" s="227"/>
      <c r="G175" s="23"/>
      <c r="H175" s="186"/>
      <c r="I175" s="187"/>
      <c r="J175" s="4"/>
      <c r="K175" s="169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5" t="s">
        <v>132</v>
      </c>
      <c r="C176" s="194" t="s">
        <v>132</v>
      </c>
      <c r="D176" s="193" t="s">
        <v>132</v>
      </c>
      <c r="E176" s="189"/>
      <c r="F176" s="227"/>
      <c r="G176" s="23"/>
      <c r="H176" s="186"/>
      <c r="I176" s="187"/>
      <c r="J176" s="4"/>
      <c r="K176" s="169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5" t="s">
        <v>132</v>
      </c>
      <c r="C177" s="194" t="s">
        <v>132</v>
      </c>
      <c r="D177" s="193" t="s">
        <v>132</v>
      </c>
      <c r="E177" s="189"/>
      <c r="F177" s="227"/>
      <c r="G177" s="201"/>
      <c r="H177" s="186"/>
      <c r="I177" s="187"/>
      <c r="J177" s="4"/>
      <c r="K177" s="169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6">
        <f>'Données projet'!A166</f>
        <v>20</v>
      </c>
      <c r="B178" s="177">
        <f>'Données projet'!D166</f>
        <v>27</v>
      </c>
      <c r="C178" s="189">
        <v>15</v>
      </c>
      <c r="D178" s="175">
        <f>B178*C178</f>
        <v>405</v>
      </c>
      <c r="E178" s="189"/>
      <c r="F178" s="228"/>
      <c r="G178" s="201"/>
      <c r="H178" s="186"/>
      <c r="I178" s="187"/>
      <c r="J178" s="4"/>
      <c r="K178" s="169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6">
        <f>'Données projet'!A167</f>
        <v>25</v>
      </c>
      <c r="B179" s="177">
        <f>'Données projet'!D167</f>
        <v>16</v>
      </c>
      <c r="C179" s="189">
        <v>15</v>
      </c>
      <c r="D179" s="175">
        <f t="shared" ref="D179:D197" si="11">B179*C179</f>
        <v>240</v>
      </c>
      <c r="E179" s="189"/>
      <c r="F179" s="228"/>
      <c r="G179" s="201"/>
      <c r="H179" s="186"/>
      <c r="I179" s="187"/>
      <c r="J179" s="4"/>
      <c r="K179" s="169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6">
        <f>'Données projet'!A168</f>
        <v>30</v>
      </c>
      <c r="B180" s="177">
        <f>'Données projet'!D168</f>
        <v>23</v>
      </c>
      <c r="C180" s="189">
        <v>15</v>
      </c>
      <c r="D180" s="175">
        <f t="shared" si="11"/>
        <v>345</v>
      </c>
      <c r="E180" s="189"/>
      <c r="F180" s="228"/>
      <c r="G180" s="201"/>
      <c r="H180" s="186"/>
      <c r="I180" s="187"/>
      <c r="J180" s="4"/>
      <c r="K180" s="169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6">
        <f>'Données projet'!A169</f>
        <v>35</v>
      </c>
      <c r="B181" s="177">
        <f>'Données projet'!D169</f>
        <v>29</v>
      </c>
      <c r="C181" s="189"/>
      <c r="D181" s="175">
        <f>B181*C181</f>
        <v>0</v>
      </c>
      <c r="E181" s="189"/>
      <c r="F181" s="228"/>
      <c r="G181" s="201"/>
      <c r="H181" s="186"/>
      <c r="I181" s="187"/>
      <c r="J181" s="4"/>
      <c r="K181" s="169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6">
        <f>'Données projet'!A170</f>
        <v>40</v>
      </c>
      <c r="B182" s="177">
        <f>'Données projet'!D170</f>
        <v>32</v>
      </c>
      <c r="C182" s="189"/>
      <c r="D182" s="175">
        <f>B182*C182</f>
        <v>0</v>
      </c>
      <c r="E182" s="189"/>
      <c r="F182" s="228"/>
      <c r="G182" s="201"/>
      <c r="H182" s="186"/>
      <c r="I182" s="187"/>
      <c r="J182" s="4"/>
      <c r="K182" s="169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6">
        <f>'Données projet'!A171</f>
        <v>45</v>
      </c>
      <c r="B183" s="177">
        <f>'Données projet'!D171</f>
        <v>36</v>
      </c>
      <c r="C183" s="189"/>
      <c r="D183" s="175">
        <f t="shared" si="11"/>
        <v>0</v>
      </c>
      <c r="E183" s="189"/>
      <c r="F183" s="228"/>
      <c r="G183" s="201"/>
      <c r="H183" s="186"/>
      <c r="I183" s="187"/>
      <c r="J183" s="4"/>
      <c r="K183" s="169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6">
        <f>'Données projet'!A172</f>
        <v>50</v>
      </c>
      <c r="B184" s="177">
        <f>'Données projet'!D172</f>
        <v>35</v>
      </c>
      <c r="C184" s="189"/>
      <c r="D184" s="175">
        <f t="shared" si="11"/>
        <v>0</v>
      </c>
      <c r="E184" s="189"/>
      <c r="F184" s="228"/>
      <c r="G184" s="202"/>
      <c r="H184" s="186"/>
      <c r="I184" s="187"/>
      <c r="J184" s="4"/>
      <c r="K184" s="169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6">
        <f>'Données projet'!A173</f>
        <v>55</v>
      </c>
      <c r="B185" s="177">
        <f>'Données projet'!D173</f>
        <v>35</v>
      </c>
      <c r="C185" s="189"/>
      <c r="D185" s="175">
        <f t="shared" si="11"/>
        <v>0</v>
      </c>
      <c r="E185" s="189"/>
      <c r="F185" s="228"/>
      <c r="G185" s="202"/>
      <c r="H185" s="186"/>
      <c r="I185" s="187"/>
      <c r="J185" s="4"/>
      <c r="K185" s="169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6">
        <f>'Données projet'!A174</f>
        <v>60</v>
      </c>
      <c r="B186" s="177">
        <f>'Données projet'!D174</f>
        <v>37</v>
      </c>
      <c r="C186" s="189"/>
      <c r="D186" s="175">
        <f t="shared" si="11"/>
        <v>0</v>
      </c>
      <c r="E186" s="189"/>
      <c r="F186" s="228"/>
      <c r="G186" s="202"/>
      <c r="H186" s="186"/>
      <c r="I186" s="187"/>
      <c r="J186" s="4"/>
      <c r="K186" s="169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6">
        <f>'Données projet'!A175</f>
        <v>65</v>
      </c>
      <c r="B187" s="177">
        <f>'Données projet'!D175</f>
        <v>37</v>
      </c>
      <c r="C187" s="189"/>
      <c r="D187" s="175">
        <f t="shared" si="11"/>
        <v>0</v>
      </c>
      <c r="E187" s="189"/>
      <c r="F187" s="228"/>
      <c r="G187" s="202"/>
      <c r="H187" s="186"/>
      <c r="I187" s="187"/>
      <c r="J187" s="4"/>
      <c r="K187" s="169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6">
        <f>'Données projet'!A176</f>
        <v>70</v>
      </c>
      <c r="B188" s="177">
        <f>'Données projet'!D176</f>
        <v>32</v>
      </c>
      <c r="C188" s="189"/>
      <c r="D188" s="175">
        <f t="shared" si="11"/>
        <v>0</v>
      </c>
      <c r="E188" s="189"/>
      <c r="F188" s="228"/>
      <c r="G188" s="202"/>
      <c r="H188" s="186"/>
      <c r="I188" s="187"/>
      <c r="J188" s="4"/>
      <c r="K188" s="169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6">
        <f>'Données projet'!A177</f>
        <v>75</v>
      </c>
      <c r="B189" s="177">
        <f>'Données projet'!D177</f>
        <v>31</v>
      </c>
      <c r="C189" s="189"/>
      <c r="D189" s="175">
        <f t="shared" si="11"/>
        <v>0</v>
      </c>
      <c r="E189" s="189"/>
      <c r="F189" s="228"/>
      <c r="G189" s="202"/>
      <c r="H189" s="186"/>
      <c r="I189" s="187"/>
      <c r="J189" s="4"/>
      <c r="K189" s="169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6">
        <f>'Données projet'!A178</f>
        <v>80</v>
      </c>
      <c r="B190" s="177">
        <f>'Données projet'!D178</f>
        <v>0</v>
      </c>
      <c r="C190" s="189"/>
      <c r="D190" s="175">
        <f t="shared" si="11"/>
        <v>0</v>
      </c>
      <c r="E190" s="189"/>
      <c r="F190" s="228"/>
      <c r="G190" s="202"/>
      <c r="H190" s="186"/>
      <c r="I190" s="187"/>
      <c r="J190" s="4"/>
      <c r="K190" s="169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6">
        <f>'Données projet'!A179</f>
        <v>0</v>
      </c>
      <c r="B191" s="177">
        <f>'Données projet'!D179</f>
        <v>0</v>
      </c>
      <c r="C191" s="189"/>
      <c r="D191" s="175">
        <f t="shared" si="11"/>
        <v>0</v>
      </c>
      <c r="E191" s="189"/>
      <c r="F191" s="228"/>
      <c r="G191" s="202"/>
      <c r="H191" s="186"/>
      <c r="I191" s="187"/>
      <c r="J191" s="4"/>
      <c r="K191" s="169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6">
        <f>'Données projet'!A180</f>
        <v>0</v>
      </c>
      <c r="B192" s="177">
        <f>'Données projet'!D180</f>
        <v>0</v>
      </c>
      <c r="C192" s="189"/>
      <c r="D192" s="175">
        <f t="shared" si="11"/>
        <v>0</v>
      </c>
      <c r="E192" s="189"/>
      <c r="F192" s="228"/>
      <c r="G192" s="202"/>
      <c r="H192" s="186"/>
      <c r="I192" s="187"/>
      <c r="J192" s="4"/>
      <c r="K192" s="169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6">
        <f>'Données projet'!A181</f>
        <v>0</v>
      </c>
      <c r="B193" s="177">
        <f>'Données projet'!D181</f>
        <v>0</v>
      </c>
      <c r="C193" s="189"/>
      <c r="D193" s="175">
        <f t="shared" si="11"/>
        <v>0</v>
      </c>
      <c r="E193" s="189"/>
      <c r="F193" s="228"/>
      <c r="G193" s="202"/>
      <c r="H193" s="186"/>
      <c r="I193" s="187"/>
      <c r="J193" s="4"/>
      <c r="K193" s="16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6">
        <f>'Données projet'!A182</f>
        <v>0</v>
      </c>
      <c r="B194" s="177">
        <f>'Données projet'!D182</f>
        <v>0</v>
      </c>
      <c r="C194" s="189"/>
      <c r="D194" s="175">
        <f t="shared" si="11"/>
        <v>0</v>
      </c>
      <c r="E194" s="189"/>
      <c r="F194" s="228"/>
      <c r="G194" s="202"/>
      <c r="H194" s="186"/>
      <c r="I194" s="187"/>
      <c r="J194" s="4"/>
      <c r="K194" s="169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6">
        <f>'Données projet'!A183</f>
        <v>0</v>
      </c>
      <c r="B195" s="177">
        <f>'Données projet'!D183</f>
        <v>0</v>
      </c>
      <c r="C195" s="189"/>
      <c r="D195" s="175">
        <f t="shared" si="11"/>
        <v>0</v>
      </c>
      <c r="E195" s="189"/>
      <c r="F195" s="228"/>
      <c r="G195" s="202"/>
      <c r="H195" s="186"/>
      <c r="I195" s="187"/>
      <c r="J195" s="4"/>
      <c r="K195" s="169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6">
        <f>'Données projet'!A184</f>
        <v>0</v>
      </c>
      <c r="B196" s="177">
        <f>'Données projet'!D184</f>
        <v>0</v>
      </c>
      <c r="C196" s="189"/>
      <c r="D196" s="175">
        <f t="shared" si="11"/>
        <v>0</v>
      </c>
      <c r="E196" s="189"/>
      <c r="F196" s="228"/>
      <c r="G196" s="202"/>
      <c r="H196" s="186"/>
      <c r="I196" s="187"/>
      <c r="J196" s="4"/>
      <c r="K196" s="169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6">
        <f>'Données projet'!A185</f>
        <v>0</v>
      </c>
      <c r="B197" s="177">
        <f>'Données projet'!D185</f>
        <v>0</v>
      </c>
      <c r="C197" s="189"/>
      <c r="D197" s="175">
        <f t="shared" si="11"/>
        <v>0</v>
      </c>
      <c r="E197" s="189"/>
      <c r="F197" s="228"/>
      <c r="G197" s="202"/>
      <c r="H197" s="186"/>
      <c r="I197" s="187"/>
      <c r="J197" s="4"/>
      <c r="K197" s="169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6"/>
      <c r="G198" s="202"/>
      <c r="H198" s="186"/>
      <c r="I198" s="187"/>
      <c r="J198" s="4"/>
      <c r="K198" s="169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6"/>
      <c r="G199" s="202"/>
      <c r="H199" s="186"/>
      <c r="I199" s="187"/>
      <c r="J199" s="4"/>
      <c r="K199" s="169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0" t="str">
        <f>IF('Données projet'!$B$15="","",'Données projet'!$B$15)</f>
        <v>Tilleul</v>
      </c>
      <c r="C200" s="4"/>
      <c r="D200" s="4"/>
      <c r="E200" s="4"/>
      <c r="F200" s="226"/>
      <c r="G200" s="202"/>
      <c r="H200" s="186"/>
      <c r="I200" s="187"/>
      <c r="J200" s="4"/>
      <c r="K200" s="169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6"/>
      <c r="G201" s="202"/>
      <c r="H201" s="186"/>
      <c r="I201" s="187"/>
      <c r="J201" s="4"/>
      <c r="K201" s="169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7"/>
      <c r="G202" s="202"/>
      <c r="H202" s="186"/>
      <c r="I202" s="187"/>
      <c r="J202" s="4"/>
      <c r="K202" s="169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5" t="s">
        <v>132</v>
      </c>
      <c r="C203" s="194" t="s">
        <v>132</v>
      </c>
      <c r="D203" s="193" t="s">
        <v>132</v>
      </c>
      <c r="E203" s="189">
        <v>3462.89</v>
      </c>
      <c r="F203" s="227"/>
      <c r="G203" s="202"/>
      <c r="H203" s="186"/>
      <c r="I203" s="187"/>
      <c r="J203" s="4"/>
      <c r="K203" s="169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5" t="s">
        <v>132</v>
      </c>
      <c r="C204" s="194" t="s">
        <v>132</v>
      </c>
      <c r="D204" s="193" t="s">
        <v>132</v>
      </c>
      <c r="E204" s="189"/>
      <c r="F204" s="227"/>
      <c r="G204" s="23"/>
      <c r="H204" s="186"/>
      <c r="I204" s="187"/>
      <c r="J204" s="4"/>
      <c r="K204" s="169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5" t="s">
        <v>132</v>
      </c>
      <c r="C205" s="194" t="s">
        <v>132</v>
      </c>
      <c r="D205" s="193" t="s">
        <v>132</v>
      </c>
      <c r="E205" s="189"/>
      <c r="F205" s="227"/>
      <c r="G205" s="23"/>
      <c r="H205" s="186"/>
      <c r="I205" s="187"/>
      <c r="J205" s="4"/>
      <c r="K205" s="169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5" t="s">
        <v>132</v>
      </c>
      <c r="C206" s="194" t="s">
        <v>132</v>
      </c>
      <c r="D206" s="193" t="s">
        <v>132</v>
      </c>
      <c r="E206" s="189"/>
      <c r="F206" s="227"/>
      <c r="G206" s="23"/>
      <c r="H206" s="186"/>
      <c r="I206" s="187"/>
      <c r="J206" s="4"/>
      <c r="K206" s="169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5" t="s">
        <v>132</v>
      </c>
      <c r="C207" s="194" t="s">
        <v>132</v>
      </c>
      <c r="D207" s="193" t="s">
        <v>132</v>
      </c>
      <c r="E207" s="189"/>
      <c r="F207" s="227"/>
      <c r="G207" s="23"/>
      <c r="H207" s="186"/>
      <c r="I207" s="187"/>
      <c r="J207" s="4"/>
      <c r="K207" s="169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5" t="s">
        <v>132</v>
      </c>
      <c r="C208" s="194" t="s">
        <v>132</v>
      </c>
      <c r="D208" s="193" t="s">
        <v>132</v>
      </c>
      <c r="E208" s="189"/>
      <c r="F208" s="227"/>
      <c r="G208" s="201"/>
      <c r="H208" s="186"/>
      <c r="I208" s="187"/>
      <c r="J208" s="4"/>
      <c r="K208" s="169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6">
        <f>'Données projet'!A192</f>
        <v>10</v>
      </c>
      <c r="B209" s="177">
        <f>'Données projet'!D192</f>
        <v>0</v>
      </c>
      <c r="C209" s="189">
        <v>15</v>
      </c>
      <c r="D209" s="175">
        <f>B209*C209</f>
        <v>0</v>
      </c>
      <c r="E209" s="189"/>
      <c r="F209" s="228"/>
      <c r="G209" s="201"/>
      <c r="H209" s="186"/>
      <c r="I209" s="187"/>
      <c r="J209" s="4"/>
      <c r="K209" s="169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6">
        <f>'Données projet'!A193</f>
        <v>15</v>
      </c>
      <c r="B210" s="177">
        <f>'Données projet'!D193</f>
        <v>32</v>
      </c>
      <c r="C210" s="189">
        <v>15</v>
      </c>
      <c r="D210" s="175">
        <f t="shared" ref="D210:D228" si="12">B210*C210</f>
        <v>480</v>
      </c>
      <c r="E210" s="189"/>
      <c r="F210" s="228"/>
      <c r="G210" s="201"/>
      <c r="H210" s="186"/>
      <c r="I210" s="187"/>
      <c r="J210" s="4"/>
      <c r="K210" s="169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6">
        <f>'Données projet'!A194</f>
        <v>20</v>
      </c>
      <c r="B211" s="177">
        <f>'Données projet'!D194</f>
        <v>35</v>
      </c>
      <c r="C211" s="189">
        <v>15</v>
      </c>
      <c r="D211" s="175">
        <f t="shared" si="12"/>
        <v>525</v>
      </c>
      <c r="E211" s="189"/>
      <c r="F211" s="228"/>
      <c r="G211" s="201"/>
      <c r="H211" s="186"/>
      <c r="I211" s="187"/>
      <c r="J211" s="4"/>
      <c r="K211" s="169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6">
        <f>'Données projet'!A195</f>
        <v>25</v>
      </c>
      <c r="B212" s="177">
        <f>'Données projet'!D195</f>
        <v>35</v>
      </c>
      <c r="C212" s="189">
        <v>15</v>
      </c>
      <c r="D212" s="175">
        <f t="shared" si="12"/>
        <v>525</v>
      </c>
      <c r="E212" s="189"/>
      <c r="F212" s="228"/>
      <c r="G212" s="201"/>
      <c r="H212" s="186"/>
      <c r="I212" s="187"/>
      <c r="J212" s="4"/>
      <c r="K212" s="169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6">
        <f>'Données projet'!A196</f>
        <v>30</v>
      </c>
      <c r="B213" s="177">
        <f>'Données projet'!D196</f>
        <v>35</v>
      </c>
      <c r="C213" s="189">
        <v>15</v>
      </c>
      <c r="D213" s="175">
        <f t="shared" si="12"/>
        <v>525</v>
      </c>
      <c r="E213" s="189"/>
      <c r="F213" s="228"/>
      <c r="G213" s="201"/>
      <c r="H213" s="186"/>
      <c r="I213" s="187"/>
      <c r="J213" s="4"/>
      <c r="K213" s="169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6">
        <f>'Données projet'!A197</f>
        <v>35</v>
      </c>
      <c r="B214" s="177">
        <f>'Données projet'!D197</f>
        <v>35</v>
      </c>
      <c r="C214" s="189"/>
      <c r="D214" s="175">
        <f t="shared" si="12"/>
        <v>0</v>
      </c>
      <c r="E214" s="189"/>
      <c r="F214" s="228"/>
      <c r="G214" s="201"/>
      <c r="H214" s="186"/>
      <c r="I214" s="187"/>
      <c r="J214" s="4"/>
      <c r="K214" s="169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6">
        <f>'Données projet'!A198</f>
        <v>40</v>
      </c>
      <c r="B215" s="177">
        <f>'Données projet'!D198</f>
        <v>35</v>
      </c>
      <c r="C215" s="189"/>
      <c r="D215" s="175">
        <f t="shared" si="12"/>
        <v>0</v>
      </c>
      <c r="E215" s="189"/>
      <c r="F215" s="228"/>
      <c r="G215" s="202"/>
      <c r="H215" s="186"/>
      <c r="I215" s="187"/>
      <c r="J215" s="4"/>
      <c r="K215" s="169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6">
        <f>'Données projet'!A199</f>
        <v>45</v>
      </c>
      <c r="B216" s="177">
        <f>'Données projet'!D199</f>
        <v>24</v>
      </c>
      <c r="C216" s="189"/>
      <c r="D216" s="175">
        <f t="shared" si="12"/>
        <v>0</v>
      </c>
      <c r="E216" s="189"/>
      <c r="F216" s="228"/>
      <c r="G216" s="202"/>
      <c r="H216" s="186"/>
      <c r="I216" s="187"/>
      <c r="J216" s="4"/>
      <c r="K216" s="169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6">
        <f>'Données projet'!A200</f>
        <v>50</v>
      </c>
      <c r="B217" s="177">
        <f>'Données projet'!D200</f>
        <v>19</v>
      </c>
      <c r="C217" s="189"/>
      <c r="D217" s="175">
        <f t="shared" si="12"/>
        <v>0</v>
      </c>
      <c r="E217" s="189"/>
      <c r="F217" s="228"/>
      <c r="G217" s="202"/>
      <c r="H217" s="186"/>
      <c r="I217" s="187"/>
      <c r="J217" s="4"/>
      <c r="K217" s="1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6">
        <f>'Données projet'!A201</f>
        <v>55</v>
      </c>
      <c r="B218" s="177">
        <f>'Données projet'!D201</f>
        <v>16</v>
      </c>
      <c r="C218" s="189"/>
      <c r="D218" s="175">
        <f t="shared" si="12"/>
        <v>0</v>
      </c>
      <c r="E218" s="189"/>
      <c r="F218" s="228"/>
      <c r="G218" s="202"/>
      <c r="H218" s="186"/>
      <c r="I218" s="187"/>
      <c r="J218" s="4"/>
      <c r="K218" s="169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6">
        <f>'Données projet'!A202</f>
        <v>60</v>
      </c>
      <c r="B219" s="177">
        <f>'Données projet'!D202</f>
        <v>14</v>
      </c>
      <c r="C219" s="189"/>
      <c r="D219" s="175">
        <f t="shared" si="12"/>
        <v>0</v>
      </c>
      <c r="E219" s="189"/>
      <c r="F219" s="228"/>
      <c r="G219" s="202"/>
      <c r="H219" s="186"/>
      <c r="I219" s="187"/>
      <c r="J219" s="4"/>
      <c r="K219" s="169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6">
        <f>'Données projet'!A203</f>
        <v>65</v>
      </c>
      <c r="B220" s="177">
        <f>'Données projet'!D203</f>
        <v>13</v>
      </c>
      <c r="C220" s="189"/>
      <c r="D220" s="175">
        <f t="shared" si="12"/>
        <v>0</v>
      </c>
      <c r="E220" s="189"/>
      <c r="F220" s="228"/>
      <c r="G220" s="202"/>
      <c r="H220" s="4"/>
      <c r="I220" s="4"/>
      <c r="J220" s="4"/>
      <c r="K220" s="169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6">
        <f>'Données projet'!A204</f>
        <v>70</v>
      </c>
      <c r="B221" s="177">
        <f>'Données projet'!D204</f>
        <v>13</v>
      </c>
      <c r="C221" s="189"/>
      <c r="D221" s="175">
        <f t="shared" si="12"/>
        <v>0</v>
      </c>
      <c r="E221" s="189"/>
      <c r="F221" s="228"/>
      <c r="G221" s="202"/>
      <c r="H221" s="4"/>
      <c r="I221" s="4"/>
      <c r="J221" s="4"/>
      <c r="K221" s="169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6">
        <f>'Données projet'!A205</f>
        <v>75</v>
      </c>
      <c r="B222" s="177">
        <f>'Données projet'!D205</f>
        <v>12</v>
      </c>
      <c r="C222" s="189"/>
      <c r="D222" s="175">
        <f t="shared" si="12"/>
        <v>0</v>
      </c>
      <c r="E222" s="189"/>
      <c r="F222" s="228"/>
      <c r="G222" s="202"/>
      <c r="H222" s="4"/>
      <c r="I222" s="4"/>
      <c r="J222" s="4"/>
      <c r="K222" s="169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6">
        <f>'Données projet'!A206</f>
        <v>80</v>
      </c>
      <c r="B223" s="177">
        <f>'Données projet'!D206</f>
        <v>11</v>
      </c>
      <c r="C223" s="189"/>
      <c r="D223" s="175">
        <f t="shared" si="12"/>
        <v>0</v>
      </c>
      <c r="E223" s="189"/>
      <c r="F223" s="228"/>
      <c r="G223" s="202"/>
      <c r="H223" s="4"/>
      <c r="I223" s="4"/>
      <c r="J223" s="4"/>
      <c r="K223" s="169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6">
        <f>'Données projet'!A207</f>
        <v>0</v>
      </c>
      <c r="B224" s="177">
        <f>'Données projet'!D207</f>
        <v>0</v>
      </c>
      <c r="C224" s="189"/>
      <c r="D224" s="175">
        <f t="shared" si="12"/>
        <v>0</v>
      </c>
      <c r="E224" s="189"/>
      <c r="F224" s="228"/>
      <c r="G224" s="202"/>
      <c r="H224" s="4"/>
      <c r="I224" s="4"/>
      <c r="J224" s="4"/>
      <c r="K224" s="169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6">
        <f>'Données projet'!A208</f>
        <v>0</v>
      </c>
      <c r="B225" s="177">
        <f>'Données projet'!D208</f>
        <v>0</v>
      </c>
      <c r="C225" s="189"/>
      <c r="D225" s="175">
        <f t="shared" si="12"/>
        <v>0</v>
      </c>
      <c r="E225" s="189"/>
      <c r="F225" s="228"/>
      <c r="G225" s="202"/>
      <c r="H225" s="4"/>
      <c r="I225" s="4"/>
      <c r="J225" s="4"/>
      <c r="K225" s="169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6">
        <f>'Données projet'!A209</f>
        <v>0</v>
      </c>
      <c r="B226" s="177">
        <f>'Données projet'!D209</f>
        <v>0</v>
      </c>
      <c r="C226" s="189"/>
      <c r="D226" s="175">
        <f t="shared" si="12"/>
        <v>0</v>
      </c>
      <c r="E226" s="189"/>
      <c r="F226" s="228"/>
      <c r="G226" s="202"/>
      <c r="H226" s="4"/>
      <c r="I226" s="4"/>
      <c r="J226" s="4"/>
      <c r="K226" s="16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6">
        <f>'Données projet'!A210</f>
        <v>0</v>
      </c>
      <c r="B227" s="177">
        <f>'Données projet'!D210</f>
        <v>0</v>
      </c>
      <c r="C227" s="189"/>
      <c r="D227" s="175">
        <f t="shared" si="12"/>
        <v>0</v>
      </c>
      <c r="E227" s="189"/>
      <c r="F227" s="228"/>
      <c r="G227" s="202"/>
      <c r="H227" s="4"/>
      <c r="I227" s="4"/>
      <c r="J227" s="4"/>
      <c r="K227" s="169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6">
        <f>'Données projet'!A211</f>
        <v>0</v>
      </c>
      <c r="B228" s="177">
        <f>'Données projet'!D211</f>
        <v>0</v>
      </c>
      <c r="C228" s="189"/>
      <c r="D228" s="175">
        <f t="shared" si="12"/>
        <v>0</v>
      </c>
      <c r="E228" s="189"/>
      <c r="F228" s="228"/>
      <c r="G228" s="202"/>
      <c r="H228" s="4"/>
      <c r="I228" s="4"/>
      <c r="J228" s="4"/>
      <c r="K228" s="169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6"/>
      <c r="G229" s="202"/>
      <c r="H229" s="4"/>
      <c r="I229" s="4"/>
      <c r="J229" s="4"/>
      <c r="K229" s="169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6"/>
      <c r="G230" s="202"/>
      <c r="H230" s="4"/>
      <c r="I230" s="4"/>
      <c r="J230" s="4"/>
      <c r="K230" s="169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0" t="str">
        <f>IF('Données projet'!$B$16="","",'Données projet'!$B$16)</f>
        <v>Charme</v>
      </c>
      <c r="C231" s="4"/>
      <c r="D231" s="4"/>
      <c r="E231" s="4"/>
      <c r="F231" s="226"/>
      <c r="G231" s="202"/>
      <c r="H231" s="4"/>
      <c r="I231" s="4"/>
      <c r="J231" s="4"/>
      <c r="K231" s="169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6"/>
      <c r="G232" s="202"/>
      <c r="H232" s="4"/>
      <c r="I232" s="4"/>
      <c r="J232" s="4"/>
      <c r="K232" s="169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7"/>
      <c r="G233" s="202"/>
      <c r="H233" s="4"/>
      <c r="I233" s="4"/>
      <c r="J233" s="4"/>
      <c r="K233" s="169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5" t="s">
        <v>132</v>
      </c>
      <c r="C234" s="194" t="s">
        <v>132</v>
      </c>
      <c r="D234" s="193" t="s">
        <v>132</v>
      </c>
      <c r="E234" s="189">
        <v>2633.85</v>
      </c>
      <c r="F234" s="227"/>
      <c r="G234" s="202"/>
      <c r="H234" s="4"/>
      <c r="I234" s="4"/>
      <c r="J234" s="4"/>
      <c r="K234" s="169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5" t="s">
        <v>132</v>
      </c>
      <c r="C235" s="194" t="s">
        <v>132</v>
      </c>
      <c r="D235" s="193" t="s">
        <v>132</v>
      </c>
      <c r="E235" s="189"/>
      <c r="F235" s="227"/>
      <c r="G235" s="23"/>
      <c r="H235" s="4"/>
      <c r="I235" s="4"/>
      <c r="J235" s="4"/>
      <c r="K235" s="169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5" t="s">
        <v>132</v>
      </c>
      <c r="C236" s="194" t="s">
        <v>132</v>
      </c>
      <c r="D236" s="193" t="s">
        <v>132</v>
      </c>
      <c r="E236" s="189"/>
      <c r="F236" s="227"/>
      <c r="G236" s="23"/>
      <c r="H236" s="4"/>
      <c r="I236" s="4"/>
      <c r="J236" s="4"/>
      <c r="K236" s="169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5" t="s">
        <v>132</v>
      </c>
      <c r="C237" s="194" t="s">
        <v>132</v>
      </c>
      <c r="D237" s="193" t="s">
        <v>132</v>
      </c>
      <c r="E237" s="189"/>
      <c r="F237" s="227"/>
      <c r="G237" s="23"/>
      <c r="H237" s="4"/>
      <c r="I237" s="4"/>
      <c r="J237" s="4"/>
      <c r="K237" s="169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5" t="s">
        <v>132</v>
      </c>
      <c r="C238" s="194" t="s">
        <v>132</v>
      </c>
      <c r="D238" s="193" t="s">
        <v>132</v>
      </c>
      <c r="E238" s="189"/>
      <c r="F238" s="227"/>
      <c r="G238" s="23"/>
      <c r="H238" s="4"/>
      <c r="I238" s="4"/>
      <c r="J238" s="4"/>
      <c r="K238" s="169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5" t="s">
        <v>132</v>
      </c>
      <c r="C239" s="194" t="s">
        <v>132</v>
      </c>
      <c r="D239" s="193" t="s">
        <v>132</v>
      </c>
      <c r="E239" s="189"/>
      <c r="F239" s="227"/>
      <c r="G239" s="201"/>
      <c r="H239" s="4"/>
      <c r="I239" s="4"/>
      <c r="J239" s="4"/>
      <c r="K239" s="169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6">
        <f>'Données projet'!A218</f>
        <v>10</v>
      </c>
      <c r="B240" s="177">
        <f>'Données projet'!D218</f>
        <v>10</v>
      </c>
      <c r="C240" s="189">
        <v>15</v>
      </c>
      <c r="D240" s="175">
        <f>B240*C240</f>
        <v>150</v>
      </c>
      <c r="E240" s="189"/>
      <c r="F240" s="228"/>
      <c r="G240" s="201"/>
      <c r="H240" s="4"/>
      <c r="I240" s="4"/>
      <c r="J240" s="4"/>
      <c r="K240" s="169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6">
        <f>'Données projet'!A219</f>
        <v>15</v>
      </c>
      <c r="B241" s="177">
        <f>'Données projet'!D219</f>
        <v>17</v>
      </c>
      <c r="C241" s="189">
        <v>15</v>
      </c>
      <c r="D241" s="175">
        <f t="shared" ref="D241:D259" si="13">B241*C241</f>
        <v>255</v>
      </c>
      <c r="E241" s="189"/>
      <c r="F241" s="228"/>
      <c r="G241" s="201"/>
      <c r="H241" s="4"/>
      <c r="I241" s="4"/>
      <c r="J241" s="4"/>
      <c r="K241" s="169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6">
        <f>'Données projet'!A220</f>
        <v>20</v>
      </c>
      <c r="B242" s="177">
        <f>'Données projet'!D220</f>
        <v>22</v>
      </c>
      <c r="C242" s="189">
        <v>15</v>
      </c>
      <c r="D242" s="175">
        <f t="shared" si="13"/>
        <v>330</v>
      </c>
      <c r="E242" s="189"/>
      <c r="F242" s="228"/>
      <c r="G242" s="201"/>
      <c r="H242" s="4"/>
      <c r="I242" s="4"/>
      <c r="J242" s="4"/>
      <c r="K242" s="169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6">
        <f>'Données projet'!A221</f>
        <v>25</v>
      </c>
      <c r="B243" s="177">
        <f>'Données projet'!D221</f>
        <v>26</v>
      </c>
      <c r="C243" s="189">
        <v>15</v>
      </c>
      <c r="D243" s="175">
        <f t="shared" si="13"/>
        <v>390</v>
      </c>
      <c r="E243" s="189"/>
      <c r="F243" s="228"/>
      <c r="G243" s="201"/>
      <c r="H243" s="4"/>
      <c r="I243" s="4"/>
      <c r="J243" s="4"/>
      <c r="K243" s="169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6">
        <f>'Données projet'!A222</f>
        <v>30</v>
      </c>
      <c r="B244" s="177">
        <f>'Données projet'!D222</f>
        <v>28</v>
      </c>
      <c r="C244" s="189">
        <v>15</v>
      </c>
      <c r="D244" s="175">
        <f t="shared" si="13"/>
        <v>420</v>
      </c>
      <c r="E244" s="189"/>
      <c r="F244" s="228"/>
      <c r="G244" s="201"/>
      <c r="H244" s="4"/>
      <c r="I244" s="4"/>
      <c r="J244" s="4"/>
      <c r="K244" s="1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6">
        <f>'Données projet'!A223</f>
        <v>35</v>
      </c>
      <c r="B245" s="177">
        <f>'Données projet'!D223</f>
        <v>29</v>
      </c>
      <c r="C245" s="189"/>
      <c r="D245" s="175">
        <f t="shared" si="13"/>
        <v>0</v>
      </c>
      <c r="E245" s="189"/>
      <c r="F245" s="228"/>
      <c r="G245" s="201"/>
      <c r="H245" s="4"/>
      <c r="I245" s="4"/>
      <c r="J245" s="4"/>
      <c r="K245" s="169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6">
        <f>'Données projet'!A224</f>
        <v>40</v>
      </c>
      <c r="B246" s="177">
        <f>'Données projet'!D224</f>
        <v>30</v>
      </c>
      <c r="C246" s="189"/>
      <c r="D246" s="175">
        <f t="shared" si="13"/>
        <v>0</v>
      </c>
      <c r="E246" s="189"/>
      <c r="F246" s="228"/>
      <c r="G246" s="202"/>
      <c r="H246" s="4"/>
      <c r="I246" s="4"/>
      <c r="J246" s="4"/>
      <c r="K246" s="169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6">
        <f>'Données projet'!A225</f>
        <v>45</v>
      </c>
      <c r="B247" s="177">
        <f>'Données projet'!D225</f>
        <v>30</v>
      </c>
      <c r="C247" s="189"/>
      <c r="D247" s="175">
        <f t="shared" si="13"/>
        <v>0</v>
      </c>
      <c r="E247" s="189"/>
      <c r="F247" s="228"/>
      <c r="G247" s="202"/>
      <c r="H247" s="4"/>
      <c r="I247" s="4"/>
      <c r="J247" s="4"/>
      <c r="K247" s="169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6">
        <f>'Données projet'!A226</f>
        <v>50</v>
      </c>
      <c r="B248" s="177">
        <f>'Données projet'!D226</f>
        <v>30</v>
      </c>
      <c r="C248" s="189"/>
      <c r="D248" s="175">
        <f t="shared" si="13"/>
        <v>0</v>
      </c>
      <c r="E248" s="189"/>
      <c r="F248" s="228"/>
      <c r="G248" s="202"/>
      <c r="H248" s="4"/>
      <c r="I248" s="4"/>
      <c r="J248" s="4"/>
      <c r="K248" s="169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6">
        <f>'Données projet'!A227</f>
        <v>55</v>
      </c>
      <c r="B249" s="177">
        <f>'Données projet'!D227</f>
        <v>30</v>
      </c>
      <c r="C249" s="189"/>
      <c r="D249" s="175">
        <f t="shared" si="13"/>
        <v>0</v>
      </c>
      <c r="E249" s="189"/>
      <c r="F249" s="228"/>
      <c r="G249" s="202"/>
      <c r="H249" s="4"/>
      <c r="I249" s="4"/>
      <c r="J249" s="4"/>
      <c r="K249" s="169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6">
        <f>'Données projet'!A228</f>
        <v>60</v>
      </c>
      <c r="B250" s="177">
        <f>'Données projet'!D228</f>
        <v>29</v>
      </c>
      <c r="C250" s="189"/>
      <c r="D250" s="175">
        <f t="shared" si="13"/>
        <v>0</v>
      </c>
      <c r="E250" s="189"/>
      <c r="F250" s="228"/>
      <c r="G250" s="202"/>
      <c r="H250" s="4"/>
      <c r="I250" s="4"/>
      <c r="J250" s="4"/>
      <c r="K250" s="169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6">
        <f>'Données projet'!A229</f>
        <v>65</v>
      </c>
      <c r="B251" s="177">
        <f>'Données projet'!D229</f>
        <v>29</v>
      </c>
      <c r="C251" s="189"/>
      <c r="D251" s="175">
        <f t="shared" si="13"/>
        <v>0</v>
      </c>
      <c r="E251" s="189"/>
      <c r="F251" s="228"/>
      <c r="G251" s="202"/>
      <c r="H251" s="4"/>
      <c r="I251" s="4"/>
      <c r="J251" s="4"/>
      <c r="K251" s="169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6">
        <f>'Données projet'!A230</f>
        <v>70</v>
      </c>
      <c r="B252" s="177">
        <f>'Données projet'!D230</f>
        <v>28</v>
      </c>
      <c r="C252" s="189"/>
      <c r="D252" s="175">
        <f t="shared" si="13"/>
        <v>0</v>
      </c>
      <c r="E252" s="189"/>
      <c r="F252" s="228"/>
      <c r="G252" s="202"/>
      <c r="H252" s="4"/>
      <c r="I252" s="4"/>
      <c r="J252" s="4"/>
      <c r="K252" s="16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6">
        <f>'Données projet'!A231</f>
        <v>75</v>
      </c>
      <c r="B253" s="177">
        <f>'Données projet'!D231</f>
        <v>27</v>
      </c>
      <c r="C253" s="189"/>
      <c r="D253" s="175">
        <f t="shared" si="13"/>
        <v>0</v>
      </c>
      <c r="E253" s="189"/>
      <c r="F253" s="228"/>
      <c r="G253" s="202"/>
      <c r="H253" s="4"/>
      <c r="I253" s="4"/>
      <c r="J253" s="4"/>
      <c r="K253" s="169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6">
        <f>'Données projet'!A232</f>
        <v>80</v>
      </c>
      <c r="B254" s="177">
        <f>'Données projet'!D232</f>
        <v>26</v>
      </c>
      <c r="C254" s="189"/>
      <c r="D254" s="175">
        <f t="shared" si="13"/>
        <v>0</v>
      </c>
      <c r="E254" s="189"/>
      <c r="F254" s="228"/>
      <c r="G254" s="202"/>
      <c r="H254" s="4"/>
      <c r="I254" s="4"/>
      <c r="J254" s="4"/>
      <c r="K254" s="169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6">
        <f>'Données projet'!A233</f>
        <v>85</v>
      </c>
      <c r="B255" s="177">
        <f>'Données projet'!D233</f>
        <v>25</v>
      </c>
      <c r="C255" s="189"/>
      <c r="D255" s="175">
        <f t="shared" si="13"/>
        <v>0</v>
      </c>
      <c r="E255" s="189"/>
      <c r="F255" s="228"/>
      <c r="G255" s="202"/>
      <c r="H255" s="4"/>
      <c r="I255" s="4"/>
      <c r="J255" s="4"/>
      <c r="K255" s="169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6">
        <f>'Données projet'!A234</f>
        <v>90</v>
      </c>
      <c r="B256" s="177">
        <f>'Données projet'!D234</f>
        <v>24</v>
      </c>
      <c r="C256" s="189"/>
      <c r="D256" s="175">
        <f t="shared" si="13"/>
        <v>0</v>
      </c>
      <c r="E256" s="189"/>
      <c r="F256" s="228"/>
      <c r="G256" s="202"/>
      <c r="H256" s="4"/>
      <c r="I256" s="4"/>
      <c r="J256" s="4"/>
      <c r="K256" s="169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6">
        <f>'Données projet'!A235</f>
        <v>95</v>
      </c>
      <c r="B257" s="177">
        <f>'Données projet'!D235</f>
        <v>23</v>
      </c>
      <c r="C257" s="189"/>
      <c r="D257" s="175">
        <f t="shared" si="13"/>
        <v>0</v>
      </c>
      <c r="E257" s="189"/>
      <c r="F257" s="228"/>
      <c r="G257" s="202"/>
      <c r="H257" s="4"/>
      <c r="I257" s="4"/>
      <c r="J257" s="4"/>
      <c r="K257" s="169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6">
        <f>'Données projet'!A236</f>
        <v>100</v>
      </c>
      <c r="B258" s="177">
        <f>'Données projet'!D236</f>
        <v>22</v>
      </c>
      <c r="C258" s="189"/>
      <c r="D258" s="175">
        <f t="shared" si="13"/>
        <v>0</v>
      </c>
      <c r="E258" s="189"/>
      <c r="F258" s="228"/>
      <c r="G258" s="202"/>
      <c r="H258" s="4"/>
      <c r="I258" s="4"/>
      <c r="J258" s="4"/>
      <c r="K258" s="169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6">
        <f>'Données projet'!A237</f>
        <v>105</v>
      </c>
      <c r="B259" s="177">
        <f>'Données projet'!D237</f>
        <v>21</v>
      </c>
      <c r="C259" s="189"/>
      <c r="D259" s="175">
        <f t="shared" si="13"/>
        <v>0</v>
      </c>
      <c r="E259" s="189"/>
      <c r="F259" s="228"/>
      <c r="G259" s="202"/>
      <c r="H259" s="4"/>
      <c r="I259" s="4"/>
      <c r="J259" s="4"/>
      <c r="K259" s="169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6"/>
      <c r="G260" s="202"/>
      <c r="H260" s="4"/>
      <c r="I260" s="4"/>
      <c r="J260" s="4"/>
      <c r="K260" s="169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6"/>
      <c r="G261" s="202"/>
      <c r="H261" s="4"/>
      <c r="I261" s="4"/>
      <c r="J261" s="4"/>
      <c r="K261" s="169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0" t="str">
        <f>IF('Données projet'!$B$17="","",'Données projet'!$B$17)</f>
        <v>Alisier torminal</v>
      </c>
      <c r="C262" s="4"/>
      <c r="D262" s="4"/>
      <c r="E262" s="4"/>
      <c r="F262" s="226"/>
      <c r="G262" s="202"/>
      <c r="H262" s="4"/>
      <c r="I262" s="4"/>
      <c r="J262" s="4"/>
      <c r="K262" s="169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6"/>
      <c r="G263" s="202"/>
      <c r="H263" s="4"/>
      <c r="I263" s="4"/>
      <c r="J263" s="4"/>
      <c r="K263" s="169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7"/>
      <c r="G264" s="202"/>
      <c r="H264" s="4"/>
      <c r="I264" s="4"/>
      <c r="J264" s="4"/>
      <c r="K264" s="169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5" t="s">
        <v>132</v>
      </c>
      <c r="C265" s="194" t="s">
        <v>132</v>
      </c>
      <c r="D265" s="193" t="s">
        <v>132</v>
      </c>
      <c r="E265" s="189">
        <v>4820.9399999999996</v>
      </c>
      <c r="F265" s="227"/>
      <c r="G265" s="202"/>
      <c r="H265" s="4"/>
      <c r="I265" s="4"/>
      <c r="J265" s="4"/>
      <c r="K265" s="169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5" t="s">
        <v>132</v>
      </c>
      <c r="C266" s="194" t="s">
        <v>132</v>
      </c>
      <c r="D266" s="193" t="s">
        <v>132</v>
      </c>
      <c r="E266" s="189"/>
      <c r="F266" s="227"/>
      <c r="G266" s="23"/>
      <c r="H266" s="4"/>
      <c r="I266" s="4"/>
      <c r="J266" s="4"/>
      <c r="K266" s="169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5" t="s">
        <v>132</v>
      </c>
      <c r="C267" s="194" t="s">
        <v>132</v>
      </c>
      <c r="D267" s="193" t="s">
        <v>132</v>
      </c>
      <c r="E267" s="189"/>
      <c r="F267" s="227"/>
      <c r="G267" s="23"/>
      <c r="H267" s="4"/>
      <c r="I267" s="4"/>
      <c r="J267" s="4"/>
      <c r="K267" s="169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5" t="s">
        <v>132</v>
      </c>
      <c r="C268" s="194" t="s">
        <v>132</v>
      </c>
      <c r="D268" s="193" t="s">
        <v>132</v>
      </c>
      <c r="E268" s="189"/>
      <c r="F268" s="227"/>
      <c r="G268" s="23"/>
      <c r="H268" s="4"/>
      <c r="I268" s="4"/>
      <c r="J268" s="4"/>
      <c r="K268" s="169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5" t="s">
        <v>132</v>
      </c>
      <c r="C269" s="194" t="s">
        <v>132</v>
      </c>
      <c r="D269" s="193" t="s">
        <v>132</v>
      </c>
      <c r="E269" s="189"/>
      <c r="F269" s="227"/>
      <c r="G269" s="23"/>
      <c r="H269" s="4"/>
      <c r="I269" s="4"/>
      <c r="J269" s="4"/>
      <c r="K269" s="169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5" t="s">
        <v>132</v>
      </c>
      <c r="C270" s="194" t="s">
        <v>132</v>
      </c>
      <c r="D270" s="193" t="s">
        <v>132</v>
      </c>
      <c r="E270" s="189"/>
      <c r="F270" s="227"/>
      <c r="G270" s="201"/>
      <c r="H270" s="4"/>
      <c r="I270" s="4"/>
      <c r="J270" s="4"/>
      <c r="K270" s="169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6">
        <f>'Données projet'!A244</f>
        <v>10</v>
      </c>
      <c r="B271" s="177">
        <f>'Données projet'!D244</f>
        <v>0</v>
      </c>
      <c r="C271" s="189">
        <v>15</v>
      </c>
      <c r="D271" s="175">
        <f>B271*C271</f>
        <v>0</v>
      </c>
      <c r="E271" s="189"/>
      <c r="F271" s="228"/>
      <c r="G271" s="201"/>
      <c r="H271" s="4"/>
      <c r="I271" s="4"/>
      <c r="J271" s="4"/>
      <c r="K271" s="169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6">
        <f>'Données projet'!A245</f>
        <v>15</v>
      </c>
      <c r="B272" s="177">
        <f>'Données projet'!D245</f>
        <v>32</v>
      </c>
      <c r="C272" s="189">
        <v>15</v>
      </c>
      <c r="D272" s="175">
        <f t="shared" ref="D272:D290" si="14">B272*C272</f>
        <v>480</v>
      </c>
      <c r="E272" s="189"/>
      <c r="F272" s="228"/>
      <c r="G272" s="201"/>
      <c r="H272" s="4"/>
      <c r="I272" s="4"/>
      <c r="J272" s="4"/>
      <c r="K272" s="169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6">
        <f>'Données projet'!A246</f>
        <v>20</v>
      </c>
      <c r="B273" s="177">
        <f>'Données projet'!D246</f>
        <v>35</v>
      </c>
      <c r="C273" s="189">
        <v>15</v>
      </c>
      <c r="D273" s="175">
        <f t="shared" si="14"/>
        <v>525</v>
      </c>
      <c r="E273" s="189"/>
      <c r="F273" s="228"/>
      <c r="G273" s="201"/>
      <c r="H273" s="4"/>
      <c r="I273" s="4"/>
      <c r="J273" s="4"/>
      <c r="K273" s="169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6">
        <f>'Données projet'!A247</f>
        <v>25</v>
      </c>
      <c r="B274" s="177">
        <f>'Données projet'!D247</f>
        <v>35</v>
      </c>
      <c r="C274" s="189">
        <v>15</v>
      </c>
      <c r="D274" s="175">
        <f t="shared" si="14"/>
        <v>525</v>
      </c>
      <c r="E274" s="189"/>
      <c r="F274" s="228"/>
      <c r="G274" s="201"/>
      <c r="H274" s="4"/>
      <c r="I274" s="4"/>
      <c r="J274" s="4"/>
      <c r="K274" s="169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6">
        <f>'Données projet'!A248</f>
        <v>30</v>
      </c>
      <c r="B275" s="177">
        <f>'Données projet'!D248</f>
        <v>35</v>
      </c>
      <c r="C275" s="189">
        <v>15</v>
      </c>
      <c r="D275" s="175">
        <f t="shared" si="14"/>
        <v>525</v>
      </c>
      <c r="E275" s="189"/>
      <c r="F275" s="228"/>
      <c r="G275" s="201"/>
      <c r="H275" s="4"/>
      <c r="I275" s="4"/>
      <c r="J275" s="4"/>
      <c r="K275" s="169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6">
        <f>'Données projet'!A249</f>
        <v>35</v>
      </c>
      <c r="B276" s="177">
        <f>'Données projet'!D249</f>
        <v>35</v>
      </c>
      <c r="C276" s="189"/>
      <c r="D276" s="175">
        <f t="shared" si="14"/>
        <v>0</v>
      </c>
      <c r="E276" s="189"/>
      <c r="F276" s="228"/>
      <c r="G276" s="201"/>
      <c r="H276" s="4"/>
      <c r="I276" s="4"/>
      <c r="J276" s="4"/>
      <c r="K276" s="169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6">
        <f>'Données projet'!A250</f>
        <v>40</v>
      </c>
      <c r="B277" s="177">
        <f>'Données projet'!D250</f>
        <v>35</v>
      </c>
      <c r="C277" s="189"/>
      <c r="D277" s="175">
        <f t="shared" si="14"/>
        <v>0</v>
      </c>
      <c r="E277" s="189"/>
      <c r="F277" s="228"/>
      <c r="G277" s="202"/>
      <c r="H277" s="4"/>
      <c r="I277" s="4"/>
      <c r="J277" s="4"/>
      <c r="K277" s="169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6">
        <f>'Données projet'!A251</f>
        <v>45</v>
      </c>
      <c r="B278" s="177">
        <f>'Données projet'!D251</f>
        <v>24</v>
      </c>
      <c r="C278" s="189"/>
      <c r="D278" s="175">
        <f t="shared" si="14"/>
        <v>0</v>
      </c>
      <c r="E278" s="189"/>
      <c r="F278" s="228"/>
      <c r="G278" s="202"/>
      <c r="H278" s="4"/>
      <c r="I278" s="4"/>
      <c r="J278" s="4"/>
      <c r="K278" s="169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6">
        <f>'Données projet'!A252</f>
        <v>50</v>
      </c>
      <c r="B279" s="177">
        <f>'Données projet'!D252</f>
        <v>19</v>
      </c>
      <c r="C279" s="189"/>
      <c r="D279" s="175">
        <f t="shared" si="14"/>
        <v>0</v>
      </c>
      <c r="E279" s="189"/>
      <c r="F279" s="228"/>
      <c r="G279" s="202"/>
      <c r="H279" s="4"/>
      <c r="I279" s="4"/>
      <c r="J279" s="4"/>
      <c r="K279" s="169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6">
        <f>'Données projet'!A253</f>
        <v>55</v>
      </c>
      <c r="B280" s="177">
        <f>'Données projet'!D253</f>
        <v>16</v>
      </c>
      <c r="C280" s="189"/>
      <c r="D280" s="175">
        <f t="shared" si="14"/>
        <v>0</v>
      </c>
      <c r="E280" s="189"/>
      <c r="F280" s="228"/>
      <c r="G280" s="202"/>
      <c r="H280" s="4"/>
      <c r="I280" s="4"/>
      <c r="J280" s="4"/>
      <c r="K280" s="169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6">
        <f>'Données projet'!A254</f>
        <v>60</v>
      </c>
      <c r="B281" s="177">
        <f>'Données projet'!D254</f>
        <v>14</v>
      </c>
      <c r="C281" s="189"/>
      <c r="D281" s="175">
        <f t="shared" si="14"/>
        <v>0</v>
      </c>
      <c r="E281" s="189"/>
      <c r="F281" s="228"/>
      <c r="G281" s="202"/>
      <c r="H281" s="4"/>
      <c r="I281" s="4"/>
      <c r="J281" s="4"/>
      <c r="K281" s="169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6">
        <f>'Données projet'!A255</f>
        <v>65</v>
      </c>
      <c r="B282" s="177">
        <f>'Données projet'!D255</f>
        <v>13</v>
      </c>
      <c r="C282" s="189"/>
      <c r="D282" s="175">
        <f t="shared" si="14"/>
        <v>0</v>
      </c>
      <c r="E282" s="189"/>
      <c r="F282" s="228"/>
      <c r="G282" s="202"/>
      <c r="H282" s="4"/>
      <c r="I282" s="4"/>
      <c r="J282" s="4"/>
      <c r="K282" s="169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6">
        <f>'Données projet'!A256</f>
        <v>70</v>
      </c>
      <c r="B283" s="177">
        <f>'Données projet'!D256</f>
        <v>13</v>
      </c>
      <c r="C283" s="189"/>
      <c r="D283" s="175">
        <f t="shared" si="14"/>
        <v>0</v>
      </c>
      <c r="E283" s="189"/>
      <c r="F283" s="228"/>
      <c r="G283" s="202"/>
      <c r="H283" s="4"/>
      <c r="I283" s="4"/>
      <c r="J283" s="4"/>
      <c r="K283" s="169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6">
        <f>'Données projet'!A257</f>
        <v>75</v>
      </c>
      <c r="B284" s="177">
        <f>'Données projet'!D257</f>
        <v>12</v>
      </c>
      <c r="C284" s="189"/>
      <c r="D284" s="175">
        <f t="shared" si="14"/>
        <v>0</v>
      </c>
      <c r="E284" s="189"/>
      <c r="F284" s="228"/>
      <c r="G284" s="202"/>
      <c r="H284" s="4"/>
      <c r="I284" s="4"/>
      <c r="J284" s="4"/>
      <c r="K284" s="169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6">
        <f>'Données projet'!A258</f>
        <v>80</v>
      </c>
      <c r="B285" s="177">
        <f>'Données projet'!D258</f>
        <v>11</v>
      </c>
      <c r="C285" s="189"/>
      <c r="D285" s="175">
        <f t="shared" si="14"/>
        <v>0</v>
      </c>
      <c r="E285" s="189"/>
      <c r="F285" s="228"/>
      <c r="G285" s="202"/>
      <c r="H285" s="4"/>
      <c r="I285" s="4"/>
      <c r="J285" s="4"/>
      <c r="K285" s="169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6">
        <f>'Données projet'!A259</f>
        <v>0</v>
      </c>
      <c r="B286" s="177">
        <f>'Données projet'!D259</f>
        <v>0</v>
      </c>
      <c r="C286" s="189"/>
      <c r="D286" s="175">
        <f t="shared" si="14"/>
        <v>0</v>
      </c>
      <c r="E286" s="189"/>
      <c r="F286" s="228"/>
      <c r="G286" s="202"/>
      <c r="H286" s="4"/>
      <c r="I286" s="4"/>
      <c r="J286" s="4"/>
      <c r="K286" s="169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6">
        <f>'Données projet'!A260</f>
        <v>0</v>
      </c>
      <c r="B287" s="177">
        <f>'Données projet'!D260</f>
        <v>0</v>
      </c>
      <c r="C287" s="189"/>
      <c r="D287" s="175">
        <f t="shared" si="14"/>
        <v>0</v>
      </c>
      <c r="E287" s="189"/>
      <c r="F287" s="228"/>
      <c r="G287" s="202"/>
      <c r="H287" s="4"/>
      <c r="I287" s="4"/>
      <c r="J287" s="4"/>
      <c r="K287" s="169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6">
        <f>'Données projet'!A261</f>
        <v>0</v>
      </c>
      <c r="B288" s="177">
        <f>'Données projet'!D261</f>
        <v>0</v>
      </c>
      <c r="C288" s="189"/>
      <c r="D288" s="175">
        <f t="shared" si="14"/>
        <v>0</v>
      </c>
      <c r="E288" s="189"/>
      <c r="F288" s="228"/>
      <c r="G288" s="202"/>
      <c r="H288" s="4"/>
      <c r="I288" s="4"/>
      <c r="J288" s="4"/>
      <c r="K288" s="169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6">
        <f>'Données projet'!A262</f>
        <v>0</v>
      </c>
      <c r="B289" s="177">
        <f>'Données projet'!D262</f>
        <v>0</v>
      </c>
      <c r="C289" s="189"/>
      <c r="D289" s="175">
        <f t="shared" si="14"/>
        <v>0</v>
      </c>
      <c r="E289" s="189"/>
      <c r="F289" s="228"/>
      <c r="G289" s="202"/>
      <c r="H289" s="4"/>
      <c r="I289" s="4"/>
      <c r="J289" s="4"/>
      <c r="K289" s="169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6">
        <f>'Données projet'!A263</f>
        <v>0</v>
      </c>
      <c r="B290" s="177">
        <f>'Données projet'!D263</f>
        <v>0</v>
      </c>
      <c r="C290" s="189"/>
      <c r="D290" s="175">
        <f t="shared" si="14"/>
        <v>0</v>
      </c>
      <c r="E290" s="189"/>
      <c r="F290" s="228"/>
      <c r="G290" s="202"/>
      <c r="H290" s="4"/>
      <c r="I290" s="4"/>
      <c r="J290" s="4"/>
      <c r="K290" s="169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6"/>
      <c r="G291" s="202"/>
      <c r="H291" s="4"/>
      <c r="I291" s="4"/>
      <c r="J291" s="4"/>
      <c r="K291" s="169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6"/>
      <c r="G292" s="202"/>
      <c r="H292" s="4"/>
      <c r="I292" s="4"/>
      <c r="J292" s="4"/>
      <c r="K292" s="169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0" t="str">
        <f>IF('Données projet'!$B$18="","",'Données projet'!$B$18)</f>
        <v>Peuplier Robusta</v>
      </c>
      <c r="C293" s="4"/>
      <c r="D293" s="4"/>
      <c r="E293" s="4"/>
      <c r="F293" s="226"/>
      <c r="G293" s="202"/>
      <c r="H293" s="4"/>
      <c r="I293" s="4"/>
      <c r="J293" s="4"/>
      <c r="K293" s="169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6"/>
      <c r="G294" s="202"/>
      <c r="H294" s="4"/>
      <c r="I294" s="4"/>
      <c r="J294" s="4"/>
      <c r="K294" s="169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7"/>
      <c r="G295" s="202"/>
      <c r="H295" s="4"/>
      <c r="I295" s="4"/>
      <c r="J295" s="4"/>
      <c r="K295" s="169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5" t="s">
        <v>132</v>
      </c>
      <c r="C296" s="194" t="s">
        <v>132</v>
      </c>
      <c r="D296" s="193" t="s">
        <v>132</v>
      </c>
      <c r="E296" s="189">
        <v>2600.5300000000002</v>
      </c>
      <c r="F296" s="227"/>
      <c r="G296" s="202"/>
      <c r="H296" s="4"/>
      <c r="I296" s="4"/>
      <c r="J296" s="4"/>
      <c r="K296" s="169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5" t="s">
        <v>132</v>
      </c>
      <c r="C297" s="194" t="s">
        <v>132</v>
      </c>
      <c r="D297" s="193" t="s">
        <v>132</v>
      </c>
      <c r="E297" s="189"/>
      <c r="F297" s="227"/>
      <c r="G297" s="23"/>
      <c r="H297" s="4"/>
      <c r="I297" s="4"/>
      <c r="J297" s="4"/>
      <c r="K297" s="169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5" t="s">
        <v>132</v>
      </c>
      <c r="C298" s="194" t="s">
        <v>132</v>
      </c>
      <c r="D298" s="193" t="s">
        <v>132</v>
      </c>
      <c r="E298" s="189"/>
      <c r="F298" s="227"/>
      <c r="G298" s="23"/>
      <c r="H298" s="4"/>
      <c r="I298" s="4"/>
      <c r="J298" s="4"/>
      <c r="K298" s="169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5" t="s">
        <v>132</v>
      </c>
      <c r="C299" s="194" t="s">
        <v>132</v>
      </c>
      <c r="D299" s="193" t="s">
        <v>132</v>
      </c>
      <c r="E299" s="189"/>
      <c r="F299" s="227"/>
      <c r="G299" s="23"/>
      <c r="H299" s="4"/>
      <c r="I299" s="4"/>
      <c r="J299" s="4"/>
      <c r="K299" s="169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5" t="s">
        <v>132</v>
      </c>
      <c r="C300" s="194" t="s">
        <v>132</v>
      </c>
      <c r="D300" s="193" t="s">
        <v>132</v>
      </c>
      <c r="E300" s="189"/>
      <c r="F300" s="227"/>
      <c r="G300" s="23"/>
      <c r="H300" s="4"/>
      <c r="I300" s="4"/>
      <c r="J300" s="4"/>
      <c r="K300" s="169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5" t="s">
        <v>132</v>
      </c>
      <c r="C301" s="194" t="s">
        <v>132</v>
      </c>
      <c r="D301" s="193" t="s">
        <v>132</v>
      </c>
      <c r="E301" s="189"/>
      <c r="F301" s="227"/>
      <c r="G301" s="201"/>
      <c r="H301" s="4"/>
      <c r="I301" s="4"/>
      <c r="J301" s="4"/>
      <c r="K301" s="169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6">
        <f>'Données projet'!A270</f>
        <v>4</v>
      </c>
      <c r="B302" s="177">
        <f>'Données projet'!D270</f>
        <v>0</v>
      </c>
      <c r="C302" s="187"/>
      <c r="D302" s="178">
        <f>B302*C302</f>
        <v>0</v>
      </c>
      <c r="E302" s="189"/>
      <c r="F302" s="229"/>
      <c r="G302" s="201"/>
      <c r="H302" s="4"/>
      <c r="I302" s="4"/>
      <c r="J302" s="4"/>
      <c r="K302" s="169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6">
        <f>'Données projet'!A271</f>
        <v>9</v>
      </c>
      <c r="B303" s="177">
        <f>'Données projet'!D271</f>
        <v>0</v>
      </c>
      <c r="C303" s="187"/>
      <c r="D303" s="178">
        <f t="shared" ref="D303:D321" si="15">B303*C303</f>
        <v>0</v>
      </c>
      <c r="E303" s="189"/>
      <c r="F303" s="229"/>
      <c r="G303" s="201"/>
      <c r="H303" s="4"/>
      <c r="I303" s="4"/>
      <c r="J303" s="4"/>
      <c r="K303" s="169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6">
        <f>'Données projet'!A272</f>
        <v>14</v>
      </c>
      <c r="B304" s="177">
        <f>'Données projet'!D272</f>
        <v>0</v>
      </c>
      <c r="C304" s="187"/>
      <c r="D304" s="178">
        <f t="shared" si="15"/>
        <v>0</v>
      </c>
      <c r="E304" s="189"/>
      <c r="F304" s="229"/>
      <c r="G304" s="201"/>
      <c r="H304" s="4"/>
      <c r="I304" s="4"/>
      <c r="J304" s="4"/>
      <c r="K304" s="169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6">
        <f>'Données projet'!A273</f>
        <v>19</v>
      </c>
      <c r="B305" s="177">
        <f>'Données projet'!D273</f>
        <v>0</v>
      </c>
      <c r="C305" s="187"/>
      <c r="D305" s="178">
        <f t="shared" si="15"/>
        <v>0</v>
      </c>
      <c r="E305" s="189"/>
      <c r="F305" s="229"/>
      <c r="G305" s="201"/>
      <c r="H305" s="4"/>
      <c r="I305" s="4"/>
      <c r="J305" s="4"/>
      <c r="K305" s="169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6">
        <f>'Données projet'!A274</f>
        <v>24</v>
      </c>
      <c r="B306" s="177">
        <f>'Données projet'!D274</f>
        <v>319.87179487179486</v>
      </c>
      <c r="C306" s="187">
        <v>57</v>
      </c>
      <c r="D306" s="178">
        <f t="shared" si="15"/>
        <v>18232.692307692309</v>
      </c>
      <c r="E306" s="189"/>
      <c r="F306" s="229"/>
      <c r="G306" s="201"/>
      <c r="H306" s="4"/>
      <c r="I306" s="4"/>
      <c r="J306" s="4"/>
      <c r="K306" s="169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6">
        <f>'Données projet'!A275</f>
        <v>0</v>
      </c>
      <c r="B307" s="177">
        <f>'Données projet'!D275</f>
        <v>0</v>
      </c>
      <c r="C307" s="187"/>
      <c r="D307" s="178">
        <f t="shared" si="15"/>
        <v>0</v>
      </c>
      <c r="E307" s="189"/>
      <c r="F307" s="229"/>
      <c r="G307" s="201"/>
      <c r="H307" s="4"/>
      <c r="I307" s="4"/>
      <c r="J307" s="4"/>
      <c r="K307" s="169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6">
        <f>'Données projet'!A276</f>
        <v>0</v>
      </c>
      <c r="B308" s="177">
        <f>'Données projet'!D276</f>
        <v>0</v>
      </c>
      <c r="C308" s="187"/>
      <c r="D308" s="178">
        <f t="shared" si="15"/>
        <v>0</v>
      </c>
      <c r="E308" s="189"/>
      <c r="F308" s="229"/>
      <c r="G308" s="199"/>
      <c r="H308" s="4"/>
      <c r="I308" s="4"/>
      <c r="J308" s="4"/>
      <c r="K308" s="169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6">
        <f>'Données projet'!A277</f>
        <v>0</v>
      </c>
      <c r="B309" s="177">
        <f>'Données projet'!D277</f>
        <v>0</v>
      </c>
      <c r="C309" s="187"/>
      <c r="D309" s="178">
        <f t="shared" si="15"/>
        <v>0</v>
      </c>
      <c r="E309" s="189"/>
      <c r="F309" s="229"/>
      <c r="G309" s="199"/>
      <c r="H309" s="4"/>
      <c r="I309" s="4"/>
      <c r="J309" s="4"/>
      <c r="K309" s="169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6">
        <f>'Données projet'!A278</f>
        <v>0</v>
      </c>
      <c r="B310" s="177">
        <f>'Données projet'!D278</f>
        <v>0</v>
      </c>
      <c r="C310" s="187"/>
      <c r="D310" s="178">
        <f t="shared" si="15"/>
        <v>0</v>
      </c>
      <c r="E310" s="189"/>
      <c r="F310" s="229"/>
      <c r="G310" s="199"/>
      <c r="H310" s="4"/>
      <c r="I310" s="4"/>
      <c r="J310" s="4"/>
      <c r="K310" s="169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6">
        <f>'Données projet'!A279</f>
        <v>0</v>
      </c>
      <c r="B311" s="177">
        <f>'Données projet'!D279</f>
        <v>0</v>
      </c>
      <c r="C311" s="187"/>
      <c r="D311" s="178">
        <f t="shared" si="15"/>
        <v>0</v>
      </c>
      <c r="E311" s="189"/>
      <c r="F311" s="229"/>
      <c r="G311" s="199"/>
      <c r="H311" s="4"/>
      <c r="I311" s="4"/>
      <c r="J311" s="4"/>
      <c r="K311" s="169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6">
        <f>'Données projet'!A280</f>
        <v>0</v>
      </c>
      <c r="B312" s="177">
        <f>'Données projet'!D280</f>
        <v>0</v>
      </c>
      <c r="C312" s="187"/>
      <c r="D312" s="178">
        <f t="shared" si="15"/>
        <v>0</v>
      </c>
      <c r="E312" s="189"/>
      <c r="F312" s="229"/>
      <c r="G312" s="199"/>
      <c r="H312" s="4"/>
      <c r="I312" s="4"/>
      <c r="J312" s="4"/>
      <c r="K312" s="169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6">
        <f>'Données projet'!A281</f>
        <v>0</v>
      </c>
      <c r="B313" s="177">
        <f>'Données projet'!D281</f>
        <v>0</v>
      </c>
      <c r="C313" s="187"/>
      <c r="D313" s="178">
        <f t="shared" si="15"/>
        <v>0</v>
      </c>
      <c r="E313" s="189"/>
      <c r="F313" s="229"/>
      <c r="G313" s="199"/>
      <c r="H313" s="4"/>
      <c r="I313" s="4"/>
      <c r="J313" s="4"/>
      <c r="K313" s="169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6">
        <f>'Données projet'!A282</f>
        <v>0</v>
      </c>
      <c r="B314" s="177">
        <f>'Données projet'!D282</f>
        <v>0</v>
      </c>
      <c r="C314" s="187"/>
      <c r="D314" s="178">
        <f t="shared" si="15"/>
        <v>0</v>
      </c>
      <c r="E314" s="189"/>
      <c r="F314" s="229"/>
      <c r="G314" s="199"/>
      <c r="H314" s="4"/>
      <c r="I314" s="4"/>
      <c r="J314" s="4"/>
      <c r="K314" s="169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6">
        <f>'Données projet'!A283</f>
        <v>0</v>
      </c>
      <c r="B315" s="177">
        <f>'Données projet'!D283</f>
        <v>0</v>
      </c>
      <c r="C315" s="187"/>
      <c r="D315" s="178">
        <f t="shared" si="15"/>
        <v>0</v>
      </c>
      <c r="E315" s="189"/>
      <c r="F315" s="229"/>
      <c r="G315" s="199"/>
      <c r="H315" s="4"/>
      <c r="I315" s="4"/>
      <c r="J315" s="4"/>
      <c r="K315" s="169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6">
        <f>'Données projet'!A284</f>
        <v>0</v>
      </c>
      <c r="B316" s="177">
        <f>'Données projet'!D284</f>
        <v>0</v>
      </c>
      <c r="C316" s="187"/>
      <c r="D316" s="178">
        <f t="shared" si="15"/>
        <v>0</v>
      </c>
      <c r="E316" s="189"/>
      <c r="F316" s="229"/>
      <c r="G316" s="199"/>
      <c r="H316" s="4"/>
      <c r="I316" s="4"/>
      <c r="J316" s="4"/>
      <c r="K316" s="169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6">
        <f>'Données projet'!A285</f>
        <v>0</v>
      </c>
      <c r="B317" s="177">
        <f>'Données projet'!D285</f>
        <v>0</v>
      </c>
      <c r="C317" s="187"/>
      <c r="D317" s="178">
        <f t="shared" si="15"/>
        <v>0</v>
      </c>
      <c r="E317" s="189"/>
      <c r="F317" s="229"/>
      <c r="G317" s="199"/>
      <c r="H317" s="4"/>
      <c r="I317" s="4"/>
      <c r="J317" s="4"/>
      <c r="K317" s="169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6">
        <f>'Données projet'!A286</f>
        <v>0</v>
      </c>
      <c r="B318" s="177">
        <f>'Données projet'!D286</f>
        <v>0</v>
      </c>
      <c r="C318" s="187"/>
      <c r="D318" s="178">
        <f t="shared" si="15"/>
        <v>0</v>
      </c>
      <c r="E318" s="189"/>
      <c r="F318" s="229"/>
      <c r="G318" s="199"/>
      <c r="H318" s="4"/>
      <c r="I318" s="4"/>
      <c r="J318" s="4"/>
      <c r="K318" s="169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6">
        <f>'Données projet'!A287</f>
        <v>0</v>
      </c>
      <c r="B319" s="177">
        <f>'Données projet'!D287</f>
        <v>0</v>
      </c>
      <c r="C319" s="187"/>
      <c r="D319" s="178">
        <f t="shared" si="15"/>
        <v>0</v>
      </c>
      <c r="E319" s="189"/>
      <c r="F319" s="229"/>
      <c r="G319" s="199"/>
      <c r="H319" s="4"/>
      <c r="I319" s="4"/>
      <c r="J319" s="4"/>
      <c r="K319" s="169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6">
        <f>'Données projet'!A288</f>
        <v>0</v>
      </c>
      <c r="B320" s="177">
        <f>'Données projet'!D288</f>
        <v>0</v>
      </c>
      <c r="C320" s="187"/>
      <c r="D320" s="178">
        <f t="shared" si="15"/>
        <v>0</v>
      </c>
      <c r="E320" s="189"/>
      <c r="F320" s="229"/>
      <c r="G320" s="199"/>
      <c r="H320" s="4"/>
      <c r="I320" s="4"/>
      <c r="J320" s="4"/>
      <c r="K320" s="169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6">
        <f>'Données projet'!A289</f>
        <v>0</v>
      </c>
      <c r="B321" s="177">
        <f>'Données projet'!D289</f>
        <v>0</v>
      </c>
      <c r="C321" s="192"/>
      <c r="D321" s="178">
        <f t="shared" si="15"/>
        <v>0</v>
      </c>
      <c r="E321" s="189"/>
      <c r="F321" s="229"/>
      <c r="G321" s="199"/>
      <c r="H321" s="4"/>
      <c r="I321" s="4"/>
      <c r="J321" s="4"/>
      <c r="K321" s="169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199"/>
      <c r="H322" s="4"/>
      <c r="I322" s="4"/>
      <c r="J322" s="4"/>
      <c r="K322" s="169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199"/>
      <c r="H323" s="4"/>
      <c r="I323" s="4"/>
      <c r="J323" s="4"/>
      <c r="K323" s="169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199"/>
      <c r="H324" s="4"/>
      <c r="I324" s="4"/>
      <c r="J324" s="4"/>
      <c r="K324" s="169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199"/>
      <c r="H325" s="4"/>
      <c r="I325" s="4"/>
      <c r="J325" s="4"/>
      <c r="K325" s="169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199"/>
      <c r="H326" s="4"/>
      <c r="I326" s="4"/>
      <c r="J326" s="4"/>
      <c r="K326" s="169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199"/>
      <c r="H327" s="4"/>
      <c r="I327" s="4"/>
      <c r="J327" s="4"/>
      <c r="K327" s="169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2025-01-07T15:29:00Z</dcterms:modified>
</cp:coreProperties>
</file>